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Monitorovacia správa\"/>
    </mc:Choice>
  </mc:AlternateContent>
  <bookViews>
    <workbookView xWindow="0" yWindow="0" windowWidth="15360" windowHeight="732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Príjmy!$B$3:$J$441</definedName>
    <definedName name="_xlnm.Print_Area" localSheetId="2">Sumarizácia!$B$2:$L$41</definedName>
    <definedName name="_xlnm.Print_Area" localSheetId="1">Výdavky!$B$1:$S$2132</definedName>
  </definedNames>
  <calcPr calcId="152511"/>
</workbook>
</file>

<file path=xl/calcChain.xml><?xml version="1.0" encoding="utf-8"?>
<calcChain xmlns="http://schemas.openxmlformats.org/spreadsheetml/2006/main">
  <c r="B422" i="2" l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J2045" i="7" l="1"/>
  <c r="M2028" i="7"/>
  <c r="M2027" i="7" s="1"/>
  <c r="R1809" i="7" l="1"/>
  <c r="Q1809" i="7"/>
  <c r="R1808" i="7"/>
  <c r="Q1808" i="7"/>
  <c r="R1807" i="7"/>
  <c r="Q1807" i="7"/>
  <c r="R1806" i="7"/>
  <c r="Q1806" i="7"/>
  <c r="S1809" i="7" l="1"/>
  <c r="S1808" i="7"/>
  <c r="S1806" i="7"/>
  <c r="S1807" i="7"/>
  <c r="R1705" i="7"/>
  <c r="Q1705" i="7"/>
  <c r="R1704" i="7"/>
  <c r="Q1704" i="7"/>
  <c r="J969" i="7" l="1"/>
  <c r="K969" i="7" s="1"/>
  <c r="I969" i="7"/>
  <c r="Q602" i="7" l="1"/>
  <c r="R602" i="7"/>
  <c r="S602" i="7" l="1"/>
  <c r="J225" i="7"/>
  <c r="R831" i="7" l="1"/>
  <c r="Q831" i="7"/>
  <c r="J777" i="7"/>
  <c r="J774" i="7" s="1"/>
  <c r="I109" i="2" l="1"/>
  <c r="I108" i="2" s="1"/>
  <c r="H109" i="2"/>
  <c r="H108" i="2" s="1"/>
  <c r="K30" i="8" l="1"/>
  <c r="J1829" i="7" l="1"/>
  <c r="J1828" i="7"/>
  <c r="J1827" i="7"/>
  <c r="J1826" i="7"/>
  <c r="J1825" i="7"/>
  <c r="J1822" i="7"/>
  <c r="J1821" i="7"/>
  <c r="J1776" i="7"/>
  <c r="J1689" i="7"/>
  <c r="J1688" i="7"/>
  <c r="I75" i="2" l="1"/>
  <c r="H75" i="2"/>
  <c r="I100" i="2"/>
  <c r="H100" i="2"/>
  <c r="J1584" i="7"/>
  <c r="R1585" i="7"/>
  <c r="J1456" i="7"/>
  <c r="I1340" i="7"/>
  <c r="J1340" i="7"/>
  <c r="J1337" i="7" s="1"/>
  <c r="J1362" i="7"/>
  <c r="J1359" i="7" s="1"/>
  <c r="I1370" i="7"/>
  <c r="J1370" i="7"/>
  <c r="J1367" i="7" s="1"/>
  <c r="J1407" i="7"/>
  <c r="J1404" i="7" s="1"/>
  <c r="J1422" i="7"/>
  <c r="J1419" i="7" s="1"/>
  <c r="R1427" i="7"/>
  <c r="Q1427" i="7"/>
  <c r="R1411" i="7"/>
  <c r="Q1411" i="7"/>
  <c r="R1374" i="7"/>
  <c r="Q1374" i="7"/>
  <c r="I1362" i="7"/>
  <c r="I1359" i="7" s="1"/>
  <c r="R1366" i="7"/>
  <c r="Q1366" i="7"/>
  <c r="R1344" i="7"/>
  <c r="Q1344" i="7"/>
  <c r="R1336" i="7"/>
  <c r="J1223" i="7"/>
  <c r="R1227" i="7"/>
  <c r="Q1227" i="7"/>
  <c r="J1075" i="7"/>
  <c r="R1079" i="7"/>
  <c r="Q1079" i="7"/>
  <c r="J989" i="7"/>
  <c r="I989" i="7"/>
  <c r="R993" i="7"/>
  <c r="Q993" i="7"/>
  <c r="J975" i="7"/>
  <c r="J972" i="7" s="1"/>
  <c r="R980" i="7"/>
  <c r="Q980" i="7"/>
  <c r="Q978" i="7"/>
  <c r="R978" i="7"/>
  <c r="R923" i="7"/>
  <c r="Q923" i="7"/>
  <c r="Q778" i="7"/>
  <c r="R778" i="7"/>
  <c r="Q1585" i="7" l="1"/>
  <c r="Q1336" i="7"/>
  <c r="I113" i="2" l="1"/>
  <c r="I182" i="2"/>
  <c r="H182" i="2"/>
  <c r="I119" i="2"/>
  <c r="H119" i="2"/>
  <c r="I245" i="2"/>
  <c r="H245" i="2"/>
  <c r="H244" i="2" s="1"/>
  <c r="I219" i="2"/>
  <c r="H219" i="2"/>
  <c r="H218" i="2" s="1"/>
  <c r="I248" i="2"/>
  <c r="H250" i="2"/>
  <c r="H249" i="2"/>
  <c r="O212" i="7"/>
  <c r="O213" i="7"/>
  <c r="O231" i="7"/>
  <c r="O233" i="7"/>
  <c r="O260" i="7"/>
  <c r="O274" i="7"/>
  <c r="K2121" i="7"/>
  <c r="K2122" i="7"/>
  <c r="K2125" i="7"/>
  <c r="K2126" i="7"/>
  <c r="K2128" i="7"/>
  <c r="K2129" i="7"/>
  <c r="K2130" i="7"/>
  <c r="K2131" i="7"/>
  <c r="O1997" i="7"/>
  <c r="O2029" i="7"/>
  <c r="K1932" i="7"/>
  <c r="K1933" i="7"/>
  <c r="K1935" i="7"/>
  <c r="K1936" i="7"/>
  <c r="K1939" i="7"/>
  <c r="K1941" i="7"/>
  <c r="K1944" i="7"/>
  <c r="K1955" i="7"/>
  <c r="K1968" i="7"/>
  <c r="K1969" i="7"/>
  <c r="K1970" i="7"/>
  <c r="K1974" i="7"/>
  <c r="K1975" i="7"/>
  <c r="K1976" i="7"/>
  <c r="K1977" i="7"/>
  <c r="K1978" i="7"/>
  <c r="K1979" i="7"/>
  <c r="K1980" i="7"/>
  <c r="K1981" i="7"/>
  <c r="K1982" i="7"/>
  <c r="K1983" i="7"/>
  <c r="K1987" i="7"/>
  <c r="K1989" i="7"/>
  <c r="K1991" i="7"/>
  <c r="K1992" i="7"/>
  <c r="K1993" i="7"/>
  <c r="K2000" i="7"/>
  <c r="K2001" i="7"/>
  <c r="K2002" i="7"/>
  <c r="K2005" i="7"/>
  <c r="K2006" i="7"/>
  <c r="K2008" i="7"/>
  <c r="K2010" i="7"/>
  <c r="K2012" i="7"/>
  <c r="K2013" i="7"/>
  <c r="K2015" i="7"/>
  <c r="K2020" i="7"/>
  <c r="K2021" i="7"/>
  <c r="K2022" i="7"/>
  <c r="K2023" i="7"/>
  <c r="K2024" i="7"/>
  <c r="K2035" i="7"/>
  <c r="K2036" i="7"/>
  <c r="K2037" i="7"/>
  <c r="K2046" i="7"/>
  <c r="K2048" i="7"/>
  <c r="K2051" i="7"/>
  <c r="K2052" i="7"/>
  <c r="K2054" i="7"/>
  <c r="K2055" i="7"/>
  <c r="K2056" i="7"/>
  <c r="K2057" i="7"/>
  <c r="K2060" i="7"/>
  <c r="K2061" i="7"/>
  <c r="K2063" i="7"/>
  <c r="K2064" i="7"/>
  <c r="K2065" i="7"/>
  <c r="K2067" i="7"/>
  <c r="K2068" i="7"/>
  <c r="O1812" i="7"/>
  <c r="O1816" i="7"/>
  <c r="O1817" i="7"/>
  <c r="O1818" i="7"/>
  <c r="O1819" i="7"/>
  <c r="O1848" i="7"/>
  <c r="O1854" i="7"/>
  <c r="O1877" i="7"/>
  <c r="K1804" i="7"/>
  <c r="K1806" i="7"/>
  <c r="K1807" i="7"/>
  <c r="K1808" i="7"/>
  <c r="K1809" i="7"/>
  <c r="K1824" i="7"/>
  <c r="K1825" i="7"/>
  <c r="K1827" i="7"/>
  <c r="K1832" i="7"/>
  <c r="K1836" i="7"/>
  <c r="K1838" i="7"/>
  <c r="K1840" i="7"/>
  <c r="K1842" i="7"/>
  <c r="K1851" i="7"/>
  <c r="K1857" i="7"/>
  <c r="K1860" i="7"/>
  <c r="K1861" i="7"/>
  <c r="K1863" i="7"/>
  <c r="K1866" i="7"/>
  <c r="K1869" i="7"/>
  <c r="K1870" i="7"/>
  <c r="K1872" i="7"/>
  <c r="K1874" i="7"/>
  <c r="K1880" i="7"/>
  <c r="K1881" i="7"/>
  <c r="K1883" i="7"/>
  <c r="K1884" i="7"/>
  <c r="K1886" i="7"/>
  <c r="K1887" i="7"/>
  <c r="O1772" i="7"/>
  <c r="O1785" i="7"/>
  <c r="O1786" i="7"/>
  <c r="K1743" i="7"/>
  <c r="K1744" i="7"/>
  <c r="K1745" i="7"/>
  <c r="K1746" i="7"/>
  <c r="K1747" i="7"/>
  <c r="K1750" i="7"/>
  <c r="K1752" i="7"/>
  <c r="K1753" i="7"/>
  <c r="K1754" i="7"/>
  <c r="K1755" i="7"/>
  <c r="K1756" i="7"/>
  <c r="K1757" i="7"/>
  <c r="K1758" i="7"/>
  <c r="K1759" i="7"/>
  <c r="K1760" i="7"/>
  <c r="K1761" i="7"/>
  <c r="K1762" i="7"/>
  <c r="K1765" i="7"/>
  <c r="K1767" i="7"/>
  <c r="K1775" i="7"/>
  <c r="K1776" i="7"/>
  <c r="K1777" i="7"/>
  <c r="K1778" i="7"/>
  <c r="K1779" i="7"/>
  <c r="K1781" i="7"/>
  <c r="K1782" i="7"/>
  <c r="O1651" i="7"/>
  <c r="O1652" i="7"/>
  <c r="O1658" i="7"/>
  <c r="O1659" i="7"/>
  <c r="O1679" i="7"/>
  <c r="O1682" i="7"/>
  <c r="O1696" i="7"/>
  <c r="O1698" i="7"/>
  <c r="O1699" i="7"/>
  <c r="O1702" i="7"/>
  <c r="O1703" i="7"/>
  <c r="O1704" i="7"/>
  <c r="O1705" i="7"/>
  <c r="K1622" i="7"/>
  <c r="K1626" i="7"/>
  <c r="K1628" i="7"/>
  <c r="K1629" i="7"/>
  <c r="K1630" i="7"/>
  <c r="K1631" i="7"/>
  <c r="K1632" i="7"/>
  <c r="K1633" i="7"/>
  <c r="K1634" i="7"/>
  <c r="K1635" i="7"/>
  <c r="K1636" i="7"/>
  <c r="K1640" i="7"/>
  <c r="K1641" i="7"/>
  <c r="K1645" i="7"/>
  <c r="K1646" i="7"/>
  <c r="K1648" i="7"/>
  <c r="K1655" i="7"/>
  <c r="K1664" i="7"/>
  <c r="K1665" i="7"/>
  <c r="K1667" i="7"/>
  <c r="K1668" i="7"/>
  <c r="K1670" i="7"/>
  <c r="K1684" i="7"/>
  <c r="K1685" i="7"/>
  <c r="K1687" i="7"/>
  <c r="K1688" i="7"/>
  <c r="K1707" i="7"/>
  <c r="K1708" i="7"/>
  <c r="K1710" i="7"/>
  <c r="K1711" i="7"/>
  <c r="K1712" i="7"/>
  <c r="K1713" i="7"/>
  <c r="K1714" i="7"/>
  <c r="K1715" i="7"/>
  <c r="K1716" i="7"/>
  <c r="O786" i="7"/>
  <c r="O788" i="7"/>
  <c r="O818" i="7"/>
  <c r="O821" i="7"/>
  <c r="O899" i="7"/>
  <c r="O901" i="7"/>
  <c r="O914" i="7"/>
  <c r="O952" i="7"/>
  <c r="O965" i="7"/>
  <c r="O983" i="7"/>
  <c r="O985" i="7"/>
  <c r="O1035" i="7"/>
  <c r="O1038" i="7"/>
  <c r="O1039" i="7"/>
  <c r="O1090" i="7"/>
  <c r="O1093" i="7"/>
  <c r="O1120" i="7"/>
  <c r="O1121" i="7"/>
  <c r="O1151" i="7"/>
  <c r="O1152" i="7"/>
  <c r="O1191" i="7"/>
  <c r="O1207" i="7"/>
  <c r="O1209" i="7"/>
  <c r="O1210" i="7"/>
  <c r="O1313" i="7"/>
  <c r="O1520" i="7"/>
  <c r="O1543" i="7"/>
  <c r="K765" i="7"/>
  <c r="K766" i="7"/>
  <c r="K767" i="7"/>
  <c r="K768" i="7"/>
  <c r="K769" i="7"/>
  <c r="K770" i="7"/>
  <c r="K771" i="7"/>
  <c r="K772" i="7"/>
  <c r="K773" i="7"/>
  <c r="K779" i="7"/>
  <c r="K781" i="7"/>
  <c r="K782" i="7"/>
  <c r="K783" i="7"/>
  <c r="K784" i="7"/>
  <c r="K793" i="7"/>
  <c r="K794" i="7"/>
  <c r="K799" i="7"/>
  <c r="K801" i="7"/>
  <c r="K802" i="7"/>
  <c r="K805" i="7"/>
  <c r="K806" i="7"/>
  <c r="K807" i="7"/>
  <c r="K809" i="7"/>
  <c r="K812" i="7"/>
  <c r="K813" i="7"/>
  <c r="K814" i="7"/>
  <c r="K815" i="7"/>
  <c r="K823" i="7"/>
  <c r="K824" i="7"/>
  <c r="K826" i="7"/>
  <c r="K828" i="7"/>
  <c r="K829" i="7"/>
  <c r="K830" i="7"/>
  <c r="K833" i="7"/>
  <c r="K834" i="7"/>
  <c r="K836" i="7"/>
  <c r="K838" i="7"/>
  <c r="K839" i="7"/>
  <c r="K840" i="7"/>
  <c r="K842" i="7"/>
  <c r="K843" i="7"/>
  <c r="K845" i="7"/>
  <c r="K848" i="7"/>
  <c r="K849" i="7"/>
  <c r="K851" i="7"/>
  <c r="K852" i="7"/>
  <c r="K854" i="7"/>
  <c r="K856" i="7"/>
  <c r="K857" i="7"/>
  <c r="K858" i="7"/>
  <c r="K863" i="7"/>
  <c r="K864" i="7"/>
  <c r="K866" i="7"/>
  <c r="K868" i="7"/>
  <c r="K869" i="7"/>
  <c r="K870" i="7"/>
  <c r="K875" i="7"/>
  <c r="K876" i="7"/>
  <c r="K878" i="7"/>
  <c r="K880" i="7"/>
  <c r="K881" i="7"/>
  <c r="K882" i="7"/>
  <c r="K889" i="7"/>
  <c r="K890" i="7"/>
  <c r="K892" i="7"/>
  <c r="K894" i="7"/>
  <c r="K895" i="7"/>
  <c r="K896" i="7"/>
  <c r="K903" i="7"/>
  <c r="K904" i="7"/>
  <c r="K906" i="7"/>
  <c r="K908" i="7"/>
  <c r="K909" i="7"/>
  <c r="K910" i="7"/>
  <c r="K911" i="7"/>
  <c r="K916" i="7"/>
  <c r="K917" i="7"/>
  <c r="K919" i="7"/>
  <c r="K921" i="7"/>
  <c r="K922" i="7"/>
  <c r="K925" i="7"/>
  <c r="K926" i="7"/>
  <c r="K928" i="7"/>
  <c r="K930" i="7"/>
  <c r="K931" i="7"/>
  <c r="K933" i="7"/>
  <c r="K934" i="7"/>
  <c r="K936" i="7"/>
  <c r="K938" i="7"/>
  <c r="K939" i="7"/>
  <c r="K940" i="7"/>
  <c r="K945" i="7"/>
  <c r="K947" i="7"/>
  <c r="K948" i="7"/>
  <c r="K949" i="7"/>
  <c r="K957" i="7"/>
  <c r="K959" i="7"/>
  <c r="K960" i="7"/>
  <c r="K961" i="7"/>
  <c r="K962" i="7"/>
  <c r="K968" i="7"/>
  <c r="K970" i="7"/>
  <c r="K976" i="7"/>
  <c r="K979" i="7"/>
  <c r="K987" i="7"/>
  <c r="K988" i="7"/>
  <c r="K990" i="7"/>
  <c r="K991" i="7"/>
  <c r="K992" i="7"/>
  <c r="K994" i="7"/>
  <c r="K995" i="7"/>
  <c r="K996" i="7"/>
  <c r="K997" i="7"/>
  <c r="K998" i="7"/>
  <c r="K1000" i="7"/>
  <c r="K1001" i="7"/>
  <c r="K1002" i="7"/>
  <c r="K1003" i="7"/>
  <c r="K1004" i="7"/>
  <c r="K1006" i="7"/>
  <c r="K1007" i="7"/>
  <c r="K1009" i="7"/>
  <c r="K1011" i="7"/>
  <c r="K1012" i="7"/>
  <c r="K1014" i="7"/>
  <c r="K1015" i="7"/>
  <c r="K1016" i="7"/>
  <c r="K1017" i="7"/>
  <c r="K1018" i="7"/>
  <c r="K1019" i="7"/>
  <c r="K1020" i="7"/>
  <c r="K1021" i="7"/>
  <c r="K1023" i="7"/>
  <c r="K1024" i="7"/>
  <c r="K1026" i="7"/>
  <c r="K1028" i="7"/>
  <c r="K1029" i="7"/>
  <c r="K1031" i="7"/>
  <c r="K1041" i="7"/>
  <c r="K1042" i="7"/>
  <c r="K1044" i="7"/>
  <c r="K1045" i="7"/>
  <c r="K1046" i="7"/>
  <c r="K1047" i="7"/>
  <c r="K1048" i="7"/>
  <c r="K1049" i="7"/>
  <c r="K1050" i="7"/>
  <c r="K1051" i="7"/>
  <c r="K1053" i="7"/>
  <c r="K1054" i="7"/>
  <c r="K1055" i="7"/>
  <c r="K1056" i="7"/>
  <c r="K1057" i="7"/>
  <c r="K1059" i="7"/>
  <c r="K1060" i="7"/>
  <c r="K1062" i="7"/>
  <c r="K1064" i="7"/>
  <c r="K1065" i="7"/>
  <c r="K1069" i="7"/>
  <c r="K1071" i="7"/>
  <c r="K1072" i="7"/>
  <c r="K1073" i="7"/>
  <c r="K1074" i="7"/>
  <c r="K1080" i="7"/>
  <c r="K1081" i="7"/>
  <c r="K1083" i="7"/>
  <c r="K1084" i="7"/>
  <c r="K1086" i="7"/>
  <c r="K1095" i="7"/>
  <c r="K1096" i="7"/>
  <c r="K1098" i="7"/>
  <c r="K1099" i="7"/>
  <c r="K1100" i="7"/>
  <c r="K1101" i="7"/>
  <c r="K1102" i="7"/>
  <c r="K1103" i="7"/>
  <c r="K1104" i="7"/>
  <c r="K1105" i="7"/>
  <c r="K1107" i="7"/>
  <c r="K1108" i="7"/>
  <c r="K1109" i="7"/>
  <c r="K1110" i="7"/>
  <c r="K1111" i="7"/>
  <c r="K1113" i="7"/>
  <c r="K1114" i="7"/>
  <c r="K1116" i="7"/>
  <c r="K1126" i="7"/>
  <c r="K1127" i="7"/>
  <c r="K1129" i="7"/>
  <c r="K1130" i="7"/>
  <c r="K1131" i="7"/>
  <c r="K1132" i="7"/>
  <c r="K1133" i="7"/>
  <c r="K1134" i="7"/>
  <c r="K1135" i="7"/>
  <c r="K1136" i="7"/>
  <c r="K1137" i="7"/>
  <c r="K1139" i="7"/>
  <c r="K1140" i="7"/>
  <c r="K1141" i="7"/>
  <c r="K1142" i="7"/>
  <c r="K1143" i="7"/>
  <c r="K1145" i="7"/>
  <c r="K1146" i="7"/>
  <c r="K1148" i="7"/>
  <c r="K1154" i="7"/>
  <c r="K1155" i="7"/>
  <c r="K1157" i="7"/>
  <c r="K1158" i="7"/>
  <c r="K1159" i="7"/>
  <c r="K1160" i="7"/>
  <c r="K1161" i="7"/>
  <c r="K1162" i="7"/>
  <c r="K1163" i="7"/>
  <c r="K1164" i="7"/>
  <c r="K1165" i="7"/>
  <c r="K1166" i="7"/>
  <c r="K1168" i="7"/>
  <c r="K1169" i="7"/>
  <c r="K1170" i="7"/>
  <c r="K1171" i="7"/>
  <c r="K1172" i="7"/>
  <c r="K1173" i="7"/>
  <c r="K1175" i="7"/>
  <c r="K1176" i="7"/>
  <c r="K1178" i="7"/>
  <c r="K1180" i="7"/>
  <c r="K1181" i="7"/>
  <c r="K1183" i="7"/>
  <c r="K1185" i="7"/>
  <c r="K1186" i="7"/>
  <c r="K1187" i="7"/>
  <c r="K1188" i="7"/>
  <c r="K1192" i="7"/>
  <c r="K1193" i="7"/>
  <c r="K1195" i="7"/>
  <c r="K1198" i="7"/>
  <c r="K1199" i="7"/>
  <c r="K1201" i="7"/>
  <c r="K1202" i="7"/>
  <c r="K1204" i="7"/>
  <c r="K1213" i="7"/>
  <c r="K1214" i="7"/>
  <c r="K1215" i="7"/>
  <c r="K1216" i="7"/>
  <c r="K1217" i="7"/>
  <c r="K1218" i="7"/>
  <c r="K1219" i="7"/>
  <c r="K1221" i="7"/>
  <c r="K1222" i="7"/>
  <c r="K1224" i="7"/>
  <c r="K1225" i="7"/>
  <c r="K1226" i="7"/>
  <c r="K1228" i="7"/>
  <c r="K1230" i="7"/>
  <c r="K1232" i="7"/>
  <c r="K1233" i="7"/>
  <c r="K1235" i="7"/>
  <c r="K1236" i="7"/>
  <c r="K1237" i="7"/>
  <c r="K1239" i="7"/>
  <c r="K1240" i="7"/>
  <c r="K1242" i="7"/>
  <c r="K1243" i="7"/>
  <c r="K1244" i="7"/>
  <c r="K1245" i="7"/>
  <c r="K1247" i="7"/>
  <c r="K1248" i="7"/>
  <c r="K1250" i="7"/>
  <c r="K1251" i="7"/>
  <c r="K1252" i="7"/>
  <c r="K1253" i="7"/>
  <c r="K1255" i="7"/>
  <c r="K1256" i="7"/>
  <c r="K1258" i="7"/>
  <c r="K1259" i="7"/>
  <c r="K1260" i="7"/>
  <c r="K1261" i="7"/>
  <c r="K1263" i="7"/>
  <c r="K1264" i="7"/>
  <c r="K1266" i="7"/>
  <c r="K1267" i="7"/>
  <c r="K1268" i="7"/>
  <c r="K1270" i="7"/>
  <c r="K1271" i="7"/>
  <c r="K1273" i="7"/>
  <c r="K1274" i="7"/>
  <c r="K1275" i="7"/>
  <c r="K1276" i="7"/>
  <c r="K1278" i="7"/>
  <c r="K1279" i="7"/>
  <c r="K1281" i="7"/>
  <c r="K1282" i="7"/>
  <c r="K1283" i="7"/>
  <c r="K1284" i="7"/>
  <c r="K1286" i="7"/>
  <c r="K1287" i="7"/>
  <c r="K1289" i="7"/>
  <c r="K1290" i="7"/>
  <c r="K1291" i="7"/>
  <c r="K1292" i="7"/>
  <c r="K1294" i="7"/>
  <c r="K1295" i="7"/>
  <c r="K1297" i="7"/>
  <c r="K1298" i="7"/>
  <c r="K1299" i="7"/>
  <c r="K1300" i="7"/>
  <c r="K1302" i="7"/>
  <c r="K1303" i="7"/>
  <c r="K1305" i="7"/>
  <c r="K1306" i="7"/>
  <c r="K1307" i="7"/>
  <c r="K1308" i="7"/>
  <c r="K1309" i="7"/>
  <c r="K1310" i="7"/>
  <c r="K1316" i="7"/>
  <c r="K1317" i="7"/>
  <c r="K1318" i="7"/>
  <c r="K1319" i="7"/>
  <c r="K1320" i="7"/>
  <c r="K1326" i="7"/>
  <c r="K1327" i="7"/>
  <c r="K1328" i="7"/>
  <c r="K1330" i="7"/>
  <c r="K1331" i="7"/>
  <c r="K1333" i="7"/>
  <c r="K1334" i="7"/>
  <c r="K1335" i="7"/>
  <c r="K1339" i="7"/>
  <c r="K1341" i="7"/>
  <c r="K1342" i="7"/>
  <c r="K1343" i="7"/>
  <c r="K1346" i="7"/>
  <c r="K1347" i="7"/>
  <c r="K1349" i="7"/>
  <c r="K1350" i="7"/>
  <c r="K1351" i="7"/>
  <c r="K1353" i="7"/>
  <c r="K1354" i="7"/>
  <c r="K1356" i="7"/>
  <c r="K1357" i="7"/>
  <c r="K1358" i="7"/>
  <c r="K1360" i="7"/>
  <c r="K1361" i="7"/>
  <c r="K1363" i="7"/>
  <c r="K1364" i="7"/>
  <c r="K1365" i="7"/>
  <c r="K1368" i="7"/>
  <c r="K1369" i="7"/>
  <c r="K1371" i="7"/>
  <c r="K1372" i="7"/>
  <c r="K1373" i="7"/>
  <c r="K1376" i="7"/>
  <c r="K1377" i="7"/>
  <c r="K1379" i="7"/>
  <c r="K1380" i="7"/>
  <c r="K1381" i="7"/>
  <c r="K1383" i="7"/>
  <c r="K1384" i="7"/>
  <c r="K1387" i="7"/>
  <c r="K1388" i="7"/>
  <c r="K1389" i="7"/>
  <c r="K1391" i="7"/>
  <c r="K1392" i="7"/>
  <c r="K1394" i="7"/>
  <c r="K1395" i="7"/>
  <c r="K1396" i="7"/>
  <c r="K1398" i="7"/>
  <c r="K1399" i="7"/>
  <c r="K1401" i="7"/>
  <c r="K1402" i="7"/>
  <c r="K1403" i="7"/>
  <c r="K1405" i="7"/>
  <c r="K1406" i="7"/>
  <c r="K1408" i="7"/>
  <c r="K1409" i="7"/>
  <c r="K1410" i="7"/>
  <c r="K1413" i="7"/>
  <c r="K1414" i="7"/>
  <c r="K1416" i="7"/>
  <c r="K1417" i="7"/>
  <c r="K1418" i="7"/>
  <c r="K1420" i="7"/>
  <c r="K1421" i="7"/>
  <c r="K1423" i="7"/>
  <c r="K1424" i="7"/>
  <c r="K1425" i="7"/>
  <c r="K1426" i="7"/>
  <c r="K1429" i="7"/>
  <c r="K1430" i="7"/>
  <c r="K1432" i="7"/>
  <c r="K1433" i="7"/>
  <c r="K1434" i="7"/>
  <c r="K1435" i="7"/>
  <c r="K1436" i="7"/>
  <c r="K1437" i="7"/>
  <c r="K1438" i="7"/>
  <c r="K1440" i="7"/>
  <c r="K1441" i="7"/>
  <c r="K1442" i="7"/>
  <c r="K1443" i="7"/>
  <c r="K1444" i="7"/>
  <c r="K1449" i="7"/>
  <c r="K1450" i="7"/>
  <c r="K1451" i="7"/>
  <c r="K1452" i="7"/>
  <c r="K1453" i="7"/>
  <c r="K1457" i="7"/>
  <c r="K1459" i="7"/>
  <c r="K1460" i="7"/>
  <c r="K1461" i="7"/>
  <c r="K1464" i="7"/>
  <c r="K1466" i="7"/>
  <c r="K1469" i="7"/>
  <c r="K1471" i="7"/>
  <c r="K1472" i="7"/>
  <c r="K1473" i="7"/>
  <c r="K1474" i="7"/>
  <c r="K1475" i="7"/>
  <c r="K1477" i="7"/>
  <c r="K1479" i="7"/>
  <c r="K1480" i="7"/>
  <c r="K1481" i="7"/>
  <c r="K1482" i="7"/>
  <c r="K1483" i="7"/>
  <c r="K1485" i="7"/>
  <c r="K1486" i="7"/>
  <c r="K1488" i="7"/>
  <c r="K1489" i="7"/>
  <c r="K1490" i="7"/>
  <c r="K1491" i="7"/>
  <c r="K1492" i="7"/>
  <c r="K1493" i="7"/>
  <c r="K1494" i="7"/>
  <c r="K1496" i="7"/>
  <c r="K1497" i="7"/>
  <c r="K1498" i="7"/>
  <c r="K1499" i="7"/>
  <c r="K1500" i="7"/>
  <c r="K1502" i="7"/>
  <c r="K1503" i="7"/>
  <c r="K1505" i="7"/>
  <c r="K1506" i="7"/>
  <c r="K1507" i="7"/>
  <c r="K1508" i="7"/>
  <c r="K1509" i="7"/>
  <c r="K1510" i="7"/>
  <c r="K1514" i="7"/>
  <c r="K1515" i="7"/>
  <c r="K1516" i="7"/>
  <c r="K1517" i="7"/>
  <c r="K1518" i="7"/>
  <c r="K1519" i="7"/>
  <c r="K1523" i="7"/>
  <c r="K1524" i="7"/>
  <c r="K1526" i="7"/>
  <c r="K1527" i="7"/>
  <c r="K1528" i="7"/>
  <c r="K1529" i="7"/>
  <c r="K1530" i="7"/>
  <c r="K1531" i="7"/>
  <c r="K1532" i="7"/>
  <c r="K1533" i="7"/>
  <c r="K1535" i="7"/>
  <c r="K1536" i="7"/>
  <c r="K1537" i="7"/>
  <c r="K1538" i="7"/>
  <c r="K1539" i="7"/>
  <c r="K1540" i="7"/>
  <c r="K1550" i="7"/>
  <c r="K1551" i="7"/>
  <c r="K1552" i="7"/>
  <c r="K1553" i="7"/>
  <c r="K1557" i="7"/>
  <c r="K1558" i="7"/>
  <c r="K1560" i="7"/>
  <c r="K1561" i="7"/>
  <c r="K1562" i="7"/>
  <c r="K1566" i="7"/>
  <c r="K1568" i="7"/>
  <c r="K1570" i="7"/>
  <c r="K1571" i="7"/>
  <c r="K1574" i="7"/>
  <c r="K1577" i="7"/>
  <c r="K1579" i="7"/>
  <c r="K1580" i="7"/>
  <c r="K1586" i="7"/>
  <c r="K1588" i="7"/>
  <c r="K1589" i="7"/>
  <c r="K1590" i="7"/>
  <c r="K1591" i="7"/>
  <c r="O615" i="7"/>
  <c r="O619" i="7"/>
  <c r="O621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1" i="7"/>
  <c r="O642" i="7"/>
  <c r="O643" i="7"/>
  <c r="O644" i="7"/>
  <c r="O645" i="7"/>
  <c r="O646" i="7"/>
  <c r="O654" i="7"/>
  <c r="O660" i="7"/>
  <c r="O661" i="7"/>
  <c r="O662" i="7"/>
  <c r="O663" i="7"/>
  <c r="O664" i="7"/>
  <c r="O665" i="7"/>
  <c r="O666" i="7"/>
  <c r="O667" i="7"/>
  <c r="O668" i="7"/>
  <c r="O669" i="7"/>
  <c r="O670" i="7"/>
  <c r="O671" i="7"/>
  <c r="O672" i="7"/>
  <c r="O674" i="7"/>
  <c r="O675" i="7"/>
  <c r="O676" i="7"/>
  <c r="O677" i="7"/>
  <c r="O678" i="7"/>
  <c r="O679" i="7"/>
  <c r="O680" i="7"/>
  <c r="O681" i="7"/>
  <c r="O682" i="7"/>
  <c r="O683" i="7"/>
  <c r="O686" i="7"/>
  <c r="O688" i="7"/>
  <c r="O690" i="7"/>
  <c r="O691" i="7"/>
  <c r="O695" i="7"/>
  <c r="O696" i="7"/>
  <c r="O699" i="7"/>
  <c r="K594" i="7"/>
  <c r="K595" i="7"/>
  <c r="K597" i="7"/>
  <c r="K598" i="7"/>
  <c r="K599" i="7"/>
  <c r="K600" i="7"/>
  <c r="K601" i="7"/>
  <c r="K602" i="7"/>
  <c r="K603" i="7"/>
  <c r="K605" i="7"/>
  <c r="K606" i="7"/>
  <c r="K608" i="7"/>
  <c r="K609" i="7"/>
  <c r="K610" i="7"/>
  <c r="K612" i="7"/>
  <c r="O474" i="7"/>
  <c r="O480" i="7"/>
  <c r="O482" i="7"/>
  <c r="O483" i="7"/>
  <c r="O486" i="7"/>
  <c r="O499" i="7"/>
  <c r="O507" i="7"/>
  <c r="O524" i="7"/>
  <c r="O527" i="7"/>
  <c r="K462" i="7"/>
  <c r="K464" i="7"/>
  <c r="K465" i="7"/>
  <c r="K466" i="7"/>
  <c r="K470" i="7"/>
  <c r="K477" i="7"/>
  <c r="K489" i="7"/>
  <c r="K490" i="7"/>
  <c r="K492" i="7"/>
  <c r="K493" i="7"/>
  <c r="K494" i="7"/>
  <c r="K496" i="7"/>
  <c r="K510" i="7"/>
  <c r="K513" i="7"/>
  <c r="K514" i="7"/>
  <c r="K515" i="7"/>
  <c r="K519" i="7"/>
  <c r="K520" i="7"/>
  <c r="K521" i="7"/>
  <c r="O385" i="7"/>
  <c r="O387" i="7"/>
  <c r="O388" i="7"/>
  <c r="O389" i="7"/>
  <c r="K330" i="7"/>
  <c r="K332" i="7"/>
  <c r="K333" i="7"/>
  <c r="K338" i="7"/>
  <c r="K339" i="7"/>
  <c r="K341" i="7"/>
  <c r="K343" i="7"/>
  <c r="K344" i="7"/>
  <c r="K349" i="7"/>
  <c r="K353" i="7"/>
  <c r="K354" i="7"/>
  <c r="K357" i="7"/>
  <c r="K358" i="7"/>
  <c r="K360" i="7"/>
  <c r="K361" i="7"/>
  <c r="K362" i="7"/>
  <c r="K363" i="7"/>
  <c r="K364" i="7"/>
  <c r="K367" i="7"/>
  <c r="K368" i="7"/>
  <c r="K370" i="7"/>
  <c r="K373" i="7"/>
  <c r="K374" i="7"/>
  <c r="K376" i="7"/>
  <c r="K379" i="7"/>
  <c r="K380" i="7"/>
  <c r="K382" i="7"/>
  <c r="K393" i="7"/>
  <c r="K394" i="7"/>
  <c r="K396" i="7"/>
  <c r="K397" i="7"/>
  <c r="K398" i="7"/>
  <c r="K399" i="7"/>
  <c r="I244" i="2" l="1"/>
  <c r="I218" i="2"/>
  <c r="K206" i="7"/>
  <c r="K209" i="7"/>
  <c r="K210" i="7"/>
  <c r="K216" i="7"/>
  <c r="K217" i="7"/>
  <c r="K222" i="7"/>
  <c r="K223" i="7"/>
  <c r="K228" i="7"/>
  <c r="K236" i="7"/>
  <c r="K237" i="7"/>
  <c r="K239" i="7"/>
  <c r="K240" i="7"/>
  <c r="K241" i="7"/>
  <c r="K243" i="7"/>
  <c r="K245" i="7"/>
  <c r="K247" i="7"/>
  <c r="K248" i="7"/>
  <c r="K252" i="7"/>
  <c r="K253" i="7"/>
  <c r="K254" i="7"/>
  <c r="K263" i="7"/>
  <c r="K264" i="7"/>
  <c r="K267" i="7"/>
  <c r="K268" i="7"/>
  <c r="K269" i="7"/>
  <c r="K277" i="7"/>
  <c r="K278" i="7"/>
  <c r="K137" i="7"/>
  <c r="K142" i="7"/>
  <c r="O43" i="7"/>
  <c r="O45" i="7"/>
  <c r="O46" i="7"/>
  <c r="K48" i="7"/>
  <c r="K50" i="7"/>
  <c r="K51" i="7"/>
  <c r="K52" i="7"/>
  <c r="K54" i="7"/>
  <c r="K71" i="7"/>
  <c r="K72" i="7"/>
  <c r="K75" i="7"/>
  <c r="K76" i="7"/>
  <c r="K14" i="7"/>
  <c r="K15" i="7"/>
  <c r="K18" i="7"/>
  <c r="K21" i="7"/>
  <c r="K26" i="7"/>
  <c r="K28" i="7"/>
  <c r="K30" i="7"/>
  <c r="K31" i="7"/>
  <c r="K35" i="7"/>
  <c r="K39" i="7"/>
  <c r="K40" i="7"/>
  <c r="K11" i="7"/>
  <c r="K12" i="7"/>
  <c r="K13" i="7"/>
  <c r="L25" i="8"/>
  <c r="L32" i="8"/>
  <c r="L33" i="8"/>
  <c r="L34" i="8"/>
  <c r="L35" i="8"/>
  <c r="K23" i="8" l="1"/>
  <c r="K22" i="8" s="1"/>
  <c r="I380" i="2"/>
  <c r="I385" i="2" l="1"/>
  <c r="I379" i="2" l="1"/>
  <c r="I49" i="2"/>
  <c r="I32" i="2"/>
  <c r="I34" i="2"/>
  <c r="I31" i="2"/>
  <c r="I23" i="2"/>
  <c r="Q2132" i="7"/>
  <c r="R2132" i="7"/>
  <c r="J1865" i="7" l="1"/>
  <c r="K1865" i="7" s="1"/>
  <c r="J1742" i="7"/>
  <c r="J1644" i="7" l="1"/>
  <c r="J1575" i="7"/>
  <c r="J1578" i="7"/>
  <c r="K1578" i="7" s="1"/>
  <c r="R1318" i="7"/>
  <c r="J467" i="7"/>
  <c r="J381" i="7"/>
  <c r="J342" i="7"/>
  <c r="K342" i="7" s="1"/>
  <c r="J1643" i="7" l="1"/>
  <c r="H6" i="8"/>
  <c r="N2120" i="7" l="1"/>
  <c r="N2119" i="7" s="1"/>
  <c r="N2124" i="7"/>
  <c r="N2123" i="7" s="1"/>
  <c r="J2120" i="7"/>
  <c r="J2127" i="7"/>
  <c r="N1934" i="7"/>
  <c r="N1931" i="7" s="1"/>
  <c r="N1930" i="7" s="1"/>
  <c r="N1940" i="7"/>
  <c r="N1960" i="7"/>
  <c r="N1957" i="7" s="1"/>
  <c r="N1956" i="7" s="1"/>
  <c r="N1967" i="7"/>
  <c r="N1966" i="7" s="1"/>
  <c r="N1988" i="7"/>
  <c r="N1996" i="7"/>
  <c r="N1985" i="7" s="1"/>
  <c r="N1999" i="7"/>
  <c r="N2004" i="7"/>
  <c r="N2003" i="7" s="1"/>
  <c r="N2011" i="7"/>
  <c r="N2019" i="7"/>
  <c r="N2027" i="7"/>
  <c r="N2034" i="7"/>
  <c r="N2031" i="7" s="1"/>
  <c r="N2030" i="7" s="1"/>
  <c r="N2041" i="7"/>
  <c r="N2040" i="7" s="1"/>
  <c r="N2044" i="7"/>
  <c r="N2047" i="7"/>
  <c r="N2050" i="7"/>
  <c r="N2049" i="7" s="1"/>
  <c r="N2058" i="7"/>
  <c r="N2062" i="7"/>
  <c r="J1934" i="7"/>
  <c r="J1940" i="7"/>
  <c r="J1947" i="7"/>
  <c r="J1960" i="7"/>
  <c r="J1967" i="7"/>
  <c r="J1972" i="7"/>
  <c r="J1988" i="7"/>
  <c r="J1996" i="7"/>
  <c r="J1999" i="7"/>
  <c r="J2004" i="7"/>
  <c r="J2011" i="7"/>
  <c r="J2014" i="7"/>
  <c r="J2019" i="7"/>
  <c r="J2027" i="7"/>
  <c r="J2034" i="7"/>
  <c r="J2041" i="7"/>
  <c r="J2044" i="7"/>
  <c r="J2047" i="7"/>
  <c r="J2053" i="7"/>
  <c r="J2050" i="7" s="1"/>
  <c r="J2062" i="7"/>
  <c r="N1811" i="7"/>
  <c r="N1814" i="7"/>
  <c r="N1823" i="7"/>
  <c r="N1834" i="7"/>
  <c r="N1845" i="7"/>
  <c r="N1846" i="7"/>
  <c r="N1850" i="7"/>
  <c r="N1853" i="7"/>
  <c r="N1856" i="7"/>
  <c r="N1859" i="7"/>
  <c r="N1865" i="7"/>
  <c r="N1864" i="7" s="1"/>
  <c r="N1862" i="7" s="1"/>
  <c r="N1871" i="7"/>
  <c r="N1876" i="7"/>
  <c r="N1878" i="7"/>
  <c r="N1882" i="7"/>
  <c r="J1803" i="7"/>
  <c r="J1805" i="7"/>
  <c r="J1823" i="7"/>
  <c r="J1834" i="7"/>
  <c r="J1846" i="7"/>
  <c r="J1850" i="7"/>
  <c r="J1849" i="7" s="1"/>
  <c r="J1856" i="7"/>
  <c r="J1859" i="7"/>
  <c r="J1862" i="7"/>
  <c r="J1864" i="7"/>
  <c r="J1871" i="7"/>
  <c r="J1882" i="7"/>
  <c r="N1740" i="7"/>
  <c r="N1749" i="7"/>
  <c r="N1771" i="7"/>
  <c r="N1774" i="7"/>
  <c r="N1773" i="7" s="1"/>
  <c r="N1784" i="7"/>
  <c r="N1783" i="7" s="1"/>
  <c r="J1741" i="7"/>
  <c r="J1751" i="7"/>
  <c r="J1766" i="7"/>
  <c r="J1774" i="7"/>
  <c r="J1784" i="7"/>
  <c r="J1783" i="7" s="1"/>
  <c r="N1620" i="7"/>
  <c r="N1624" i="7"/>
  <c r="N1623" i="7" s="1"/>
  <c r="N1638" i="7"/>
  <c r="N1643" i="7"/>
  <c r="N1650" i="7"/>
  <c r="N1654" i="7"/>
  <c r="N1657" i="7"/>
  <c r="N1660" i="7"/>
  <c r="N1666" i="7"/>
  <c r="N1663" i="7" s="1"/>
  <c r="N1674" i="7"/>
  <c r="N1678" i="7"/>
  <c r="N1680" i="7"/>
  <c r="N1695" i="7"/>
  <c r="N1697" i="7"/>
  <c r="N1700" i="7"/>
  <c r="N1709" i="7"/>
  <c r="N1706" i="7" s="1"/>
  <c r="J1621" i="7"/>
  <c r="J1620" i="7" s="1"/>
  <c r="J1624" i="7"/>
  <c r="J1639" i="7"/>
  <c r="J1649" i="7"/>
  <c r="J1642" i="7" s="1"/>
  <c r="J1654" i="7"/>
  <c r="J1666" i="7"/>
  <c r="J1674" i="7"/>
  <c r="J1686" i="7"/>
  <c r="J1709" i="7"/>
  <c r="N777" i="7"/>
  <c r="N785" i="7"/>
  <c r="N787" i="7"/>
  <c r="N791" i="7"/>
  <c r="N798" i="7"/>
  <c r="N795" i="7" s="1"/>
  <c r="N817" i="7"/>
  <c r="N819" i="7"/>
  <c r="N822" i="7"/>
  <c r="N835" i="7"/>
  <c r="N832" i="7" s="1"/>
  <c r="N841" i="7"/>
  <c r="N853" i="7"/>
  <c r="N860" i="7"/>
  <c r="N872" i="7"/>
  <c r="N884" i="7"/>
  <c r="N886" i="7"/>
  <c r="N898" i="7"/>
  <c r="N900" i="7"/>
  <c r="N913" i="7"/>
  <c r="N915" i="7"/>
  <c r="N927" i="7"/>
  <c r="N935" i="7"/>
  <c r="N932" i="7" s="1"/>
  <c r="N944" i="7"/>
  <c r="N951" i="7"/>
  <c r="N956" i="7"/>
  <c r="N964" i="7"/>
  <c r="N982" i="7"/>
  <c r="N984" i="7"/>
  <c r="N999" i="7"/>
  <c r="N986" i="7" s="1"/>
  <c r="N1022" i="7"/>
  <c r="N1034" i="7"/>
  <c r="N1052" i="7"/>
  <c r="N1037" i="7" s="1"/>
  <c r="N1075" i="7"/>
  <c r="N1089" i="7"/>
  <c r="N1091" i="7"/>
  <c r="N1106" i="7"/>
  <c r="N1119" i="7"/>
  <c r="N1122" i="7"/>
  <c r="N1138" i="7"/>
  <c r="N1150" i="7"/>
  <c r="N1167" i="7"/>
  <c r="N1153" i="7" s="1"/>
  <c r="N1190" i="7"/>
  <c r="N1194" i="7"/>
  <c r="N1206" i="7"/>
  <c r="N1208" i="7"/>
  <c r="N1223" i="7"/>
  <c r="N1234" i="7"/>
  <c r="N1231" i="7" s="1"/>
  <c r="N1241" i="7"/>
  <c r="N1238" i="7" s="1"/>
  <c r="N1249" i="7"/>
  <c r="N1246" i="7" s="1"/>
  <c r="N1257" i="7"/>
  <c r="N1254" i="7" s="1"/>
  <c r="N1265" i="7"/>
  <c r="N1262" i="7" s="1"/>
  <c r="N1272" i="7"/>
  <c r="N1269" i="7" s="1"/>
  <c r="N1280" i="7"/>
  <c r="N1277" i="7" s="1"/>
  <c r="N1288" i="7"/>
  <c r="N1285" i="7" s="1"/>
  <c r="N1296" i="7"/>
  <c r="N1293" i="7" s="1"/>
  <c r="N1304" i="7"/>
  <c r="N1312" i="7"/>
  <c r="N1301" i="7" s="1"/>
  <c r="N1325" i="7"/>
  <c r="N1322" i="7" s="1"/>
  <c r="N1332" i="7"/>
  <c r="N1340" i="7"/>
  <c r="N1348" i="7"/>
  <c r="N1345" i="7" s="1"/>
  <c r="N1355" i="7"/>
  <c r="N1362" i="7"/>
  <c r="N1370" i="7"/>
  <c r="N1378" i="7"/>
  <c r="N1375" i="7" s="1"/>
  <c r="N1385" i="7"/>
  <c r="N1382" i="7" s="1"/>
  <c r="N1393" i="7"/>
  <c r="N1390" i="7" s="1"/>
  <c r="N1400" i="7"/>
  <c r="N1397" i="7" s="1"/>
  <c r="N1407" i="7"/>
  <c r="N1404" i="7" s="1"/>
  <c r="N1415" i="7"/>
  <c r="N1412" i="7" s="1"/>
  <c r="N1422" i="7"/>
  <c r="N1419" i="7" s="1"/>
  <c r="N1431" i="7"/>
  <c r="N1439" i="7"/>
  <c r="N1448" i="7"/>
  <c r="N1456" i="7"/>
  <c r="N1463" i="7"/>
  <c r="N1465" i="7"/>
  <c r="N1470" i="7"/>
  <c r="N1478" i="7"/>
  <c r="N1487" i="7"/>
  <c r="N1495" i="7"/>
  <c r="N1504" i="7"/>
  <c r="N1513" i="7"/>
  <c r="N1525" i="7"/>
  <c r="N1534" i="7"/>
  <c r="N1542" i="7"/>
  <c r="N1544" i="7"/>
  <c r="N1549" i="7"/>
  <c r="N1556" i="7"/>
  <c r="N1565" i="7"/>
  <c r="N1564" i="7" s="1"/>
  <c r="N1567" i="7"/>
  <c r="N1572" i="7"/>
  <c r="N1569" i="7" s="1"/>
  <c r="N1584" i="7"/>
  <c r="N1581" i="7" s="1"/>
  <c r="N1546" i="7" l="1"/>
  <c r="N1484" i="7"/>
  <c r="N1501" i="7"/>
  <c r="N1445" i="7"/>
  <c r="N1998" i="7"/>
  <c r="N1125" i="7"/>
  <c r="N883" i="7"/>
  <c r="N1810" i="7"/>
  <c r="J1943" i="7"/>
  <c r="N963" i="7"/>
  <c r="N871" i="7"/>
  <c r="J1623" i="7"/>
  <c r="J1740" i="7"/>
  <c r="N1770" i="7"/>
  <c r="J2040" i="7"/>
  <c r="N1467" i="7"/>
  <c r="N1462" i="7"/>
  <c r="N1428" i="7"/>
  <c r="N2043" i="7"/>
  <c r="N1036" i="7"/>
  <c r="N950" i="7"/>
  <c r="J2124" i="7"/>
  <c r="N859" i="7"/>
  <c r="N1813" i="7"/>
  <c r="N1189" i="7"/>
  <c r="N1033" i="7"/>
  <c r="N912" i="7"/>
  <c r="N874" i="7"/>
  <c r="J1638" i="7"/>
  <c r="N1649" i="7"/>
  <c r="N1642" i="7" s="1"/>
  <c r="J1749" i="7"/>
  <c r="J1845" i="7"/>
  <c r="N1852" i="7"/>
  <c r="J2119" i="7"/>
  <c r="J2118" i="7" s="1"/>
  <c r="J2003" i="7"/>
  <c r="J1879" i="7"/>
  <c r="N1875" i="7"/>
  <c r="J1868" i="7"/>
  <c r="J1773" i="7"/>
  <c r="J1706" i="7"/>
  <c r="J1683" i="7"/>
  <c r="J1663" i="7"/>
  <c r="J2059" i="7"/>
  <c r="J2049" i="7"/>
  <c r="N1984" i="7"/>
  <c r="J1985" i="7"/>
  <c r="J1957" i="7"/>
  <c r="J1930" i="7"/>
  <c r="N1541" i="7"/>
  <c r="N2016" i="7"/>
  <c r="N2009" i="7" s="1"/>
  <c r="N1321" i="7"/>
  <c r="N774" i="7"/>
  <c r="N1694" i="7"/>
  <c r="N1677" i="7"/>
  <c r="N816" i="7"/>
  <c r="N2118" i="7"/>
  <c r="N2117" i="7" s="1"/>
  <c r="H16" i="8" s="1"/>
  <c r="J2043" i="7"/>
  <c r="J2031" i="7"/>
  <c r="J1966" i="7"/>
  <c r="J2016" i="7"/>
  <c r="J1855" i="7"/>
  <c r="J1820" i="7"/>
  <c r="N1656" i="7"/>
  <c r="N897" i="7"/>
  <c r="N981" i="7"/>
  <c r="N1088" i="7"/>
  <c r="N1118" i="7"/>
  <c r="N1563" i="7"/>
  <c r="N1211" i="7"/>
  <c r="J764" i="7"/>
  <c r="J791" i="7"/>
  <c r="J798" i="7"/>
  <c r="J808" i="7"/>
  <c r="J816" i="7"/>
  <c r="J825" i="7"/>
  <c r="J822" i="7" s="1"/>
  <c r="J835" i="7"/>
  <c r="J844" i="7"/>
  <c r="J853" i="7"/>
  <c r="J859" i="7"/>
  <c r="J865" i="7"/>
  <c r="J871" i="7"/>
  <c r="J877" i="7"/>
  <c r="J883" i="7"/>
  <c r="J891" i="7"/>
  <c r="J905" i="7"/>
  <c r="J918" i="7"/>
  <c r="J915" i="7" s="1"/>
  <c r="J927" i="7"/>
  <c r="J935" i="7"/>
  <c r="J944" i="7"/>
  <c r="J950" i="7"/>
  <c r="J956" i="7"/>
  <c r="J963" i="7"/>
  <c r="J967" i="7"/>
  <c r="K989" i="7"/>
  <c r="J999" i="7"/>
  <c r="J1013" i="7"/>
  <c r="J1022" i="7"/>
  <c r="J1043" i="7"/>
  <c r="J1052" i="7"/>
  <c r="J1066" i="7"/>
  <c r="J1088" i="7"/>
  <c r="J1097" i="7"/>
  <c r="J1106" i="7"/>
  <c r="J1118" i="7"/>
  <c r="J1128" i="7"/>
  <c r="J1138" i="7"/>
  <c r="J1156" i="7"/>
  <c r="J1167" i="7"/>
  <c r="J1182" i="7"/>
  <c r="J1189" i="7"/>
  <c r="J1194" i="7"/>
  <c r="J1212" i="7"/>
  <c r="J1234" i="7"/>
  <c r="J1241" i="7"/>
  <c r="J1249" i="7"/>
  <c r="J1257" i="7"/>
  <c r="J1265" i="7"/>
  <c r="J1272" i="7"/>
  <c r="J1280" i="7"/>
  <c r="J1288" i="7"/>
  <c r="J1296" i="7"/>
  <c r="J1304" i="7"/>
  <c r="J1315" i="7"/>
  <c r="J1325" i="7"/>
  <c r="J1332" i="7"/>
  <c r="J1348" i="7"/>
  <c r="J1355" i="7"/>
  <c r="K1362" i="7"/>
  <c r="J1378" i="7"/>
  <c r="J1385" i="7"/>
  <c r="J1393" i="7"/>
  <c r="J1400" i="7"/>
  <c r="J1415" i="7"/>
  <c r="J1431" i="7"/>
  <c r="J1439" i="7"/>
  <c r="J1448" i="7"/>
  <c r="J1445" i="7" s="1"/>
  <c r="J1463" i="7"/>
  <c r="J1465" i="7"/>
  <c r="J1470" i="7"/>
  <c r="J1478" i="7"/>
  <c r="J1487" i="7"/>
  <c r="J1495" i="7"/>
  <c r="J1504" i="7"/>
  <c r="J1513" i="7"/>
  <c r="J1525" i="7"/>
  <c r="J1534" i="7"/>
  <c r="J1541" i="7"/>
  <c r="J1549" i="7"/>
  <c r="J1556" i="7"/>
  <c r="J1565" i="7"/>
  <c r="J1567" i="7"/>
  <c r="J1572" i="7"/>
  <c r="J1581" i="7"/>
  <c r="N589" i="7"/>
  <c r="N588" i="7" s="1"/>
  <c r="N592" i="7"/>
  <c r="N607" i="7"/>
  <c r="N614" i="7"/>
  <c r="N618" i="7"/>
  <c r="N620" i="7"/>
  <c r="N647" i="7"/>
  <c r="N698" i="7"/>
  <c r="J589" i="7"/>
  <c r="J593" i="7"/>
  <c r="J607" i="7"/>
  <c r="J613" i="7"/>
  <c r="J617" i="7"/>
  <c r="J616" i="7" s="1"/>
  <c r="J697" i="7"/>
  <c r="N460" i="7"/>
  <c r="N469" i="7"/>
  <c r="N472" i="7"/>
  <c r="N479" i="7"/>
  <c r="N481" i="7"/>
  <c r="N491" i="7"/>
  <c r="N498" i="7"/>
  <c r="N501" i="7"/>
  <c r="N504" i="7"/>
  <c r="N506" i="7"/>
  <c r="N508" i="7"/>
  <c r="N512" i="7"/>
  <c r="N523" i="7"/>
  <c r="N526" i="7"/>
  <c r="J460" i="7"/>
  <c r="J469" i="7"/>
  <c r="J471" i="7"/>
  <c r="J476" i="7"/>
  <c r="J478" i="7"/>
  <c r="J491" i="7"/>
  <c r="J497" i="7"/>
  <c r="J501" i="7"/>
  <c r="J503" i="7"/>
  <c r="J509" i="7"/>
  <c r="J512" i="7"/>
  <c r="J518" i="7"/>
  <c r="J522" i="7"/>
  <c r="J525" i="7"/>
  <c r="N331" i="7"/>
  <c r="N329" i="7" s="1"/>
  <c r="N337" i="7"/>
  <c r="N334" i="7" s="1"/>
  <c r="N348" i="7"/>
  <c r="N345" i="7" s="1"/>
  <c r="N359" i="7"/>
  <c r="N355" i="7" s="1"/>
  <c r="N356" i="7" s="1"/>
  <c r="N369" i="7"/>
  <c r="N375" i="7"/>
  <c r="N378" i="7"/>
  <c r="N384" i="7"/>
  <c r="N386" i="7"/>
  <c r="N395" i="7"/>
  <c r="N392" i="7" s="1"/>
  <c r="N391" i="7" s="1"/>
  <c r="J331" i="7"/>
  <c r="J337" i="7"/>
  <c r="J348" i="7"/>
  <c r="J359" i="7"/>
  <c r="J369" i="7"/>
  <c r="J375" i="7"/>
  <c r="J378" i="7"/>
  <c r="J383" i="7"/>
  <c r="J395" i="7"/>
  <c r="J392" i="7" s="1"/>
  <c r="N201" i="7"/>
  <c r="N200" i="7" s="1"/>
  <c r="N205" i="7"/>
  <c r="N204" i="7" s="1"/>
  <c r="N208" i="7"/>
  <c r="N211" i="7"/>
  <c r="N215" i="7"/>
  <c r="N218" i="7"/>
  <c r="N221" i="7"/>
  <c r="N220" i="7" s="1"/>
  <c r="N225" i="7"/>
  <c r="N230" i="7"/>
  <c r="N232" i="7"/>
  <c r="N238" i="7"/>
  <c r="N249" i="7"/>
  <c r="N255" i="7"/>
  <c r="N259" i="7"/>
  <c r="N262" i="7"/>
  <c r="N261" i="7" s="1"/>
  <c r="N271" i="7"/>
  <c r="N273" i="7"/>
  <c r="N276" i="7"/>
  <c r="N275" i="7" s="1"/>
  <c r="J201" i="7"/>
  <c r="J205" i="7"/>
  <c r="J204" i="7" s="1"/>
  <c r="J208" i="7"/>
  <c r="J211" i="7"/>
  <c r="J215" i="7"/>
  <c r="J218" i="7"/>
  <c r="J221" i="7"/>
  <c r="J220" i="7" s="1"/>
  <c r="J229" i="7"/>
  <c r="J238" i="7"/>
  <c r="J249" i="7"/>
  <c r="J255" i="7"/>
  <c r="J258" i="7"/>
  <c r="J262" i="7"/>
  <c r="J266" i="7"/>
  <c r="J270" i="7"/>
  <c r="J276" i="7"/>
  <c r="J136" i="7"/>
  <c r="J141" i="7"/>
  <c r="J143" i="7"/>
  <c r="N1802" i="7" l="1"/>
  <c r="N1010" i="7"/>
  <c r="J1010" i="7"/>
  <c r="J2117" i="7"/>
  <c r="J329" i="7"/>
  <c r="N1094" i="7"/>
  <c r="N1653" i="7"/>
  <c r="N1693" i="7"/>
  <c r="N1849" i="7"/>
  <c r="J1748" i="7"/>
  <c r="N902" i="7"/>
  <c r="N850" i="7"/>
  <c r="N1764" i="7"/>
  <c r="J275" i="7"/>
  <c r="J500" i="7"/>
  <c r="N525" i="7"/>
  <c r="J588" i="7"/>
  <c r="J1569" i="7"/>
  <c r="N888" i="7"/>
  <c r="N1673" i="7"/>
  <c r="N1179" i="7"/>
  <c r="N941" i="7"/>
  <c r="N953" i="7"/>
  <c r="J214" i="7"/>
  <c r="N522" i="7"/>
  <c r="N503" i="7"/>
  <c r="N697" i="7"/>
  <c r="J135" i="7"/>
  <c r="J261" i="7"/>
  <c r="J207" i="7"/>
  <c r="N258" i="7"/>
  <c r="N246" i="7" s="1"/>
  <c r="J377" i="7"/>
  <c r="J345" i="7"/>
  <c r="N471" i="7"/>
  <c r="J592" i="7"/>
  <c r="N972" i="7"/>
  <c r="N862" i="7"/>
  <c r="J1942" i="7"/>
  <c r="J200" i="7"/>
  <c r="J508" i="7"/>
  <c r="J1564" i="7"/>
  <c r="N1063" i="7"/>
  <c r="N803" i="7"/>
  <c r="N789" i="7" s="1"/>
  <c r="N1522" i="7"/>
  <c r="N613" i="7"/>
  <c r="N1868" i="7"/>
  <c r="N1867" i="7" s="1"/>
  <c r="J1844" i="7"/>
  <c r="J1998" i="7"/>
  <c r="J1878" i="7"/>
  <c r="J1867" i="7"/>
  <c r="J1802" i="7"/>
  <c r="J1764" i="7"/>
  <c r="J1693" i="7"/>
  <c r="J1673" i="7"/>
  <c r="J1653" i="7"/>
  <c r="J604" i="7"/>
  <c r="N497" i="7"/>
  <c r="J488" i="7"/>
  <c r="J391" i="7"/>
  <c r="J366" i="7"/>
  <c r="J355" i="7"/>
  <c r="J235" i="7"/>
  <c r="J2058" i="7"/>
  <c r="J2030" i="7"/>
  <c r="J2009" i="7"/>
  <c r="N1965" i="7"/>
  <c r="J1984" i="7"/>
  <c r="J1956" i="7"/>
  <c r="J1931" i="7"/>
  <c r="J1522" i="7"/>
  <c r="J1462" i="7"/>
  <c r="J1428" i="7"/>
  <c r="J1412" i="7"/>
  <c r="J1397" i="7"/>
  <c r="J1390" i="7"/>
  <c r="J1382" i="7"/>
  <c r="J1375" i="7"/>
  <c r="K1370" i="7"/>
  <c r="J1352" i="7"/>
  <c r="J1345" i="7"/>
  <c r="K1340" i="7"/>
  <c r="J1329" i="7"/>
  <c r="J1322" i="7"/>
  <c r="J1301" i="7"/>
  <c r="J1293" i="7"/>
  <c r="J1285" i="7"/>
  <c r="J1277" i="7"/>
  <c r="J1269" i="7"/>
  <c r="J1262" i="7"/>
  <c r="J1254" i="7"/>
  <c r="J1246" i="7"/>
  <c r="J1238" i="7"/>
  <c r="J1231" i="7"/>
  <c r="J1220" i="7"/>
  <c r="J932" i="7"/>
  <c r="J924" i="7"/>
  <c r="J902" i="7"/>
  <c r="J888" i="7"/>
  <c r="J862" i="7"/>
  <c r="J841" i="7"/>
  <c r="J832" i="7"/>
  <c r="J803" i="7"/>
  <c r="J795" i="7"/>
  <c r="J265" i="7"/>
  <c r="J1153" i="7"/>
  <c r="J941" i="7"/>
  <c r="N214" i="7"/>
  <c r="N366" i="7"/>
  <c r="N365" i="7" s="1"/>
  <c r="J1484" i="7"/>
  <c r="J1125" i="7"/>
  <c r="J1040" i="7"/>
  <c r="N383" i="7"/>
  <c r="J246" i="7"/>
  <c r="N207" i="7"/>
  <c r="J953" i="7"/>
  <c r="J986" i="7"/>
  <c r="J1094" i="7"/>
  <c r="J1179" i="7"/>
  <c r="J1467" i="7"/>
  <c r="J1501" i="7"/>
  <c r="J1546" i="7"/>
  <c r="J790" i="7"/>
  <c r="J1063" i="7"/>
  <c r="J874" i="7"/>
  <c r="J850" i="7"/>
  <c r="N617" i="7"/>
  <c r="N478" i="7"/>
  <c r="J457" i="7"/>
  <c r="J511" i="7"/>
  <c r="J334" i="7"/>
  <c r="N229" i="7"/>
  <c r="N224" i="7" s="1"/>
  <c r="N270" i="7"/>
  <c r="J140" i="7"/>
  <c r="N511" i="7" l="1"/>
  <c r="J1563" i="7"/>
  <c r="N1637" i="7"/>
  <c r="N1619" i="7" s="1"/>
  <c r="J591" i="7"/>
  <c r="J587" i="7" s="1"/>
  <c r="J134" i="7"/>
  <c r="R134" i="7" s="1"/>
  <c r="N377" i="7"/>
  <c r="J224" i="7"/>
  <c r="R224" i="7" s="1"/>
  <c r="N265" i="7"/>
  <c r="R265" i="7" s="1"/>
  <c r="N763" i="7"/>
  <c r="E16" i="8"/>
  <c r="K16" i="8" s="1"/>
  <c r="N971" i="7"/>
  <c r="N203" i="7"/>
  <c r="N604" i="7"/>
  <c r="N1314" i="7"/>
  <c r="N1739" i="7"/>
  <c r="N1844" i="7"/>
  <c r="J203" i="7"/>
  <c r="N457" i="7"/>
  <c r="N500" i="7"/>
  <c r="J1801" i="7"/>
  <c r="J1739" i="7"/>
  <c r="J1637" i="7"/>
  <c r="N488" i="7"/>
  <c r="J475" i="7"/>
  <c r="J365" i="7"/>
  <c r="J356" i="7"/>
  <c r="N1929" i="7"/>
  <c r="J1965" i="7"/>
  <c r="K1359" i="7"/>
  <c r="J1321" i="7"/>
  <c r="J1211" i="7"/>
  <c r="J971" i="7"/>
  <c r="N616" i="7"/>
  <c r="J789" i="7"/>
  <c r="R2117" i="7"/>
  <c r="R2119" i="7"/>
  <c r="R2120" i="7"/>
  <c r="R2121" i="7"/>
  <c r="R2122" i="7"/>
  <c r="R2123" i="7"/>
  <c r="R2124" i="7"/>
  <c r="R2125" i="7"/>
  <c r="R2126" i="7"/>
  <c r="R2127" i="7"/>
  <c r="R2128" i="7"/>
  <c r="R2129" i="7"/>
  <c r="R2130" i="7"/>
  <c r="R2131" i="7"/>
  <c r="R1930" i="7"/>
  <c r="R1931" i="7"/>
  <c r="R1932" i="7"/>
  <c r="R1933" i="7"/>
  <c r="R1934" i="7"/>
  <c r="R1935" i="7"/>
  <c r="R1936" i="7"/>
  <c r="R1937" i="7"/>
  <c r="R1938" i="7"/>
  <c r="R1939" i="7"/>
  <c r="R1940" i="7"/>
  <c r="R1941" i="7"/>
  <c r="R1942" i="7"/>
  <c r="R1943" i="7"/>
  <c r="R1944" i="7"/>
  <c r="R1945" i="7"/>
  <c r="R1946" i="7"/>
  <c r="R1947" i="7"/>
  <c r="R1948" i="7"/>
  <c r="R1949" i="7"/>
  <c r="R1950" i="7"/>
  <c r="R1951" i="7"/>
  <c r="R1952" i="7"/>
  <c r="R1953" i="7"/>
  <c r="R1954" i="7"/>
  <c r="R1955" i="7"/>
  <c r="R1956" i="7"/>
  <c r="R1957" i="7"/>
  <c r="R1958" i="7"/>
  <c r="R1959" i="7"/>
  <c r="R1960" i="7"/>
  <c r="R1961" i="7"/>
  <c r="R1962" i="7"/>
  <c r="R1963" i="7"/>
  <c r="R1964" i="7"/>
  <c r="R1966" i="7"/>
  <c r="R1967" i="7"/>
  <c r="R1968" i="7"/>
  <c r="R1969" i="7"/>
  <c r="R1970" i="7"/>
  <c r="R1972" i="7"/>
  <c r="R1973" i="7"/>
  <c r="R1974" i="7"/>
  <c r="R1975" i="7"/>
  <c r="R1976" i="7"/>
  <c r="R1977" i="7"/>
  <c r="R1978" i="7"/>
  <c r="R1979" i="7"/>
  <c r="R1980" i="7"/>
  <c r="R1981" i="7"/>
  <c r="R1982" i="7"/>
  <c r="R1983" i="7"/>
  <c r="R1984" i="7"/>
  <c r="R1985" i="7"/>
  <c r="R1986" i="7"/>
  <c r="R1987" i="7"/>
  <c r="R1988" i="7"/>
  <c r="R1989" i="7"/>
  <c r="R1990" i="7"/>
  <c r="R1991" i="7"/>
  <c r="R1992" i="7"/>
  <c r="R1993" i="7"/>
  <c r="R1994" i="7"/>
  <c r="R1995" i="7"/>
  <c r="R1996" i="7"/>
  <c r="R1997" i="7"/>
  <c r="R1998" i="7"/>
  <c r="R1999" i="7"/>
  <c r="R2000" i="7"/>
  <c r="R2001" i="7"/>
  <c r="R2002" i="7"/>
  <c r="R2003" i="7"/>
  <c r="R2004" i="7"/>
  <c r="R2005" i="7"/>
  <c r="R2006" i="7"/>
  <c r="R2007" i="7"/>
  <c r="R2008" i="7"/>
  <c r="R2009" i="7"/>
  <c r="R2010" i="7"/>
  <c r="R2011" i="7"/>
  <c r="R2012" i="7"/>
  <c r="R2013" i="7"/>
  <c r="R2014" i="7"/>
  <c r="R2015" i="7"/>
  <c r="R2016" i="7"/>
  <c r="R2017" i="7"/>
  <c r="R2018" i="7"/>
  <c r="R2019" i="7"/>
  <c r="R2020" i="7"/>
  <c r="R2021" i="7"/>
  <c r="R2022" i="7"/>
  <c r="R2023" i="7"/>
  <c r="R2024" i="7"/>
  <c r="R2025" i="7"/>
  <c r="R2026" i="7"/>
  <c r="R2027" i="7"/>
  <c r="R2028" i="7"/>
  <c r="R2029" i="7"/>
  <c r="R2030" i="7"/>
  <c r="R2031" i="7"/>
  <c r="R2032" i="7"/>
  <c r="R2033" i="7"/>
  <c r="R2034" i="7"/>
  <c r="R2035" i="7"/>
  <c r="R2036" i="7"/>
  <c r="R2037" i="7"/>
  <c r="R2038" i="7"/>
  <c r="R2039" i="7"/>
  <c r="R2040" i="7"/>
  <c r="R2041" i="7"/>
  <c r="R2042" i="7"/>
  <c r="R2043" i="7"/>
  <c r="R2044" i="7"/>
  <c r="R2045" i="7"/>
  <c r="R2046" i="7"/>
  <c r="R2047" i="7"/>
  <c r="R2048" i="7"/>
  <c r="R2049" i="7"/>
  <c r="R2050" i="7"/>
  <c r="R2051" i="7"/>
  <c r="R2052" i="7"/>
  <c r="R2053" i="7"/>
  <c r="R2054" i="7"/>
  <c r="R2055" i="7"/>
  <c r="R2056" i="7"/>
  <c r="R2057" i="7"/>
  <c r="R2058" i="7"/>
  <c r="R2059" i="7"/>
  <c r="R2060" i="7"/>
  <c r="R2061" i="7"/>
  <c r="R2062" i="7"/>
  <c r="R2063" i="7"/>
  <c r="R2064" i="7"/>
  <c r="R2065" i="7"/>
  <c r="R2066" i="7"/>
  <c r="R2067" i="7"/>
  <c r="R2068" i="7"/>
  <c r="R2069" i="7"/>
  <c r="R1802" i="7"/>
  <c r="R1803" i="7"/>
  <c r="R1804" i="7"/>
  <c r="R1805" i="7"/>
  <c r="R1810" i="7"/>
  <c r="R1811" i="7"/>
  <c r="R1813" i="7"/>
  <c r="R1814" i="7"/>
  <c r="R1815" i="7"/>
  <c r="R1816" i="7"/>
  <c r="R1817" i="7"/>
  <c r="R1818" i="7"/>
  <c r="R1819" i="7"/>
  <c r="R1820" i="7"/>
  <c r="R1821" i="7"/>
  <c r="R1822" i="7"/>
  <c r="R1823" i="7"/>
  <c r="R1824" i="7"/>
  <c r="R1825" i="7"/>
  <c r="R1826" i="7"/>
  <c r="R1827" i="7"/>
  <c r="R1828" i="7"/>
  <c r="R1829" i="7"/>
  <c r="R1830" i="7"/>
  <c r="R1832" i="7"/>
  <c r="R1833" i="7"/>
  <c r="R1834" i="7"/>
  <c r="R1835" i="7"/>
  <c r="R1836" i="7"/>
  <c r="R1837" i="7"/>
  <c r="R1838" i="7"/>
  <c r="R1839" i="7"/>
  <c r="R1840" i="7"/>
  <c r="R1842" i="7"/>
  <c r="R1844" i="7"/>
  <c r="R1845" i="7"/>
  <c r="R1846" i="7"/>
  <c r="R1847" i="7"/>
  <c r="R1848" i="7"/>
  <c r="R1849" i="7"/>
  <c r="R1850" i="7"/>
  <c r="R1851" i="7"/>
  <c r="R1852" i="7"/>
  <c r="R1853" i="7"/>
  <c r="R1854" i="7"/>
  <c r="R1855" i="7"/>
  <c r="R1856" i="7"/>
  <c r="R1857" i="7"/>
  <c r="R1858" i="7"/>
  <c r="R1859" i="7"/>
  <c r="R1860" i="7"/>
  <c r="R1861" i="7"/>
  <c r="R1862" i="7"/>
  <c r="R1863" i="7"/>
  <c r="R1864" i="7"/>
  <c r="R1865" i="7"/>
  <c r="R1866" i="7"/>
  <c r="R1867" i="7"/>
  <c r="R1868" i="7"/>
  <c r="R1869" i="7"/>
  <c r="R1870" i="7"/>
  <c r="R1871" i="7"/>
  <c r="R1872" i="7"/>
  <c r="R1873" i="7"/>
  <c r="R1874" i="7"/>
  <c r="R1875" i="7"/>
  <c r="R1876" i="7"/>
  <c r="R1877" i="7"/>
  <c r="R1878" i="7"/>
  <c r="R1879" i="7"/>
  <c r="R1880" i="7"/>
  <c r="R1881" i="7"/>
  <c r="R1882" i="7"/>
  <c r="R1883" i="7"/>
  <c r="R1884" i="7"/>
  <c r="R1885" i="7"/>
  <c r="R1886" i="7"/>
  <c r="R1887" i="7"/>
  <c r="R1888" i="7"/>
  <c r="R1889" i="7"/>
  <c r="R1740" i="7"/>
  <c r="R1741" i="7"/>
  <c r="R1742" i="7"/>
  <c r="R1743" i="7"/>
  <c r="R1744" i="7"/>
  <c r="R1745" i="7"/>
  <c r="R1746" i="7"/>
  <c r="R1747" i="7"/>
  <c r="R1748" i="7"/>
  <c r="R1749" i="7"/>
  <c r="R1750" i="7"/>
  <c r="R1751" i="7"/>
  <c r="R1752" i="7"/>
  <c r="R1753" i="7"/>
  <c r="R1754" i="7"/>
  <c r="R1755" i="7"/>
  <c r="R1756" i="7"/>
  <c r="R1757" i="7"/>
  <c r="R1758" i="7"/>
  <c r="R1759" i="7"/>
  <c r="R1760" i="7"/>
  <c r="R1761" i="7"/>
  <c r="R1762" i="7"/>
  <c r="R1763" i="7"/>
  <c r="R1764" i="7"/>
  <c r="R1765" i="7"/>
  <c r="R1766" i="7"/>
  <c r="R1767" i="7"/>
  <c r="R1768" i="7"/>
  <c r="R1769" i="7"/>
  <c r="R1770" i="7"/>
  <c r="R1771" i="7"/>
  <c r="R1772" i="7"/>
  <c r="R1773" i="7"/>
  <c r="R1774" i="7"/>
  <c r="R1775" i="7"/>
  <c r="R1776" i="7"/>
  <c r="R1777" i="7"/>
  <c r="R1778" i="7"/>
  <c r="R1779" i="7"/>
  <c r="R1780" i="7"/>
  <c r="R1781" i="7"/>
  <c r="R1782" i="7"/>
  <c r="R1783" i="7"/>
  <c r="R1784" i="7"/>
  <c r="R1785" i="7"/>
  <c r="R1786" i="7"/>
  <c r="R1620" i="7"/>
  <c r="R1621" i="7"/>
  <c r="R1622" i="7"/>
  <c r="R1623" i="7"/>
  <c r="R1624" i="7"/>
  <c r="R1625" i="7"/>
  <c r="R1626" i="7"/>
  <c r="R1627" i="7"/>
  <c r="R1628" i="7"/>
  <c r="R1629" i="7"/>
  <c r="R1630" i="7"/>
  <c r="R1631" i="7"/>
  <c r="R1632" i="7"/>
  <c r="R1633" i="7"/>
  <c r="R1634" i="7"/>
  <c r="R1635" i="7"/>
  <c r="R1636" i="7"/>
  <c r="R1638" i="7"/>
  <c r="R1639" i="7"/>
  <c r="R1640" i="7"/>
  <c r="R1641" i="7"/>
  <c r="R1642" i="7"/>
  <c r="R1643" i="7"/>
  <c r="R1644" i="7"/>
  <c r="R1645" i="7"/>
  <c r="R1646" i="7"/>
  <c r="R1647" i="7"/>
  <c r="R1648" i="7"/>
  <c r="R1649" i="7"/>
  <c r="R1650" i="7"/>
  <c r="R1651" i="7"/>
  <c r="R1652" i="7"/>
  <c r="R1653" i="7"/>
  <c r="R1654" i="7"/>
  <c r="R1655" i="7"/>
  <c r="R1656" i="7"/>
  <c r="R1657" i="7"/>
  <c r="R1658" i="7"/>
  <c r="R1659" i="7"/>
  <c r="R1660" i="7"/>
  <c r="R1661" i="7"/>
  <c r="R1662" i="7"/>
  <c r="R1663" i="7"/>
  <c r="R1664" i="7"/>
  <c r="R1665" i="7"/>
  <c r="R1666" i="7"/>
  <c r="R1667" i="7"/>
  <c r="R1668" i="7"/>
  <c r="R1669" i="7"/>
  <c r="R1670" i="7"/>
  <c r="R1671" i="7"/>
  <c r="R1672" i="7"/>
  <c r="R1673" i="7"/>
  <c r="R1674" i="7"/>
  <c r="R1675" i="7"/>
  <c r="R1676" i="7"/>
  <c r="R1677" i="7"/>
  <c r="R1678" i="7"/>
  <c r="R1679" i="7"/>
  <c r="R1680" i="7"/>
  <c r="R1681" i="7"/>
  <c r="R1682" i="7"/>
  <c r="R1683" i="7"/>
  <c r="R1684" i="7"/>
  <c r="R1685" i="7"/>
  <c r="R1686" i="7"/>
  <c r="R1687" i="7"/>
  <c r="R1688" i="7"/>
  <c r="R1689" i="7"/>
  <c r="R1690" i="7"/>
  <c r="R1691" i="7"/>
  <c r="R1692" i="7"/>
  <c r="R1693" i="7"/>
  <c r="R1694" i="7"/>
  <c r="R1695" i="7"/>
  <c r="R1697" i="7"/>
  <c r="R1698" i="7"/>
  <c r="R1699" i="7"/>
  <c r="R1700" i="7"/>
  <c r="R1701" i="7"/>
  <c r="R1702" i="7"/>
  <c r="R1703" i="7"/>
  <c r="R1706" i="7"/>
  <c r="R1707" i="7"/>
  <c r="R1708" i="7"/>
  <c r="R1709" i="7"/>
  <c r="R1710" i="7"/>
  <c r="R1711" i="7"/>
  <c r="R1712" i="7"/>
  <c r="R1713" i="7"/>
  <c r="R1714" i="7"/>
  <c r="R1715" i="7"/>
  <c r="R1716" i="7"/>
  <c r="R764" i="7"/>
  <c r="R765" i="7"/>
  <c r="R766" i="7"/>
  <c r="R767" i="7"/>
  <c r="R768" i="7"/>
  <c r="R769" i="7"/>
  <c r="R770" i="7"/>
  <c r="R771" i="7"/>
  <c r="R772" i="7"/>
  <c r="R773" i="7"/>
  <c r="R774" i="7"/>
  <c r="R775" i="7"/>
  <c r="R776" i="7"/>
  <c r="R777" i="7"/>
  <c r="R779" i="7"/>
  <c r="R780" i="7"/>
  <c r="R781" i="7"/>
  <c r="R782" i="7"/>
  <c r="R783" i="7"/>
  <c r="R784" i="7"/>
  <c r="R785" i="7"/>
  <c r="R786" i="7"/>
  <c r="R787" i="7"/>
  <c r="R788" i="7"/>
  <c r="R790" i="7"/>
  <c r="R791" i="7"/>
  <c r="R792" i="7"/>
  <c r="R793" i="7"/>
  <c r="R794" i="7"/>
  <c r="R795" i="7"/>
  <c r="R796" i="7"/>
  <c r="R797" i="7"/>
  <c r="R798" i="7"/>
  <c r="R799" i="7"/>
  <c r="R800" i="7"/>
  <c r="R801" i="7"/>
  <c r="R802" i="7"/>
  <c r="R803" i="7"/>
  <c r="R804" i="7"/>
  <c r="R805" i="7"/>
  <c r="R806" i="7"/>
  <c r="R807" i="7"/>
  <c r="R808" i="7"/>
  <c r="R809" i="7"/>
  <c r="R810" i="7"/>
  <c r="R811" i="7"/>
  <c r="R812" i="7"/>
  <c r="R813" i="7"/>
  <c r="R814" i="7"/>
  <c r="R815" i="7"/>
  <c r="R816" i="7"/>
  <c r="R817" i="7"/>
  <c r="R818" i="7"/>
  <c r="R819" i="7"/>
  <c r="R820" i="7"/>
  <c r="R821" i="7"/>
  <c r="R822" i="7"/>
  <c r="R823" i="7"/>
  <c r="R824" i="7"/>
  <c r="R825" i="7"/>
  <c r="R826" i="7"/>
  <c r="R827" i="7"/>
  <c r="R828" i="7"/>
  <c r="R829" i="7"/>
  <c r="R830" i="7"/>
  <c r="R832" i="7"/>
  <c r="R833" i="7"/>
  <c r="R834" i="7"/>
  <c r="R835" i="7"/>
  <c r="R836" i="7"/>
  <c r="R837" i="7"/>
  <c r="R838" i="7"/>
  <c r="R839" i="7"/>
  <c r="R840" i="7"/>
  <c r="R841" i="7"/>
  <c r="R842" i="7"/>
  <c r="R843" i="7"/>
  <c r="R844" i="7"/>
  <c r="R845" i="7"/>
  <c r="R846" i="7"/>
  <c r="R847" i="7"/>
  <c r="R848" i="7"/>
  <c r="R849" i="7"/>
  <c r="R850" i="7"/>
  <c r="R851" i="7"/>
  <c r="R852" i="7"/>
  <c r="R853" i="7"/>
  <c r="R854" i="7"/>
  <c r="R855" i="7"/>
  <c r="R856" i="7"/>
  <c r="R857" i="7"/>
  <c r="R858" i="7"/>
  <c r="R859" i="7"/>
  <c r="R860" i="7"/>
  <c r="R861" i="7"/>
  <c r="R862" i="7"/>
  <c r="R863" i="7"/>
  <c r="R864" i="7"/>
  <c r="R865" i="7"/>
  <c r="R866" i="7"/>
  <c r="R867" i="7"/>
  <c r="R868" i="7"/>
  <c r="R869" i="7"/>
  <c r="R870" i="7"/>
  <c r="R871" i="7"/>
  <c r="R872" i="7"/>
  <c r="R873" i="7"/>
  <c r="R874" i="7"/>
  <c r="R875" i="7"/>
  <c r="R876" i="7"/>
  <c r="R877" i="7"/>
  <c r="R878" i="7"/>
  <c r="R879" i="7"/>
  <c r="R880" i="7"/>
  <c r="R881" i="7"/>
  <c r="R882" i="7"/>
  <c r="R883" i="7"/>
  <c r="R884" i="7"/>
  <c r="R885" i="7"/>
  <c r="R886" i="7"/>
  <c r="R887" i="7"/>
  <c r="R888" i="7"/>
  <c r="R889" i="7"/>
  <c r="R890" i="7"/>
  <c r="R891" i="7"/>
  <c r="R892" i="7"/>
  <c r="R893" i="7"/>
  <c r="R894" i="7"/>
  <c r="R895" i="7"/>
  <c r="R896" i="7"/>
  <c r="R897" i="7"/>
  <c r="R898" i="7"/>
  <c r="R899" i="7"/>
  <c r="R900" i="7"/>
  <c r="R901" i="7"/>
  <c r="R902" i="7"/>
  <c r="R903" i="7"/>
  <c r="R904" i="7"/>
  <c r="R905" i="7"/>
  <c r="R906" i="7"/>
  <c r="R907" i="7"/>
  <c r="R908" i="7"/>
  <c r="R909" i="7"/>
  <c r="R910" i="7"/>
  <c r="R911" i="7"/>
  <c r="R912" i="7"/>
  <c r="R913" i="7"/>
  <c r="R914" i="7"/>
  <c r="R915" i="7"/>
  <c r="R916" i="7"/>
  <c r="R917" i="7"/>
  <c r="R918" i="7"/>
  <c r="R919" i="7"/>
  <c r="R920" i="7"/>
  <c r="R921" i="7"/>
  <c r="R922" i="7"/>
  <c r="R924" i="7"/>
  <c r="R925" i="7"/>
  <c r="R926" i="7"/>
  <c r="R927" i="7"/>
  <c r="R928" i="7"/>
  <c r="R929" i="7"/>
  <c r="R930" i="7"/>
  <c r="R931" i="7"/>
  <c r="R932" i="7"/>
  <c r="R933" i="7"/>
  <c r="R934" i="7"/>
  <c r="R935" i="7"/>
  <c r="R936" i="7"/>
  <c r="R937" i="7"/>
  <c r="R938" i="7"/>
  <c r="R939" i="7"/>
  <c r="R940" i="7"/>
  <c r="R941" i="7"/>
  <c r="R942" i="7"/>
  <c r="R943" i="7"/>
  <c r="R944" i="7"/>
  <c r="R945" i="7"/>
  <c r="R946" i="7"/>
  <c r="R947" i="7"/>
  <c r="R948" i="7"/>
  <c r="R949" i="7"/>
  <c r="R950" i="7"/>
  <c r="R951" i="7"/>
  <c r="R952" i="7"/>
  <c r="R953" i="7"/>
  <c r="R954" i="7"/>
  <c r="R955" i="7"/>
  <c r="R956" i="7"/>
  <c r="R957" i="7"/>
  <c r="R958" i="7"/>
  <c r="R959" i="7"/>
  <c r="R960" i="7"/>
  <c r="R961" i="7"/>
  <c r="R962" i="7"/>
  <c r="R963" i="7"/>
  <c r="R964" i="7"/>
  <c r="R965" i="7"/>
  <c r="R967" i="7"/>
  <c r="R968" i="7"/>
  <c r="R969" i="7"/>
  <c r="R970" i="7"/>
  <c r="R972" i="7"/>
  <c r="R973" i="7"/>
  <c r="R974" i="7"/>
  <c r="R975" i="7"/>
  <c r="R976" i="7"/>
  <c r="R977" i="7"/>
  <c r="R979" i="7"/>
  <c r="R981" i="7"/>
  <c r="R982" i="7"/>
  <c r="R983" i="7"/>
  <c r="R984" i="7"/>
  <c r="R985" i="7"/>
  <c r="R986" i="7"/>
  <c r="R987" i="7"/>
  <c r="R988" i="7"/>
  <c r="R989" i="7"/>
  <c r="R990" i="7"/>
  <c r="R991" i="7"/>
  <c r="R992" i="7"/>
  <c r="R994" i="7"/>
  <c r="R995" i="7"/>
  <c r="R996" i="7"/>
  <c r="R997" i="7"/>
  <c r="R998" i="7"/>
  <c r="R999" i="7"/>
  <c r="R1000" i="7"/>
  <c r="R1001" i="7"/>
  <c r="R1002" i="7"/>
  <c r="R1003" i="7"/>
  <c r="R1004" i="7"/>
  <c r="R1005" i="7"/>
  <c r="R1006" i="7"/>
  <c r="R1007" i="7"/>
  <c r="R1009" i="7"/>
  <c r="R1010" i="7"/>
  <c r="R1011" i="7"/>
  <c r="R1012" i="7"/>
  <c r="R1013" i="7"/>
  <c r="R1014" i="7"/>
  <c r="R1015" i="7"/>
  <c r="R1016" i="7"/>
  <c r="R1017" i="7"/>
  <c r="R1018" i="7"/>
  <c r="R1019" i="7"/>
  <c r="R1020" i="7"/>
  <c r="R1021" i="7"/>
  <c r="R1022" i="7"/>
  <c r="R1023" i="7"/>
  <c r="R1024" i="7"/>
  <c r="R1025" i="7"/>
  <c r="R1026" i="7"/>
  <c r="R1027" i="7"/>
  <c r="R1028" i="7"/>
  <c r="R1029" i="7"/>
  <c r="R1031" i="7"/>
  <c r="R1033" i="7"/>
  <c r="R1034" i="7"/>
  <c r="R1035" i="7"/>
  <c r="R1036" i="7"/>
  <c r="R1037" i="7"/>
  <c r="R1038" i="7"/>
  <c r="R1039" i="7"/>
  <c r="R1040" i="7"/>
  <c r="R1041" i="7"/>
  <c r="R1042" i="7"/>
  <c r="R1043" i="7"/>
  <c r="R1044" i="7"/>
  <c r="R1045" i="7"/>
  <c r="R1046" i="7"/>
  <c r="R1047" i="7"/>
  <c r="R1048" i="7"/>
  <c r="R1049" i="7"/>
  <c r="R1050" i="7"/>
  <c r="R1051" i="7"/>
  <c r="R1052" i="7"/>
  <c r="R1053" i="7"/>
  <c r="R1054" i="7"/>
  <c r="R1055" i="7"/>
  <c r="R1056" i="7"/>
  <c r="R1057" i="7"/>
  <c r="R1058" i="7"/>
  <c r="R1059" i="7"/>
  <c r="R1060" i="7"/>
  <c r="R1062" i="7"/>
  <c r="R1063" i="7"/>
  <c r="R1064" i="7"/>
  <c r="R1065" i="7"/>
  <c r="R1066" i="7"/>
  <c r="R1067" i="7"/>
  <c r="R1068" i="7"/>
  <c r="R1069" i="7"/>
  <c r="R1070" i="7"/>
  <c r="R1071" i="7"/>
  <c r="R1072" i="7"/>
  <c r="R1073" i="7"/>
  <c r="R1074" i="7"/>
  <c r="R1075" i="7"/>
  <c r="R1076" i="7"/>
  <c r="R1077" i="7"/>
  <c r="R1078" i="7"/>
  <c r="R1080" i="7"/>
  <c r="R1081" i="7"/>
  <c r="R1082" i="7"/>
  <c r="R1083" i="7"/>
  <c r="R1084" i="7"/>
  <c r="R1086" i="7"/>
  <c r="R1088" i="7"/>
  <c r="R1089" i="7"/>
  <c r="R1090" i="7"/>
  <c r="R1091" i="7"/>
  <c r="R1092" i="7"/>
  <c r="R1093" i="7"/>
  <c r="R1094" i="7"/>
  <c r="R1095" i="7"/>
  <c r="R1096" i="7"/>
  <c r="R1097" i="7"/>
  <c r="R1098" i="7"/>
  <c r="R1099" i="7"/>
  <c r="R1100" i="7"/>
  <c r="R1101" i="7"/>
  <c r="R1102" i="7"/>
  <c r="R1103" i="7"/>
  <c r="R1104" i="7"/>
  <c r="R1105" i="7"/>
  <c r="R1106" i="7"/>
  <c r="R1107" i="7"/>
  <c r="R1108" i="7"/>
  <c r="R1109" i="7"/>
  <c r="R1110" i="7"/>
  <c r="R1111" i="7"/>
  <c r="R1112" i="7"/>
  <c r="R1113" i="7"/>
  <c r="R1114" i="7"/>
  <c r="R1116" i="7"/>
  <c r="R1118" i="7"/>
  <c r="R1119" i="7"/>
  <c r="R1120" i="7"/>
  <c r="R1121" i="7"/>
  <c r="R1122" i="7"/>
  <c r="R1123" i="7"/>
  <c r="R1124" i="7"/>
  <c r="R1125" i="7"/>
  <c r="R1126" i="7"/>
  <c r="R1127" i="7"/>
  <c r="R1128" i="7"/>
  <c r="R1129" i="7"/>
  <c r="R1130" i="7"/>
  <c r="R1131" i="7"/>
  <c r="R1132" i="7"/>
  <c r="R1133" i="7"/>
  <c r="R1134" i="7"/>
  <c r="R1135" i="7"/>
  <c r="R1136" i="7"/>
  <c r="R1137" i="7"/>
  <c r="R1138" i="7"/>
  <c r="R1139" i="7"/>
  <c r="R1140" i="7"/>
  <c r="R1141" i="7"/>
  <c r="R1142" i="7"/>
  <c r="R1143" i="7"/>
  <c r="R1144" i="7"/>
  <c r="R1145" i="7"/>
  <c r="R1146" i="7"/>
  <c r="R1148" i="7"/>
  <c r="R1150" i="7"/>
  <c r="R1151" i="7"/>
  <c r="R1152" i="7"/>
  <c r="R1153" i="7"/>
  <c r="R1154" i="7"/>
  <c r="R1155" i="7"/>
  <c r="R1156" i="7"/>
  <c r="R1157" i="7"/>
  <c r="R1158" i="7"/>
  <c r="R1159" i="7"/>
  <c r="R1160" i="7"/>
  <c r="R1161" i="7"/>
  <c r="R1162" i="7"/>
  <c r="R1163" i="7"/>
  <c r="R1164" i="7"/>
  <c r="R1165" i="7"/>
  <c r="R1166" i="7"/>
  <c r="R1167" i="7"/>
  <c r="R1168" i="7"/>
  <c r="R1169" i="7"/>
  <c r="R1170" i="7"/>
  <c r="R1171" i="7"/>
  <c r="R1172" i="7"/>
  <c r="R1173" i="7"/>
  <c r="R1174" i="7"/>
  <c r="R1175" i="7"/>
  <c r="R1176" i="7"/>
  <c r="R1178" i="7"/>
  <c r="R1179" i="7"/>
  <c r="R1180" i="7"/>
  <c r="R1181" i="7"/>
  <c r="R1182" i="7"/>
  <c r="R1183" i="7"/>
  <c r="R1184" i="7"/>
  <c r="R1185" i="7"/>
  <c r="R1186" i="7"/>
  <c r="R1187" i="7"/>
  <c r="R1188" i="7"/>
  <c r="R1189" i="7"/>
  <c r="R1190" i="7"/>
  <c r="R1191" i="7"/>
  <c r="R1192" i="7"/>
  <c r="R1193" i="7"/>
  <c r="R1194" i="7"/>
  <c r="R1195" i="7"/>
  <c r="R1196" i="7"/>
  <c r="R1197" i="7"/>
  <c r="R1198" i="7"/>
  <c r="R1199" i="7"/>
  <c r="R1200" i="7"/>
  <c r="R1201" i="7"/>
  <c r="R1202" i="7"/>
  <c r="R1204" i="7"/>
  <c r="R1206" i="7"/>
  <c r="R1207" i="7"/>
  <c r="R1208" i="7"/>
  <c r="R1209" i="7"/>
  <c r="R1210" i="7"/>
  <c r="R1212" i="7"/>
  <c r="R1213" i="7"/>
  <c r="R1214" i="7"/>
  <c r="R1215" i="7"/>
  <c r="R1216" i="7"/>
  <c r="R1217" i="7"/>
  <c r="R1218" i="7"/>
  <c r="R1219" i="7"/>
  <c r="R1220" i="7"/>
  <c r="R1221" i="7"/>
  <c r="R1222" i="7"/>
  <c r="R1223" i="7"/>
  <c r="R1224" i="7"/>
  <c r="R1225" i="7"/>
  <c r="R1226" i="7"/>
  <c r="R1228" i="7"/>
  <c r="R1229" i="7"/>
  <c r="R1230" i="7"/>
  <c r="R1231" i="7"/>
  <c r="R1232" i="7"/>
  <c r="R1233" i="7"/>
  <c r="R1234" i="7"/>
  <c r="R1235" i="7"/>
  <c r="R1236" i="7"/>
  <c r="R1237" i="7"/>
  <c r="R1238" i="7"/>
  <c r="R1239" i="7"/>
  <c r="R1240" i="7"/>
  <c r="R1241" i="7"/>
  <c r="R1242" i="7"/>
  <c r="R1243" i="7"/>
  <c r="R1244" i="7"/>
  <c r="R1245" i="7"/>
  <c r="R1246" i="7"/>
  <c r="R1247" i="7"/>
  <c r="R1248" i="7"/>
  <c r="R1249" i="7"/>
  <c r="R1250" i="7"/>
  <c r="R1251" i="7"/>
  <c r="R1252" i="7"/>
  <c r="R1253" i="7"/>
  <c r="R1254" i="7"/>
  <c r="R1255" i="7"/>
  <c r="R1256" i="7"/>
  <c r="R1257" i="7"/>
  <c r="R1258" i="7"/>
  <c r="R1259" i="7"/>
  <c r="R1260" i="7"/>
  <c r="R1261" i="7"/>
  <c r="R1262" i="7"/>
  <c r="R1263" i="7"/>
  <c r="R1264" i="7"/>
  <c r="R1265" i="7"/>
  <c r="R1266" i="7"/>
  <c r="R1267" i="7"/>
  <c r="R1268" i="7"/>
  <c r="R1269" i="7"/>
  <c r="R1270" i="7"/>
  <c r="R1271" i="7"/>
  <c r="R1272" i="7"/>
  <c r="R1273" i="7"/>
  <c r="R1274" i="7"/>
  <c r="R1275" i="7"/>
  <c r="R1276" i="7"/>
  <c r="R1277" i="7"/>
  <c r="R1278" i="7"/>
  <c r="R1279" i="7"/>
  <c r="R1280" i="7"/>
  <c r="R1281" i="7"/>
  <c r="R1282" i="7"/>
  <c r="R1283" i="7"/>
  <c r="R1284" i="7"/>
  <c r="R1285" i="7"/>
  <c r="R1286" i="7"/>
  <c r="R1287" i="7"/>
  <c r="R1288" i="7"/>
  <c r="R1289" i="7"/>
  <c r="R1290" i="7"/>
  <c r="R1291" i="7"/>
  <c r="R1292" i="7"/>
  <c r="R1293" i="7"/>
  <c r="R1294" i="7"/>
  <c r="R1295" i="7"/>
  <c r="R1296" i="7"/>
  <c r="R1297" i="7"/>
  <c r="R1298" i="7"/>
  <c r="R1299" i="7"/>
  <c r="R1300" i="7"/>
  <c r="R1301" i="7"/>
  <c r="R1302" i="7"/>
  <c r="R1303" i="7"/>
  <c r="R1304" i="7"/>
  <c r="R1305" i="7"/>
  <c r="R1306" i="7"/>
  <c r="R1307" i="7"/>
  <c r="R1308" i="7"/>
  <c r="R1309" i="7"/>
  <c r="R1310" i="7"/>
  <c r="R1311" i="7"/>
  <c r="R1312" i="7"/>
  <c r="R1313" i="7"/>
  <c r="R1315" i="7"/>
  <c r="R1316" i="7"/>
  <c r="R1317" i="7"/>
  <c r="R1319" i="7"/>
  <c r="R1320" i="7"/>
  <c r="R1322" i="7"/>
  <c r="R1323" i="7"/>
  <c r="R1324" i="7"/>
  <c r="R1325" i="7"/>
  <c r="R1326" i="7"/>
  <c r="R1327" i="7"/>
  <c r="R1328" i="7"/>
  <c r="R1329" i="7"/>
  <c r="R1330" i="7"/>
  <c r="R1331" i="7"/>
  <c r="R1332" i="7"/>
  <c r="R1333" i="7"/>
  <c r="R1334" i="7"/>
  <c r="R1335" i="7"/>
  <c r="R1337" i="7"/>
  <c r="R1338" i="7"/>
  <c r="R1339" i="7"/>
  <c r="R1340" i="7"/>
  <c r="R1341" i="7"/>
  <c r="R1342" i="7"/>
  <c r="R1343" i="7"/>
  <c r="R1345" i="7"/>
  <c r="R1346" i="7"/>
  <c r="R1347" i="7"/>
  <c r="R1348" i="7"/>
  <c r="R1349" i="7"/>
  <c r="R1350" i="7"/>
  <c r="R1351" i="7"/>
  <c r="R1352" i="7"/>
  <c r="R1353" i="7"/>
  <c r="R1354" i="7"/>
  <c r="R1355" i="7"/>
  <c r="R1356" i="7"/>
  <c r="R1357" i="7"/>
  <c r="R1358" i="7"/>
  <c r="R1359" i="7"/>
  <c r="R1360" i="7"/>
  <c r="R1361" i="7"/>
  <c r="R1362" i="7"/>
  <c r="R1363" i="7"/>
  <c r="R1364" i="7"/>
  <c r="R1365" i="7"/>
  <c r="R1367" i="7"/>
  <c r="R1368" i="7"/>
  <c r="R1369" i="7"/>
  <c r="R1370" i="7"/>
  <c r="R1371" i="7"/>
  <c r="R1372" i="7"/>
  <c r="R1373" i="7"/>
  <c r="R1375" i="7"/>
  <c r="R1376" i="7"/>
  <c r="R1377" i="7"/>
  <c r="R1378" i="7"/>
  <c r="R1379" i="7"/>
  <c r="R1380" i="7"/>
  <c r="R1381" i="7"/>
  <c r="R1382" i="7"/>
  <c r="R1383" i="7"/>
  <c r="R1384" i="7"/>
  <c r="R1385" i="7"/>
  <c r="R1386" i="7"/>
  <c r="R1387" i="7"/>
  <c r="R1388" i="7"/>
  <c r="R1389" i="7"/>
  <c r="R1390" i="7"/>
  <c r="R1391" i="7"/>
  <c r="R1392" i="7"/>
  <c r="R1393" i="7"/>
  <c r="R1394" i="7"/>
  <c r="R1395" i="7"/>
  <c r="R1396" i="7"/>
  <c r="R1397" i="7"/>
  <c r="R1398" i="7"/>
  <c r="R1399" i="7"/>
  <c r="R1400" i="7"/>
  <c r="R1401" i="7"/>
  <c r="R1402" i="7"/>
  <c r="R1403" i="7"/>
  <c r="R1404" i="7"/>
  <c r="R1405" i="7"/>
  <c r="R1406" i="7"/>
  <c r="R1407" i="7"/>
  <c r="R1408" i="7"/>
  <c r="R1409" i="7"/>
  <c r="R1410" i="7"/>
  <c r="R1412" i="7"/>
  <c r="R1413" i="7"/>
  <c r="R1414" i="7"/>
  <c r="R1415" i="7"/>
  <c r="R1416" i="7"/>
  <c r="R1417" i="7"/>
  <c r="R1418" i="7"/>
  <c r="R1419" i="7"/>
  <c r="R1420" i="7"/>
  <c r="R1421" i="7"/>
  <c r="R1422" i="7"/>
  <c r="R1423" i="7"/>
  <c r="R1424" i="7"/>
  <c r="R1425" i="7"/>
  <c r="R1426" i="7"/>
  <c r="R1428" i="7"/>
  <c r="R1429" i="7"/>
  <c r="R1430" i="7"/>
  <c r="R1431" i="7"/>
  <c r="R1432" i="7"/>
  <c r="R1433" i="7"/>
  <c r="R1434" i="7"/>
  <c r="R1435" i="7"/>
  <c r="R1436" i="7"/>
  <c r="R1437" i="7"/>
  <c r="R1438" i="7"/>
  <c r="R1439" i="7"/>
  <c r="R1440" i="7"/>
  <c r="R1441" i="7"/>
  <c r="R1442" i="7"/>
  <c r="R1443" i="7"/>
  <c r="R1444" i="7"/>
  <c r="R1445" i="7"/>
  <c r="R1446" i="7"/>
  <c r="R1447" i="7"/>
  <c r="R1448" i="7"/>
  <c r="R1449" i="7"/>
  <c r="R1450" i="7"/>
  <c r="R1451" i="7"/>
  <c r="R1452" i="7"/>
  <c r="R1453" i="7"/>
  <c r="R1454" i="7"/>
  <c r="R1455" i="7"/>
  <c r="R1456" i="7"/>
  <c r="R1457" i="7"/>
  <c r="R1458" i="7"/>
  <c r="R1459" i="7"/>
  <c r="R1460" i="7"/>
  <c r="R1461" i="7"/>
  <c r="R1462" i="7"/>
  <c r="R1463" i="7"/>
  <c r="R1464" i="7"/>
  <c r="R1465" i="7"/>
  <c r="R1466" i="7"/>
  <c r="R1467" i="7"/>
  <c r="R1468" i="7"/>
  <c r="R1469" i="7"/>
  <c r="R1470" i="7"/>
  <c r="R1471" i="7"/>
  <c r="R1472" i="7"/>
  <c r="R1473" i="7"/>
  <c r="R1474" i="7"/>
  <c r="R1475" i="7"/>
  <c r="R1476" i="7"/>
  <c r="R1477" i="7"/>
  <c r="R1478" i="7"/>
  <c r="R1479" i="7"/>
  <c r="R1480" i="7"/>
  <c r="R1481" i="7"/>
  <c r="R1482" i="7"/>
  <c r="R1483" i="7"/>
  <c r="R1484" i="7"/>
  <c r="R1485" i="7"/>
  <c r="R1486" i="7"/>
  <c r="R1487" i="7"/>
  <c r="R1488" i="7"/>
  <c r="R1489" i="7"/>
  <c r="R1490" i="7"/>
  <c r="R1491" i="7"/>
  <c r="R1492" i="7"/>
  <c r="R1493" i="7"/>
  <c r="R1494" i="7"/>
  <c r="R1495" i="7"/>
  <c r="R1496" i="7"/>
  <c r="R1497" i="7"/>
  <c r="R1498" i="7"/>
  <c r="R1499" i="7"/>
  <c r="R1500" i="7"/>
  <c r="R1501" i="7"/>
  <c r="R1502" i="7"/>
  <c r="R1503" i="7"/>
  <c r="R1504" i="7"/>
  <c r="R1505" i="7"/>
  <c r="R1506" i="7"/>
  <c r="R1507" i="7"/>
  <c r="R1508" i="7"/>
  <c r="R1509" i="7"/>
  <c r="R1510" i="7"/>
  <c r="R1511" i="7"/>
  <c r="R1512" i="7"/>
  <c r="R1513" i="7"/>
  <c r="R1514" i="7"/>
  <c r="R1515" i="7"/>
  <c r="R1516" i="7"/>
  <c r="R1517" i="7"/>
  <c r="R1518" i="7"/>
  <c r="R1519" i="7"/>
  <c r="R1520" i="7"/>
  <c r="R1522" i="7"/>
  <c r="R1523" i="7"/>
  <c r="R1524" i="7"/>
  <c r="R1525" i="7"/>
  <c r="R1526" i="7"/>
  <c r="R1527" i="7"/>
  <c r="R1528" i="7"/>
  <c r="R1529" i="7"/>
  <c r="R1530" i="7"/>
  <c r="R1531" i="7"/>
  <c r="R1532" i="7"/>
  <c r="R1533" i="7"/>
  <c r="R1534" i="7"/>
  <c r="R1535" i="7"/>
  <c r="R1536" i="7"/>
  <c r="R1537" i="7"/>
  <c r="R1538" i="7"/>
  <c r="R1539" i="7"/>
  <c r="R1540" i="7"/>
  <c r="R1541" i="7"/>
  <c r="R1542" i="7"/>
  <c r="R1543" i="7"/>
  <c r="R1544" i="7"/>
  <c r="R1545" i="7"/>
  <c r="R1546" i="7"/>
  <c r="R1547" i="7"/>
  <c r="R1548" i="7"/>
  <c r="R1549" i="7"/>
  <c r="R1550" i="7"/>
  <c r="R1551" i="7"/>
  <c r="R1552" i="7"/>
  <c r="R1553" i="7"/>
  <c r="R1554" i="7"/>
  <c r="R1555" i="7"/>
  <c r="R1556" i="7"/>
  <c r="R1557" i="7"/>
  <c r="R1558" i="7"/>
  <c r="R1559" i="7"/>
  <c r="R1560" i="7"/>
  <c r="R1561" i="7"/>
  <c r="R1562" i="7"/>
  <c r="R1563" i="7"/>
  <c r="R1564" i="7"/>
  <c r="R1565" i="7"/>
  <c r="R1566" i="7"/>
  <c r="R1567" i="7"/>
  <c r="R1568" i="7"/>
  <c r="R1569" i="7"/>
  <c r="R1570" i="7"/>
  <c r="R1571" i="7"/>
  <c r="R1572" i="7"/>
  <c r="R1573" i="7"/>
  <c r="R1574" i="7"/>
  <c r="R1575" i="7"/>
  <c r="R1576" i="7"/>
  <c r="R1577" i="7"/>
  <c r="R1578" i="7"/>
  <c r="R1579" i="7"/>
  <c r="R1580" i="7"/>
  <c r="R1582" i="7"/>
  <c r="R1583" i="7"/>
  <c r="R1584" i="7"/>
  <c r="R1586" i="7"/>
  <c r="R1587" i="7"/>
  <c r="R1588" i="7"/>
  <c r="R1589" i="7"/>
  <c r="R1590" i="7"/>
  <c r="R1591" i="7"/>
  <c r="R1592" i="7"/>
  <c r="R588" i="7"/>
  <c r="R589" i="7"/>
  <c r="R590" i="7"/>
  <c r="R592" i="7"/>
  <c r="R593" i="7"/>
  <c r="R594" i="7"/>
  <c r="R595" i="7"/>
  <c r="R596" i="7"/>
  <c r="R597" i="7"/>
  <c r="R598" i="7"/>
  <c r="R599" i="7"/>
  <c r="R600" i="7"/>
  <c r="R601" i="7"/>
  <c r="R603" i="7"/>
  <c r="R604" i="7"/>
  <c r="R605" i="7"/>
  <c r="R606" i="7"/>
  <c r="R607" i="7"/>
  <c r="R608" i="7"/>
  <c r="R609" i="7"/>
  <c r="R610" i="7"/>
  <c r="R611" i="7"/>
  <c r="R612" i="7"/>
  <c r="R613" i="7"/>
  <c r="R614" i="7"/>
  <c r="R615" i="7"/>
  <c r="R619" i="7"/>
  <c r="R618" i="7" s="1"/>
  <c r="R617" i="7" s="1"/>
  <c r="R620" i="7"/>
  <c r="R621" i="7"/>
  <c r="R622" i="7"/>
  <c r="R623" i="7"/>
  <c r="R624" i="7"/>
  <c r="R625" i="7"/>
  <c r="R626" i="7"/>
  <c r="R627" i="7"/>
  <c r="R628" i="7"/>
  <c r="R629" i="7"/>
  <c r="R630" i="7"/>
  <c r="R631" i="7"/>
  <c r="R632" i="7"/>
  <c r="R633" i="7"/>
  <c r="R634" i="7"/>
  <c r="R635" i="7"/>
  <c r="R636" i="7"/>
  <c r="R637" i="7"/>
  <c r="R638" i="7"/>
  <c r="R639" i="7"/>
  <c r="R640" i="7"/>
  <c r="R641" i="7"/>
  <c r="R642" i="7"/>
  <c r="R643" i="7"/>
  <c r="R644" i="7"/>
  <c r="R645" i="7"/>
  <c r="R646" i="7"/>
  <c r="R647" i="7"/>
  <c r="R648" i="7"/>
  <c r="R649" i="7"/>
  <c r="R650" i="7"/>
  <c r="R651" i="7"/>
  <c r="R652" i="7"/>
  <c r="R653" i="7"/>
  <c r="R654" i="7"/>
  <c r="R655" i="7"/>
  <c r="R656" i="7"/>
  <c r="R657" i="7"/>
  <c r="R658" i="7"/>
  <c r="R659" i="7"/>
  <c r="R660" i="7"/>
  <c r="R661" i="7"/>
  <c r="R662" i="7"/>
  <c r="R663" i="7"/>
  <c r="R664" i="7"/>
  <c r="R665" i="7"/>
  <c r="R666" i="7"/>
  <c r="R667" i="7"/>
  <c r="R668" i="7"/>
  <c r="R669" i="7"/>
  <c r="R670" i="7"/>
  <c r="R671" i="7"/>
  <c r="R672" i="7"/>
  <c r="R673" i="7"/>
  <c r="R674" i="7"/>
  <c r="R675" i="7"/>
  <c r="R676" i="7"/>
  <c r="R677" i="7"/>
  <c r="R678" i="7"/>
  <c r="R679" i="7"/>
  <c r="R680" i="7"/>
  <c r="R681" i="7"/>
  <c r="R682" i="7"/>
  <c r="R683" i="7"/>
  <c r="R684" i="7"/>
  <c r="R685" i="7"/>
  <c r="R686" i="7"/>
  <c r="R687" i="7"/>
  <c r="R688" i="7"/>
  <c r="R689" i="7"/>
  <c r="R690" i="7"/>
  <c r="R691" i="7"/>
  <c r="R692" i="7"/>
  <c r="R693" i="7"/>
  <c r="R694" i="7"/>
  <c r="R695" i="7"/>
  <c r="R696" i="7"/>
  <c r="R697" i="7"/>
  <c r="R698" i="7"/>
  <c r="R699" i="7"/>
  <c r="R700" i="7"/>
  <c r="R458" i="7"/>
  <c r="R459" i="7"/>
  <c r="R460" i="7"/>
  <c r="R461" i="7"/>
  <c r="R462" i="7"/>
  <c r="R463" i="7"/>
  <c r="R464" i="7"/>
  <c r="R465" i="7"/>
  <c r="R466" i="7"/>
  <c r="R467" i="7"/>
  <c r="R468" i="7"/>
  <c r="R469" i="7"/>
  <c r="R470" i="7"/>
  <c r="R471" i="7"/>
  <c r="R472" i="7"/>
  <c r="R473" i="7"/>
  <c r="R474" i="7"/>
  <c r="R476" i="7"/>
  <c r="R477" i="7"/>
  <c r="R478" i="7"/>
  <c r="R479" i="7"/>
  <c r="R480" i="7"/>
  <c r="R481" i="7"/>
  <c r="R482" i="7"/>
  <c r="R483" i="7"/>
  <c r="R484" i="7"/>
  <c r="R485" i="7"/>
  <c r="R486" i="7"/>
  <c r="R487" i="7"/>
  <c r="R489" i="7"/>
  <c r="R490" i="7"/>
  <c r="R491" i="7"/>
  <c r="R492" i="7"/>
  <c r="R493" i="7"/>
  <c r="R494" i="7"/>
  <c r="R495" i="7"/>
  <c r="R496" i="7"/>
  <c r="R497" i="7"/>
  <c r="R498" i="7"/>
  <c r="R499" i="7"/>
  <c r="R500" i="7"/>
  <c r="R501" i="7"/>
  <c r="R502" i="7"/>
  <c r="R503" i="7"/>
  <c r="R504" i="7"/>
  <c r="R505" i="7"/>
  <c r="R506" i="7"/>
  <c r="R507" i="7"/>
  <c r="R508" i="7"/>
  <c r="R509" i="7"/>
  <c r="R510" i="7"/>
  <c r="R511" i="7"/>
  <c r="R512" i="7"/>
  <c r="R513" i="7"/>
  <c r="R514" i="7"/>
  <c r="R515" i="7"/>
  <c r="R516" i="7"/>
  <c r="R517" i="7"/>
  <c r="R518" i="7"/>
  <c r="R519" i="7"/>
  <c r="R520" i="7"/>
  <c r="R521" i="7"/>
  <c r="R522" i="7"/>
  <c r="R523" i="7"/>
  <c r="R524" i="7"/>
  <c r="R525" i="7"/>
  <c r="R526" i="7"/>
  <c r="R527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7" i="7"/>
  <c r="R358" i="7"/>
  <c r="R359" i="7"/>
  <c r="R360" i="7"/>
  <c r="R361" i="7"/>
  <c r="R362" i="7"/>
  <c r="R363" i="7"/>
  <c r="R364" i="7"/>
  <c r="R366" i="7"/>
  <c r="R367" i="7"/>
  <c r="R368" i="7"/>
  <c r="R369" i="7"/>
  <c r="R370" i="7"/>
  <c r="R371" i="7"/>
  <c r="R372" i="7"/>
  <c r="R373" i="7"/>
  <c r="R374" i="7"/>
  <c r="R375" i="7"/>
  <c r="R376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200" i="7"/>
  <c r="R201" i="7"/>
  <c r="R202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135" i="7"/>
  <c r="R136" i="7"/>
  <c r="R137" i="7"/>
  <c r="R138" i="7"/>
  <c r="R139" i="7"/>
  <c r="R140" i="7"/>
  <c r="R141" i="7"/>
  <c r="R142" i="7"/>
  <c r="R143" i="7"/>
  <c r="R144" i="7"/>
  <c r="R11" i="7"/>
  <c r="R12" i="7"/>
  <c r="R13" i="7"/>
  <c r="R14" i="7"/>
  <c r="R15" i="7"/>
  <c r="R18" i="7"/>
  <c r="R21" i="7"/>
  <c r="R26" i="7"/>
  <c r="R28" i="7"/>
  <c r="R30" i="7"/>
  <c r="R31" i="7"/>
  <c r="R33" i="7"/>
  <c r="R35" i="7"/>
  <c r="R36" i="7"/>
  <c r="R38" i="7"/>
  <c r="R39" i="7"/>
  <c r="R40" i="7"/>
  <c r="R43" i="7"/>
  <c r="R45" i="7"/>
  <c r="R46" i="7"/>
  <c r="R50" i="7"/>
  <c r="R51" i="7"/>
  <c r="R52" i="7"/>
  <c r="R53" i="7"/>
  <c r="R54" i="7"/>
  <c r="R57" i="7"/>
  <c r="R59" i="7"/>
  <c r="R60" i="7"/>
  <c r="R61" i="7"/>
  <c r="R62" i="7"/>
  <c r="R63" i="7"/>
  <c r="R64" i="7"/>
  <c r="R69" i="7"/>
  <c r="R71" i="7"/>
  <c r="R72" i="7"/>
  <c r="R73" i="7"/>
  <c r="R75" i="7"/>
  <c r="R76" i="7"/>
  <c r="N10" i="7"/>
  <c r="N17" i="7"/>
  <c r="N16" i="7" s="1"/>
  <c r="N20" i="7"/>
  <c r="N25" i="7"/>
  <c r="N24" i="7" s="1"/>
  <c r="N23" i="7" s="1"/>
  <c r="N22" i="7" s="1"/>
  <c r="N29" i="7"/>
  <c r="N27" i="7" s="1"/>
  <c r="N34" i="7"/>
  <c r="N42" i="7"/>
  <c r="R42" i="7" s="1"/>
  <c r="N44" i="7"/>
  <c r="N49" i="7"/>
  <c r="N56" i="7"/>
  <c r="N58" i="7"/>
  <c r="N70" i="7"/>
  <c r="N68" i="7" s="1"/>
  <c r="N74" i="7"/>
  <c r="J10" i="7"/>
  <c r="J17" i="7"/>
  <c r="J20" i="7"/>
  <c r="J25" i="7"/>
  <c r="J29" i="7"/>
  <c r="J37" i="7"/>
  <c r="J41" i="7"/>
  <c r="J49" i="7"/>
  <c r="J55" i="7"/>
  <c r="J70" i="7"/>
  <c r="J74" i="7"/>
  <c r="J432" i="2"/>
  <c r="J431" i="2"/>
  <c r="J412" i="2"/>
  <c r="J408" i="2"/>
  <c r="J404" i="2"/>
  <c r="J400" i="2"/>
  <c r="J395" i="2"/>
  <c r="J388" i="2"/>
  <c r="J387" i="2"/>
  <c r="J386" i="2"/>
  <c r="J385" i="2"/>
  <c r="J384" i="2"/>
  <c r="J383" i="2"/>
  <c r="J381" i="2"/>
  <c r="J378" i="2"/>
  <c r="J377" i="2"/>
  <c r="J375" i="2"/>
  <c r="J366" i="2"/>
  <c r="J363" i="2"/>
  <c r="J359" i="2"/>
  <c r="J356" i="2"/>
  <c r="J353" i="2"/>
  <c r="J352" i="2"/>
  <c r="J349" i="2"/>
  <c r="J345" i="2"/>
  <c r="J342" i="2"/>
  <c r="J339" i="2"/>
  <c r="J338" i="2"/>
  <c r="J335" i="2"/>
  <c r="J331" i="2"/>
  <c r="J328" i="2"/>
  <c r="J325" i="2"/>
  <c r="J324" i="2"/>
  <c r="J323" i="2"/>
  <c r="J320" i="2"/>
  <c r="J316" i="2"/>
  <c r="J313" i="2"/>
  <c r="J310" i="2"/>
  <c r="J309" i="2"/>
  <c r="J306" i="2"/>
  <c r="J302" i="2"/>
  <c r="J299" i="2"/>
  <c r="J296" i="2"/>
  <c r="J295" i="2"/>
  <c r="J294" i="2"/>
  <c r="J293" i="2"/>
  <c r="J290" i="2"/>
  <c r="J286" i="2"/>
  <c r="J283" i="2"/>
  <c r="J280" i="2"/>
  <c r="J277" i="2"/>
  <c r="J273" i="2"/>
  <c r="J272" i="2"/>
  <c r="J269" i="2"/>
  <c r="J265" i="2"/>
  <c r="J262" i="2"/>
  <c r="J259" i="2"/>
  <c r="J258" i="2"/>
  <c r="J255" i="2"/>
  <c r="J243" i="2"/>
  <c r="J239" i="2"/>
  <c r="J231" i="2"/>
  <c r="J227" i="2"/>
  <c r="J223" i="2"/>
  <c r="J216" i="2"/>
  <c r="J215" i="2"/>
  <c r="J212" i="2"/>
  <c r="J205" i="2"/>
  <c r="J201" i="2"/>
  <c r="J197" i="2"/>
  <c r="J196" i="2"/>
  <c r="J195" i="2"/>
  <c r="J191" i="2"/>
  <c r="J187" i="2"/>
  <c r="J181" i="2"/>
  <c r="J177" i="2"/>
  <c r="J173" i="2"/>
  <c r="J169" i="2"/>
  <c r="J165" i="2"/>
  <c r="J161" i="2"/>
  <c r="J157" i="2"/>
  <c r="J156" i="2"/>
  <c r="J152" i="2"/>
  <c r="J148" i="2"/>
  <c r="J144" i="2"/>
  <c r="J140" i="2"/>
  <c r="J136" i="2"/>
  <c r="J132" i="2"/>
  <c r="J128" i="2"/>
  <c r="J124" i="2"/>
  <c r="J118" i="2"/>
  <c r="J114" i="2"/>
  <c r="J107" i="2"/>
  <c r="J98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3" i="2"/>
  <c r="J72" i="2"/>
  <c r="J71" i="2"/>
  <c r="J70" i="2"/>
  <c r="J69" i="2"/>
  <c r="J68" i="2"/>
  <c r="J66" i="2"/>
  <c r="J65" i="2"/>
  <c r="J64" i="2"/>
  <c r="J59" i="2"/>
  <c r="J51" i="2"/>
  <c r="J47" i="2"/>
  <c r="J44" i="2"/>
  <c r="J42" i="2"/>
  <c r="J40" i="2"/>
  <c r="J38" i="2"/>
  <c r="J34" i="2"/>
  <c r="J33" i="2"/>
  <c r="J32" i="2"/>
  <c r="J30" i="2"/>
  <c r="J28" i="2"/>
  <c r="J23" i="2"/>
  <c r="J22" i="2"/>
  <c r="J20" i="2"/>
  <c r="J17" i="2"/>
  <c r="J16" i="2"/>
  <c r="J15" i="2"/>
  <c r="I11" i="2"/>
  <c r="I10" i="2" s="1"/>
  <c r="I14" i="2"/>
  <c r="I19" i="2"/>
  <c r="I18" i="2" s="1"/>
  <c r="I29" i="2"/>
  <c r="I27" i="2" s="1"/>
  <c r="I26" i="2" s="1"/>
  <c r="I36" i="2"/>
  <c r="I39" i="2"/>
  <c r="I41" i="2"/>
  <c r="I43" i="2"/>
  <c r="I46" i="2"/>
  <c r="I45" i="2" s="1"/>
  <c r="I48" i="2"/>
  <c r="I58" i="2"/>
  <c r="I63" i="2"/>
  <c r="I67" i="2"/>
  <c r="I78" i="2"/>
  <c r="I77" i="2" s="1"/>
  <c r="I74" i="2" s="1"/>
  <c r="I106" i="2"/>
  <c r="I105" i="2" s="1"/>
  <c r="I112" i="2"/>
  <c r="I117" i="2"/>
  <c r="I116" i="2" s="1"/>
  <c r="I123" i="2"/>
  <c r="I122" i="2" s="1"/>
  <c r="I121" i="2" s="1"/>
  <c r="I127" i="2"/>
  <c r="I126" i="2" s="1"/>
  <c r="I131" i="2"/>
  <c r="I130" i="2" s="1"/>
  <c r="I129" i="2" s="1"/>
  <c r="I135" i="2"/>
  <c r="I134" i="2" s="1"/>
  <c r="I133" i="2" s="1"/>
  <c r="I139" i="2"/>
  <c r="I138" i="2" s="1"/>
  <c r="I137" i="2" s="1"/>
  <c r="I143" i="2"/>
  <c r="I142" i="2" s="1"/>
  <c r="I141" i="2" s="1"/>
  <c r="I147" i="2"/>
  <c r="I146" i="2" s="1"/>
  <c r="I145" i="2" s="1"/>
  <c r="I151" i="2"/>
  <c r="I150" i="2" s="1"/>
  <c r="I155" i="2"/>
  <c r="I154" i="2" s="1"/>
  <c r="I153" i="2" s="1"/>
  <c r="I160" i="2"/>
  <c r="I159" i="2" s="1"/>
  <c r="I158" i="2" s="1"/>
  <c r="I164" i="2"/>
  <c r="I163" i="2" s="1"/>
  <c r="I162" i="2" s="1"/>
  <c r="I168" i="2"/>
  <c r="I172" i="2"/>
  <c r="I171" i="2" s="1"/>
  <c r="I170" i="2" s="1"/>
  <c r="I176" i="2"/>
  <c r="I175" i="2" s="1"/>
  <c r="I174" i="2" s="1"/>
  <c r="I180" i="2"/>
  <c r="I179" i="2" s="1"/>
  <c r="I178" i="2" s="1"/>
  <c r="I186" i="2"/>
  <c r="I185" i="2" s="1"/>
  <c r="I190" i="2"/>
  <c r="I189" i="2" s="1"/>
  <c r="I194" i="2"/>
  <c r="I200" i="2"/>
  <c r="I199" i="2" s="1"/>
  <c r="I198" i="2" s="1"/>
  <c r="I204" i="2"/>
  <c r="I203" i="2" s="1"/>
  <c r="I207" i="2"/>
  <c r="I206" i="2" s="1"/>
  <c r="I211" i="2"/>
  <c r="I214" i="2"/>
  <c r="I213" i="2" s="1"/>
  <c r="I222" i="2"/>
  <c r="I221" i="2" s="1"/>
  <c r="I217" i="2" s="1"/>
  <c r="I226" i="2"/>
  <c r="I230" i="2"/>
  <c r="I229" i="2" s="1"/>
  <c r="I228" i="2" s="1"/>
  <c r="I234" i="2"/>
  <c r="I233" i="2" s="1"/>
  <c r="I232" i="2" s="1"/>
  <c r="I238" i="2"/>
  <c r="I237" i="2" s="1"/>
  <c r="I242" i="2"/>
  <c r="I241" i="2" s="1"/>
  <c r="I240" i="2" s="1"/>
  <c r="I247" i="2"/>
  <c r="I254" i="2"/>
  <c r="I253" i="2" s="1"/>
  <c r="I257" i="2"/>
  <c r="I256" i="2" s="1"/>
  <c r="I261" i="2"/>
  <c r="I260" i="2" s="1"/>
  <c r="I264" i="2"/>
  <c r="I263" i="2" s="1"/>
  <c r="I268" i="2"/>
  <c r="I267" i="2" s="1"/>
  <c r="I271" i="2"/>
  <c r="I270" i="2" s="1"/>
  <c r="I276" i="2"/>
  <c r="I275" i="2" s="1"/>
  <c r="I279" i="2"/>
  <c r="I278" i="2" s="1"/>
  <c r="I282" i="2"/>
  <c r="I281" i="2" s="1"/>
  <c r="I285" i="2"/>
  <c r="I284" i="2" s="1"/>
  <c r="I289" i="2"/>
  <c r="I288" i="2" s="1"/>
  <c r="I292" i="2"/>
  <c r="I291" i="2" s="1"/>
  <c r="I298" i="2"/>
  <c r="I297" i="2" s="1"/>
  <c r="I301" i="2"/>
  <c r="I300" i="2" s="1"/>
  <c r="I305" i="2"/>
  <c r="I304" i="2" s="1"/>
  <c r="I308" i="2"/>
  <c r="I307" i="2" s="1"/>
  <c r="I312" i="2"/>
  <c r="I311" i="2" s="1"/>
  <c r="I315" i="2"/>
  <c r="I314" i="2" s="1"/>
  <c r="I319" i="2"/>
  <c r="I318" i="2" s="1"/>
  <c r="I322" i="2"/>
  <c r="I327" i="2"/>
  <c r="I326" i="2" s="1"/>
  <c r="I330" i="2"/>
  <c r="I329" i="2" s="1"/>
  <c r="I334" i="2"/>
  <c r="I333" i="2" s="1"/>
  <c r="I337" i="2"/>
  <c r="I336" i="2" s="1"/>
  <c r="I341" i="2"/>
  <c r="I340" i="2" s="1"/>
  <c r="I344" i="2"/>
  <c r="I343" i="2" s="1"/>
  <c r="I348" i="2"/>
  <c r="I347" i="2" s="1"/>
  <c r="I351" i="2"/>
  <c r="I350" i="2" s="1"/>
  <c r="I355" i="2"/>
  <c r="I358" i="2"/>
  <c r="I357" i="2" s="1"/>
  <c r="I362" i="2"/>
  <c r="I361" i="2" s="1"/>
  <c r="I365" i="2"/>
  <c r="I364" i="2" s="1"/>
  <c r="I373" i="2"/>
  <c r="I394" i="2"/>
  <c r="I393" i="2" s="1"/>
  <c r="I392" i="2" s="1"/>
  <c r="I399" i="2"/>
  <c r="I398" i="2" s="1"/>
  <c r="I397" i="2" s="1"/>
  <c r="I396" i="2" s="1"/>
  <c r="I403" i="2"/>
  <c r="I402" i="2" s="1"/>
  <c r="I407" i="2"/>
  <c r="I406" i="2" s="1"/>
  <c r="I411" i="2"/>
  <c r="I410" i="2" s="1"/>
  <c r="I422" i="2"/>
  <c r="I424" i="2"/>
  <c r="I430" i="2"/>
  <c r="I429" i="2" s="1"/>
  <c r="I428" i="2" s="1"/>
  <c r="Q2131" i="7"/>
  <c r="Q2130" i="7"/>
  <c r="Q2129" i="7"/>
  <c r="Q2128" i="7"/>
  <c r="I2127" i="7"/>
  <c r="Q2126" i="7"/>
  <c r="Q2125" i="7"/>
  <c r="M2124" i="7"/>
  <c r="M2123" i="7" s="1"/>
  <c r="Q2123" i="7" s="1"/>
  <c r="Q2122" i="7"/>
  <c r="Q2121" i="7"/>
  <c r="M2120" i="7"/>
  <c r="M2119" i="7" s="1"/>
  <c r="I2120" i="7"/>
  <c r="B2117" i="7"/>
  <c r="B2118" i="7" s="1"/>
  <c r="B2119" i="7" s="1"/>
  <c r="B2120" i="7" s="1"/>
  <c r="B2121" i="7" s="1"/>
  <c r="B2122" i="7" s="1"/>
  <c r="B2123" i="7" s="1"/>
  <c r="B2124" i="7" s="1"/>
  <c r="B2125" i="7" s="1"/>
  <c r="B2126" i="7" s="1"/>
  <c r="B2127" i="7" s="1"/>
  <c r="B2128" i="7" s="1"/>
  <c r="B2129" i="7" s="1"/>
  <c r="B2130" i="7" s="1"/>
  <c r="B2131" i="7" s="1"/>
  <c r="B2132" i="7" s="1"/>
  <c r="I2069" i="7"/>
  <c r="Q2068" i="7"/>
  <c r="Q2067" i="7"/>
  <c r="I2066" i="7"/>
  <c r="Q2065" i="7"/>
  <c r="Q2064" i="7"/>
  <c r="Q2063" i="7"/>
  <c r="M2062" i="7"/>
  <c r="Q2061" i="7"/>
  <c r="Q2060" i="7"/>
  <c r="M2058" i="7"/>
  <c r="Q2057" i="7"/>
  <c r="Q2056" i="7"/>
  <c r="Q2055" i="7"/>
  <c r="Q2054" i="7"/>
  <c r="I2053" i="7"/>
  <c r="Q2053" i="7" s="1"/>
  <c r="Q2052" i="7"/>
  <c r="Q2051" i="7"/>
  <c r="M2050" i="7"/>
  <c r="M2049" i="7" s="1"/>
  <c r="Q2048" i="7"/>
  <c r="M2047" i="7"/>
  <c r="I2047" i="7"/>
  <c r="K2047" i="7" s="1"/>
  <c r="Q2046" i="7"/>
  <c r="I2045" i="7"/>
  <c r="M2044" i="7"/>
  <c r="I2042" i="7"/>
  <c r="M2041" i="7"/>
  <c r="M2040" i="7" s="1"/>
  <c r="I2039" i="7"/>
  <c r="I2038" i="7"/>
  <c r="Q2037" i="7"/>
  <c r="Q2036" i="7"/>
  <c r="Q2035" i="7"/>
  <c r="M2034" i="7"/>
  <c r="M2031" i="7" s="1"/>
  <c r="M2030" i="7" s="1"/>
  <c r="I2033" i="7"/>
  <c r="I2032" i="7"/>
  <c r="Q2029" i="7"/>
  <c r="I2027" i="7"/>
  <c r="I2026" i="7"/>
  <c r="I2025" i="7"/>
  <c r="Q2024" i="7"/>
  <c r="Q2023" i="7"/>
  <c r="Q2022" i="7"/>
  <c r="Q2021" i="7"/>
  <c r="Q2020" i="7"/>
  <c r="M2019" i="7"/>
  <c r="I2018" i="7"/>
  <c r="I2017" i="7"/>
  <c r="Q2015" i="7"/>
  <c r="I2014" i="7"/>
  <c r="K2014" i="7" s="1"/>
  <c r="Q2013" i="7"/>
  <c r="Q2012" i="7"/>
  <c r="M2011" i="7"/>
  <c r="I2011" i="7"/>
  <c r="Q2010" i="7"/>
  <c r="Q2008" i="7"/>
  <c r="I2007" i="7"/>
  <c r="Q2006" i="7"/>
  <c r="Q2005" i="7"/>
  <c r="M2004" i="7"/>
  <c r="M2003" i="7" s="1"/>
  <c r="Q2002" i="7"/>
  <c r="Q2001" i="7"/>
  <c r="Q2000" i="7"/>
  <c r="M1999" i="7"/>
  <c r="I1999" i="7"/>
  <c r="K1999" i="7" s="1"/>
  <c r="Q1997" i="7"/>
  <c r="M1996" i="7"/>
  <c r="I1996" i="7"/>
  <c r="I1995" i="7"/>
  <c r="I1994" i="7"/>
  <c r="Q1993" i="7"/>
  <c r="Q1992" i="7"/>
  <c r="Q1991" i="7"/>
  <c r="I1990" i="7"/>
  <c r="K1990" i="7" s="1"/>
  <c r="Q1989" i="7"/>
  <c r="M1988" i="7"/>
  <c r="Q1987" i="7"/>
  <c r="I1986" i="7"/>
  <c r="Q1983" i="7"/>
  <c r="Q1982" i="7"/>
  <c r="Q1981" i="7"/>
  <c r="Q1980" i="7"/>
  <c r="Q1979" i="7"/>
  <c r="Q1978" i="7"/>
  <c r="Q1977" i="7"/>
  <c r="Q1976" i="7"/>
  <c r="Q1975" i="7"/>
  <c r="Q1974" i="7"/>
  <c r="I1973" i="7"/>
  <c r="Q1973" i="7" s="1"/>
  <c r="Q1970" i="7"/>
  <c r="Q1969" i="7"/>
  <c r="Q1968" i="7"/>
  <c r="M1967" i="7"/>
  <c r="M1966" i="7" s="1"/>
  <c r="I1967" i="7"/>
  <c r="K1967" i="7" s="1"/>
  <c r="I1964" i="7"/>
  <c r="K1964" i="7" s="1"/>
  <c r="I1963" i="7"/>
  <c r="I1962" i="7"/>
  <c r="I1961" i="7"/>
  <c r="M1960" i="7"/>
  <c r="M1957" i="7" s="1"/>
  <c r="M1956" i="7" s="1"/>
  <c r="I1959" i="7"/>
  <c r="I1958" i="7"/>
  <c r="Q1955" i="7"/>
  <c r="I1954" i="7"/>
  <c r="I1953" i="7"/>
  <c r="I1952" i="7"/>
  <c r="K1952" i="7" s="1"/>
  <c r="I1951" i="7"/>
  <c r="I1950" i="7"/>
  <c r="I1949" i="7"/>
  <c r="K1949" i="7" s="1"/>
  <c r="I1948" i="7"/>
  <c r="I1946" i="7"/>
  <c r="I1945" i="7"/>
  <c r="Q1944" i="7"/>
  <c r="Q1941" i="7"/>
  <c r="M1940" i="7"/>
  <c r="I1940" i="7"/>
  <c r="Q1939" i="7"/>
  <c r="I1938" i="7"/>
  <c r="K1938" i="7" s="1"/>
  <c r="I1937" i="7"/>
  <c r="Q1936" i="7"/>
  <c r="Q1935" i="7"/>
  <c r="M1934" i="7"/>
  <c r="M1931" i="7" s="1"/>
  <c r="M1930" i="7" s="1"/>
  <c r="Q1933" i="7"/>
  <c r="Q1932" i="7"/>
  <c r="B1929" i="7"/>
  <c r="B1930" i="7" s="1"/>
  <c r="B1931" i="7" s="1"/>
  <c r="B1932" i="7" s="1"/>
  <c r="B1933" i="7" s="1"/>
  <c r="B1934" i="7" s="1"/>
  <c r="B1935" i="7" s="1"/>
  <c r="B1936" i="7" s="1"/>
  <c r="B1937" i="7" s="1"/>
  <c r="B1938" i="7" s="1"/>
  <c r="B1939" i="7" s="1"/>
  <c r="B1940" i="7" s="1"/>
  <c r="B1941" i="7" s="1"/>
  <c r="B1942" i="7" s="1"/>
  <c r="B1943" i="7" s="1"/>
  <c r="B1944" i="7" s="1"/>
  <c r="B1945" i="7" s="1"/>
  <c r="B1946" i="7" s="1"/>
  <c r="B1947" i="7" s="1"/>
  <c r="B1948" i="7" s="1"/>
  <c r="B1949" i="7" s="1"/>
  <c r="B1950" i="7" s="1"/>
  <c r="B1951" i="7" s="1"/>
  <c r="B1952" i="7" s="1"/>
  <c r="B1953" i="7" s="1"/>
  <c r="B1954" i="7" s="1"/>
  <c r="B1955" i="7" s="1"/>
  <c r="B1956" i="7" s="1"/>
  <c r="B1957" i="7" s="1"/>
  <c r="B1958" i="7" s="1"/>
  <c r="B1959" i="7" s="1"/>
  <c r="B1960" i="7" s="1"/>
  <c r="B1961" i="7" s="1"/>
  <c r="B1962" i="7" s="1"/>
  <c r="B1963" i="7" s="1"/>
  <c r="B1964" i="7" s="1"/>
  <c r="B1965" i="7" s="1"/>
  <c r="B1966" i="7" s="1"/>
  <c r="B1967" i="7" s="1"/>
  <c r="B1968" i="7" s="1"/>
  <c r="B1969" i="7" s="1"/>
  <c r="B1970" i="7" s="1"/>
  <c r="B1971" i="7" s="1"/>
  <c r="B1972" i="7" s="1"/>
  <c r="B1973" i="7" s="1"/>
  <c r="B1974" i="7" s="1"/>
  <c r="B1975" i="7" s="1"/>
  <c r="B1976" i="7" s="1"/>
  <c r="B1977" i="7" s="1"/>
  <c r="B1978" i="7" s="1"/>
  <c r="B1979" i="7" s="1"/>
  <c r="B1980" i="7" s="1"/>
  <c r="B1981" i="7" s="1"/>
  <c r="B1982" i="7" s="1"/>
  <c r="B1983" i="7" s="1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7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I1889" i="7"/>
  <c r="I1888" i="7"/>
  <c r="Q1887" i="7"/>
  <c r="Q1886" i="7"/>
  <c r="I1885" i="7"/>
  <c r="Q1884" i="7"/>
  <c r="Q1883" i="7"/>
  <c r="M1882" i="7"/>
  <c r="Q1881" i="7"/>
  <c r="Q1880" i="7"/>
  <c r="M1878" i="7"/>
  <c r="Q1877" i="7"/>
  <c r="M1876" i="7"/>
  <c r="Q1874" i="7"/>
  <c r="I1873" i="7"/>
  <c r="Q1872" i="7"/>
  <c r="M1871" i="7"/>
  <c r="Q1870" i="7"/>
  <c r="Q1869" i="7"/>
  <c r="Q1866" i="7"/>
  <c r="M1865" i="7"/>
  <c r="Q1865" i="7" s="1"/>
  <c r="I1864" i="7"/>
  <c r="K1864" i="7" s="1"/>
  <c r="Q1863" i="7"/>
  <c r="I1862" i="7"/>
  <c r="K1862" i="7" s="1"/>
  <c r="Q1861" i="7"/>
  <c r="Q1860" i="7"/>
  <c r="M1859" i="7"/>
  <c r="I1859" i="7"/>
  <c r="I1858" i="7"/>
  <c r="Q1857" i="7"/>
  <c r="M1856" i="7"/>
  <c r="Q1854" i="7"/>
  <c r="M1853" i="7"/>
  <c r="Q1851" i="7"/>
  <c r="M1850" i="7"/>
  <c r="I1850" i="7"/>
  <c r="K1850" i="7" s="1"/>
  <c r="Q1848" i="7"/>
  <c r="I1847" i="7"/>
  <c r="K1847" i="7" s="1"/>
  <c r="M1846" i="7"/>
  <c r="M1845" i="7"/>
  <c r="O1845" i="7" s="1"/>
  <c r="Q1842" i="7"/>
  <c r="Q1840" i="7"/>
  <c r="I1839" i="7"/>
  <c r="Q1838" i="7"/>
  <c r="I1837" i="7"/>
  <c r="K1837" i="7" s="1"/>
  <c r="Q1836" i="7"/>
  <c r="I1835" i="7"/>
  <c r="M1834" i="7"/>
  <c r="I1833" i="7"/>
  <c r="Q1832" i="7"/>
  <c r="I1830" i="7"/>
  <c r="I1829" i="7"/>
  <c r="I1828" i="7"/>
  <c r="K1828" i="7" s="1"/>
  <c r="Q1827" i="7"/>
  <c r="I1826" i="7"/>
  <c r="Q1825" i="7"/>
  <c r="Q1824" i="7"/>
  <c r="M1823" i="7"/>
  <c r="I1822" i="7"/>
  <c r="K1822" i="7" s="1"/>
  <c r="I1821" i="7"/>
  <c r="Q1819" i="7"/>
  <c r="Q1818" i="7"/>
  <c r="Q1817" i="7"/>
  <c r="Q1816" i="7"/>
  <c r="M1815" i="7"/>
  <c r="M1814" i="7" s="1"/>
  <c r="M1811" i="7"/>
  <c r="I1805" i="7"/>
  <c r="K1805" i="7" s="1"/>
  <c r="Q1804" i="7"/>
  <c r="I1803" i="7"/>
  <c r="B1801" i="7"/>
  <c r="B1802" i="7" s="1"/>
  <c r="B1803" i="7" s="1"/>
  <c r="B1804" i="7" s="1"/>
  <c r="B1805" i="7" s="1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Q1786" i="7"/>
  <c r="Q1785" i="7"/>
  <c r="M1784" i="7"/>
  <c r="I1784" i="7"/>
  <c r="Q1782" i="7"/>
  <c r="Q1781" i="7"/>
  <c r="I1780" i="7"/>
  <c r="Q1779" i="7"/>
  <c r="Q1778" i="7"/>
  <c r="Q1777" i="7"/>
  <c r="Q1776" i="7"/>
  <c r="Q1775" i="7"/>
  <c r="M1774" i="7"/>
  <c r="M1773" i="7" s="1"/>
  <c r="Q1772" i="7"/>
  <c r="M1771" i="7"/>
  <c r="I1769" i="7"/>
  <c r="I1768" i="7"/>
  <c r="Q1767" i="7"/>
  <c r="Q1765" i="7"/>
  <c r="I1763" i="7"/>
  <c r="Q1763" i="7" s="1"/>
  <c r="Q1762" i="7"/>
  <c r="Q1761" i="7"/>
  <c r="Q1760" i="7"/>
  <c r="Q1759" i="7"/>
  <c r="Q1758" i="7"/>
  <c r="Q1757" i="7"/>
  <c r="Q1756" i="7"/>
  <c r="Q1755" i="7"/>
  <c r="Q1754" i="7"/>
  <c r="Q1753" i="7"/>
  <c r="Q1752" i="7"/>
  <c r="Q1750" i="7"/>
  <c r="M1749" i="7"/>
  <c r="Q1747" i="7"/>
  <c r="Q1746" i="7"/>
  <c r="Q1745" i="7"/>
  <c r="Q1744" i="7"/>
  <c r="Q1743" i="7"/>
  <c r="I1742" i="7"/>
  <c r="M1740" i="7"/>
  <c r="B1739" i="7"/>
  <c r="B1740" i="7" s="1"/>
  <c r="Q1716" i="7"/>
  <c r="Q1715" i="7"/>
  <c r="Q1714" i="7"/>
  <c r="Q1713" i="7"/>
  <c r="Q1712" i="7"/>
  <c r="Q1711" i="7"/>
  <c r="Q1710" i="7"/>
  <c r="M1709" i="7"/>
  <c r="M1706" i="7" s="1"/>
  <c r="I1709" i="7"/>
  <c r="K1709" i="7" s="1"/>
  <c r="Q1708" i="7"/>
  <c r="Q1707" i="7"/>
  <c r="Q1703" i="7"/>
  <c r="Q1702" i="7"/>
  <c r="M1701" i="7"/>
  <c r="Q1699" i="7"/>
  <c r="Q1698" i="7"/>
  <c r="M1697" i="7"/>
  <c r="O1697" i="7" s="1"/>
  <c r="M1695" i="7"/>
  <c r="I1691" i="7"/>
  <c r="I1690" i="7"/>
  <c r="K1690" i="7" s="1"/>
  <c r="I1689" i="7"/>
  <c r="Q1688" i="7"/>
  <c r="Q1687" i="7"/>
  <c r="Q1685" i="7"/>
  <c r="Q1684" i="7"/>
  <c r="Q1682" i="7"/>
  <c r="M1681" i="7"/>
  <c r="Q1681" i="7" s="1"/>
  <c r="Q1679" i="7"/>
  <c r="M1678" i="7"/>
  <c r="I1676" i="7"/>
  <c r="I1675" i="7"/>
  <c r="M1674" i="7"/>
  <c r="I1672" i="7"/>
  <c r="I1671" i="7"/>
  <c r="Q1670" i="7"/>
  <c r="I1669" i="7"/>
  <c r="Q1668" i="7"/>
  <c r="Q1667" i="7"/>
  <c r="M1666" i="7"/>
  <c r="M1663" i="7" s="1"/>
  <c r="Q1665" i="7"/>
  <c r="Q1664" i="7"/>
  <c r="M1662" i="7"/>
  <c r="M1661" i="7"/>
  <c r="Q1659" i="7"/>
  <c r="Q1658" i="7"/>
  <c r="M1657" i="7"/>
  <c r="Q1655" i="7"/>
  <c r="M1654" i="7"/>
  <c r="I1654" i="7"/>
  <c r="K1654" i="7" s="1"/>
  <c r="Q1652" i="7"/>
  <c r="Q1651" i="7"/>
  <c r="M1650" i="7"/>
  <c r="I1649" i="7"/>
  <c r="Q1648" i="7"/>
  <c r="I1647" i="7"/>
  <c r="Q1647" i="7" s="1"/>
  <c r="Q1646" i="7"/>
  <c r="Q1645" i="7"/>
  <c r="I1644" i="7"/>
  <c r="K1644" i="7" s="1"/>
  <c r="M1643" i="7"/>
  <c r="Q1641" i="7"/>
  <c r="Q1640" i="7"/>
  <c r="I1639" i="7"/>
  <c r="Q1639" i="7" s="1"/>
  <c r="M1638" i="7"/>
  <c r="Q1636" i="7"/>
  <c r="Q1635" i="7"/>
  <c r="Q1634" i="7"/>
  <c r="Q1633" i="7"/>
  <c r="Q1632" i="7"/>
  <c r="Q1631" i="7"/>
  <c r="Q1630" i="7"/>
  <c r="Q1629" i="7"/>
  <c r="Q1628" i="7"/>
  <c r="I1627" i="7"/>
  <c r="K1627" i="7" s="1"/>
  <c r="Q1626" i="7"/>
  <c r="I1625" i="7"/>
  <c r="M1624" i="7"/>
  <c r="M1623" i="7" s="1"/>
  <c r="Q1622" i="7"/>
  <c r="I1621" i="7"/>
  <c r="M1620" i="7"/>
  <c r="B1619" i="7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I1592" i="7"/>
  <c r="Q1591" i="7"/>
  <c r="Q1590" i="7"/>
  <c r="Q1589" i="7"/>
  <c r="Q1588" i="7"/>
  <c r="I1587" i="7"/>
  <c r="Q1586" i="7"/>
  <c r="M1584" i="7"/>
  <c r="I1583" i="7"/>
  <c r="I1582" i="7"/>
  <c r="Q1580" i="7"/>
  <c r="Q1579" i="7"/>
  <c r="Q1578" i="7"/>
  <c r="Q1577" i="7"/>
  <c r="I1576" i="7"/>
  <c r="K1576" i="7" s="1"/>
  <c r="I1575" i="7"/>
  <c r="K1575" i="7" s="1"/>
  <c r="Q1574" i="7"/>
  <c r="I1573" i="7"/>
  <c r="K1573" i="7" s="1"/>
  <c r="M1572" i="7"/>
  <c r="Q1571" i="7"/>
  <c r="Q1570" i="7"/>
  <c r="Q1568" i="7"/>
  <c r="M1567" i="7"/>
  <c r="I1567" i="7"/>
  <c r="K1567" i="7" s="1"/>
  <c r="Q1566" i="7"/>
  <c r="M1565" i="7"/>
  <c r="I1565" i="7"/>
  <c r="Q1562" i="7"/>
  <c r="Q1561" i="7"/>
  <c r="Q1560" i="7"/>
  <c r="I1559" i="7"/>
  <c r="K1559" i="7" s="1"/>
  <c r="Q1558" i="7"/>
  <c r="Q1557" i="7"/>
  <c r="M1556" i="7"/>
  <c r="I1555" i="7"/>
  <c r="I1554" i="7"/>
  <c r="Q1553" i="7"/>
  <c r="Q1552" i="7"/>
  <c r="Q1551" i="7"/>
  <c r="Q1550" i="7"/>
  <c r="M1549" i="7"/>
  <c r="I1549" i="7"/>
  <c r="K1549" i="7" s="1"/>
  <c r="I1548" i="7"/>
  <c r="I1547" i="7"/>
  <c r="M1545" i="7"/>
  <c r="Q1545" i="7" s="1"/>
  <c r="Q1543" i="7"/>
  <c r="M1542" i="7"/>
  <c r="I1541" i="7"/>
  <c r="Q1540" i="7"/>
  <c r="Q1539" i="7"/>
  <c r="Q1538" i="7"/>
  <c r="Q1537" i="7"/>
  <c r="Q1536" i="7"/>
  <c r="Q1535" i="7"/>
  <c r="M1534" i="7"/>
  <c r="I1534" i="7"/>
  <c r="K1534" i="7" s="1"/>
  <c r="Q1533" i="7"/>
  <c r="Q1532" i="7"/>
  <c r="Q1531" i="7"/>
  <c r="Q1530" i="7"/>
  <c r="Q1529" i="7"/>
  <c r="Q1528" i="7"/>
  <c r="Q1527" i="7"/>
  <c r="Q1526" i="7"/>
  <c r="M1525" i="7"/>
  <c r="I1525" i="7"/>
  <c r="K1525" i="7" s="1"/>
  <c r="Q1524" i="7"/>
  <c r="Q1523" i="7"/>
  <c r="Q1520" i="7"/>
  <c r="Q1519" i="7"/>
  <c r="Q1518" i="7"/>
  <c r="Q1517" i="7"/>
  <c r="Q1516" i="7"/>
  <c r="Q1515" i="7"/>
  <c r="Q1514" i="7"/>
  <c r="M1513" i="7"/>
  <c r="I1513" i="7"/>
  <c r="K1513" i="7" s="1"/>
  <c r="I1512" i="7"/>
  <c r="K1512" i="7" s="1"/>
  <c r="I1511" i="7"/>
  <c r="K1511" i="7" s="1"/>
  <c r="Q1510" i="7"/>
  <c r="Q1509" i="7"/>
  <c r="Q1508" i="7"/>
  <c r="Q1507" i="7"/>
  <c r="Q1506" i="7"/>
  <c r="Q1505" i="7"/>
  <c r="M1504" i="7"/>
  <c r="I1504" i="7"/>
  <c r="Q1503" i="7"/>
  <c r="Q1502" i="7"/>
  <c r="Q1500" i="7"/>
  <c r="Q1499" i="7"/>
  <c r="Q1498" i="7"/>
  <c r="Q1497" i="7"/>
  <c r="Q1496" i="7"/>
  <c r="M1495" i="7"/>
  <c r="I1495" i="7"/>
  <c r="K1495" i="7" s="1"/>
  <c r="Q1494" i="7"/>
  <c r="Q1493" i="7"/>
  <c r="Q1492" i="7"/>
  <c r="Q1491" i="7"/>
  <c r="Q1490" i="7"/>
  <c r="Q1489" i="7"/>
  <c r="Q1488" i="7"/>
  <c r="M1487" i="7"/>
  <c r="I1487" i="7"/>
  <c r="K1487" i="7" s="1"/>
  <c r="Q1486" i="7"/>
  <c r="Q1485" i="7"/>
  <c r="Q1483" i="7"/>
  <c r="Q1482" i="7"/>
  <c r="Q1481" i="7"/>
  <c r="Q1480" i="7"/>
  <c r="Q1479" i="7"/>
  <c r="M1478" i="7"/>
  <c r="I1478" i="7"/>
  <c r="K1478" i="7" s="1"/>
  <c r="Q1477" i="7"/>
  <c r="I1476" i="7"/>
  <c r="Q1475" i="7"/>
  <c r="Q1474" i="7"/>
  <c r="Q1473" i="7"/>
  <c r="Q1472" i="7"/>
  <c r="Q1471" i="7"/>
  <c r="M1470" i="7"/>
  <c r="I1470" i="7"/>
  <c r="K1470" i="7" s="1"/>
  <c r="Q1469" i="7"/>
  <c r="I1468" i="7"/>
  <c r="K1468" i="7" s="1"/>
  <c r="Q1466" i="7"/>
  <c r="M1465" i="7"/>
  <c r="I1465" i="7"/>
  <c r="K1465" i="7" s="1"/>
  <c r="Q1464" i="7"/>
  <c r="M1463" i="7"/>
  <c r="I1463" i="7"/>
  <c r="K1463" i="7" s="1"/>
  <c r="Q1461" i="7"/>
  <c r="Q1460" i="7"/>
  <c r="Q1459" i="7"/>
  <c r="I1458" i="7"/>
  <c r="Q1457" i="7"/>
  <c r="M1456" i="7"/>
  <c r="I1455" i="7"/>
  <c r="I1454" i="7"/>
  <c r="Q1453" i="7"/>
  <c r="Q1452" i="7"/>
  <c r="Q1451" i="7"/>
  <c r="Q1450" i="7"/>
  <c r="Q1449" i="7"/>
  <c r="M1448" i="7"/>
  <c r="I1448" i="7"/>
  <c r="K1448" i="7" s="1"/>
  <c r="I1447" i="7"/>
  <c r="K1447" i="7" s="1"/>
  <c r="I1446" i="7"/>
  <c r="K1446" i="7" s="1"/>
  <c r="Q1444" i="7"/>
  <c r="Q1443" i="7"/>
  <c r="Q1442" i="7"/>
  <c r="Q1441" i="7"/>
  <c r="Q1440" i="7"/>
  <c r="M1439" i="7"/>
  <c r="I1439" i="7"/>
  <c r="K1439" i="7" s="1"/>
  <c r="Q1438" i="7"/>
  <c r="Q1437" i="7"/>
  <c r="Q1436" i="7"/>
  <c r="Q1435" i="7"/>
  <c r="Q1434" i="7"/>
  <c r="Q1433" i="7"/>
  <c r="Q1432" i="7"/>
  <c r="M1431" i="7"/>
  <c r="I1431" i="7"/>
  <c r="Q1430" i="7"/>
  <c r="Q1429" i="7"/>
  <c r="Q1426" i="7"/>
  <c r="Q1425" i="7"/>
  <c r="Q1424" i="7"/>
  <c r="Q1423" i="7"/>
  <c r="M1422" i="7"/>
  <c r="M1419" i="7" s="1"/>
  <c r="I1422" i="7"/>
  <c r="Q1421" i="7"/>
  <c r="Q1420" i="7"/>
  <c r="Q1418" i="7"/>
  <c r="Q1417" i="7"/>
  <c r="Q1416" i="7"/>
  <c r="M1415" i="7"/>
  <c r="I1415" i="7"/>
  <c r="Q1414" i="7"/>
  <c r="Q1413" i="7"/>
  <c r="Q1410" i="7"/>
  <c r="Q1409" i="7"/>
  <c r="Q1408" i="7"/>
  <c r="M1407" i="7"/>
  <c r="I1407" i="7"/>
  <c r="Q1406" i="7"/>
  <c r="Q1405" i="7"/>
  <c r="Q1403" i="7"/>
  <c r="Q1402" i="7"/>
  <c r="Q1401" i="7"/>
  <c r="M1400" i="7"/>
  <c r="M1397" i="7" s="1"/>
  <c r="I1400" i="7"/>
  <c r="K1400" i="7" s="1"/>
  <c r="Q1399" i="7"/>
  <c r="Q1398" i="7"/>
  <c r="Q1396" i="7"/>
  <c r="Q1395" i="7"/>
  <c r="Q1394" i="7"/>
  <c r="M1393" i="7"/>
  <c r="M1390" i="7" s="1"/>
  <c r="I1393" i="7"/>
  <c r="Q1392" i="7"/>
  <c r="Q1391" i="7"/>
  <c r="Q1389" i="7"/>
  <c r="Q1388" i="7"/>
  <c r="Q1387" i="7"/>
  <c r="I1386" i="7"/>
  <c r="K1386" i="7" s="1"/>
  <c r="M1385" i="7"/>
  <c r="M1382" i="7" s="1"/>
  <c r="Q1384" i="7"/>
  <c r="Q1383" i="7"/>
  <c r="Q1381" i="7"/>
  <c r="Q1380" i="7"/>
  <c r="Q1379" i="7"/>
  <c r="M1378" i="7"/>
  <c r="M1375" i="7" s="1"/>
  <c r="I1378" i="7"/>
  <c r="K1378" i="7" s="1"/>
  <c r="Q1377" i="7"/>
  <c r="Q1376" i="7"/>
  <c r="Q1373" i="7"/>
  <c r="Q1372" i="7"/>
  <c r="Q1371" i="7"/>
  <c r="M1370" i="7"/>
  <c r="Q1369" i="7"/>
  <c r="Q1368" i="7"/>
  <c r="I1367" i="7"/>
  <c r="Q1367" i="7" s="1"/>
  <c r="Q1365" i="7"/>
  <c r="Q1364" i="7"/>
  <c r="Q1363" i="7"/>
  <c r="M1362" i="7"/>
  <c r="Q1362" i="7" s="1"/>
  <c r="Q1361" i="7"/>
  <c r="Q1360" i="7"/>
  <c r="Q1359" i="7"/>
  <c r="Q1358" i="7"/>
  <c r="Q1357" i="7"/>
  <c r="Q1356" i="7"/>
  <c r="M1355" i="7"/>
  <c r="I1355" i="7"/>
  <c r="Q1354" i="7"/>
  <c r="Q1353" i="7"/>
  <c r="Q1351" i="7"/>
  <c r="Q1350" i="7"/>
  <c r="Q1349" i="7"/>
  <c r="M1348" i="7"/>
  <c r="M1345" i="7" s="1"/>
  <c r="I1348" i="7"/>
  <c r="Q1347" i="7"/>
  <c r="Q1346" i="7"/>
  <c r="Q1343" i="7"/>
  <c r="Q1342" i="7"/>
  <c r="Q1341" i="7"/>
  <c r="M1340" i="7"/>
  <c r="Q1339" i="7"/>
  <c r="I1338" i="7"/>
  <c r="K1338" i="7" s="1"/>
  <c r="Q1335" i="7"/>
  <c r="Q1334" i="7"/>
  <c r="Q1333" i="7"/>
  <c r="M1332" i="7"/>
  <c r="I1332" i="7"/>
  <c r="Q1331" i="7"/>
  <c r="Q1330" i="7"/>
  <c r="Q1328" i="7"/>
  <c r="Q1327" i="7"/>
  <c r="Q1326" i="7"/>
  <c r="M1325" i="7"/>
  <c r="M1322" i="7" s="1"/>
  <c r="I1325" i="7"/>
  <c r="K1325" i="7" s="1"/>
  <c r="I1324" i="7"/>
  <c r="I1323" i="7"/>
  <c r="Q1320" i="7"/>
  <c r="Q1319" i="7"/>
  <c r="Q1317" i="7"/>
  <c r="Q1316" i="7"/>
  <c r="Q1313" i="7"/>
  <c r="M1312" i="7"/>
  <c r="I1311" i="7"/>
  <c r="Q1310" i="7"/>
  <c r="Q1309" i="7"/>
  <c r="Q1308" i="7"/>
  <c r="Q1307" i="7"/>
  <c r="Q1306" i="7"/>
  <c r="Q1305" i="7"/>
  <c r="M1304" i="7"/>
  <c r="I1304" i="7"/>
  <c r="K1304" i="7" s="1"/>
  <c r="Q1303" i="7"/>
  <c r="Q1302" i="7"/>
  <c r="M1301" i="7"/>
  <c r="O1301" i="7" s="1"/>
  <c r="Q1300" i="7"/>
  <c r="Q1299" i="7"/>
  <c r="Q1298" i="7"/>
  <c r="Q1297" i="7"/>
  <c r="M1296" i="7"/>
  <c r="M1293" i="7" s="1"/>
  <c r="I1296" i="7"/>
  <c r="K1296" i="7" s="1"/>
  <c r="Q1295" i="7"/>
  <c r="Q1294" i="7"/>
  <c r="Q1292" i="7"/>
  <c r="Q1291" i="7"/>
  <c r="Q1290" i="7"/>
  <c r="Q1289" i="7"/>
  <c r="M1288" i="7"/>
  <c r="M1285" i="7" s="1"/>
  <c r="I1288" i="7"/>
  <c r="Q1287" i="7"/>
  <c r="Q1286" i="7"/>
  <c r="Q1284" i="7"/>
  <c r="Q1283" i="7"/>
  <c r="Q1282" i="7"/>
  <c r="Q1281" i="7"/>
  <c r="M1280" i="7"/>
  <c r="I1280" i="7"/>
  <c r="Q1279" i="7"/>
  <c r="Q1278" i="7"/>
  <c r="Q1276" i="7"/>
  <c r="Q1275" i="7"/>
  <c r="Q1274" i="7"/>
  <c r="Q1273" i="7"/>
  <c r="M1272" i="7"/>
  <c r="I1272" i="7"/>
  <c r="Q1271" i="7"/>
  <c r="Q1270" i="7"/>
  <c r="Q1268" i="7"/>
  <c r="Q1267" i="7"/>
  <c r="Q1266" i="7"/>
  <c r="M1265" i="7"/>
  <c r="M1262" i="7" s="1"/>
  <c r="I1265" i="7"/>
  <c r="I1262" i="7" s="1"/>
  <c r="Q1264" i="7"/>
  <c r="Q1263" i="7"/>
  <c r="Q1261" i="7"/>
  <c r="Q1260" i="7"/>
  <c r="Q1259" i="7"/>
  <c r="Q1258" i="7"/>
  <c r="M1257" i="7"/>
  <c r="M1254" i="7" s="1"/>
  <c r="I1257" i="7"/>
  <c r="Q1256" i="7"/>
  <c r="Q1255" i="7"/>
  <c r="Q1253" i="7"/>
  <c r="Q1252" i="7"/>
  <c r="Q1251" i="7"/>
  <c r="Q1250" i="7"/>
  <c r="M1249" i="7"/>
  <c r="M1246" i="7" s="1"/>
  <c r="I1249" i="7"/>
  <c r="K1249" i="7" s="1"/>
  <c r="Q1248" i="7"/>
  <c r="Q1247" i="7"/>
  <c r="Q1245" i="7"/>
  <c r="Q1244" i="7"/>
  <c r="Q1243" i="7"/>
  <c r="Q1242" i="7"/>
  <c r="M1241" i="7"/>
  <c r="M1238" i="7" s="1"/>
  <c r="I1241" i="7"/>
  <c r="K1241" i="7" s="1"/>
  <c r="Q1240" i="7"/>
  <c r="Q1239" i="7"/>
  <c r="I1238" i="7"/>
  <c r="K1238" i="7" s="1"/>
  <c r="Q1237" i="7"/>
  <c r="Q1236" i="7"/>
  <c r="Q1235" i="7"/>
  <c r="M1234" i="7"/>
  <c r="I1234" i="7"/>
  <c r="Q1233" i="7"/>
  <c r="Q1232" i="7"/>
  <c r="Q1230" i="7"/>
  <c r="I1229" i="7"/>
  <c r="Q1228" i="7"/>
  <c r="Q1226" i="7"/>
  <c r="Q1225" i="7"/>
  <c r="Q1224" i="7"/>
  <c r="M1223" i="7"/>
  <c r="Q1222" i="7"/>
  <c r="Q1221" i="7"/>
  <c r="Q1219" i="7"/>
  <c r="Q1218" i="7"/>
  <c r="Q1217" i="7"/>
  <c r="Q1216" i="7"/>
  <c r="Q1215" i="7"/>
  <c r="Q1214" i="7"/>
  <c r="Q1213" i="7"/>
  <c r="I1212" i="7"/>
  <c r="Q1210" i="7"/>
  <c r="Q1209" i="7"/>
  <c r="M1208" i="7"/>
  <c r="Q1207" i="7"/>
  <c r="M1206" i="7"/>
  <c r="Q1204" i="7"/>
  <c r="Q1202" i="7"/>
  <c r="Q1201" i="7"/>
  <c r="I1200" i="7"/>
  <c r="K1200" i="7" s="1"/>
  <c r="Q1199" i="7"/>
  <c r="Q1198" i="7"/>
  <c r="I1197" i="7"/>
  <c r="K1197" i="7" s="1"/>
  <c r="I1196" i="7"/>
  <c r="Q1195" i="7"/>
  <c r="M1194" i="7"/>
  <c r="Q1193" i="7"/>
  <c r="Q1192" i="7"/>
  <c r="Q1191" i="7"/>
  <c r="M1190" i="7"/>
  <c r="O1190" i="7" s="1"/>
  <c r="I1189" i="7"/>
  <c r="Q1188" i="7"/>
  <c r="Q1187" i="7"/>
  <c r="Q1186" i="7"/>
  <c r="Q1185" i="7"/>
  <c r="I1184" i="7"/>
  <c r="K1184" i="7" s="1"/>
  <c r="Q1183" i="7"/>
  <c r="Q1181" i="7"/>
  <c r="Q1180" i="7"/>
  <c r="Q1178" i="7"/>
  <c r="Q1176" i="7"/>
  <c r="Q1175" i="7"/>
  <c r="I1174" i="7"/>
  <c r="Q1173" i="7"/>
  <c r="Q1172" i="7"/>
  <c r="Q1171" i="7"/>
  <c r="Q1170" i="7"/>
  <c r="Q1169" i="7"/>
  <c r="Q1168" i="7"/>
  <c r="M1167" i="7"/>
  <c r="M1153" i="7" s="1"/>
  <c r="Q1166" i="7"/>
  <c r="Q1165" i="7"/>
  <c r="Q1164" i="7"/>
  <c r="Q1163" i="7"/>
  <c r="Q1162" i="7"/>
  <c r="Q1161" i="7"/>
  <c r="Q1160" i="7"/>
  <c r="Q1159" i="7"/>
  <c r="Q1158" i="7"/>
  <c r="Q1157" i="7"/>
  <c r="I1156" i="7"/>
  <c r="Q1155" i="7"/>
  <c r="Q1154" i="7"/>
  <c r="Q1152" i="7"/>
  <c r="Q1151" i="7"/>
  <c r="M1150" i="7"/>
  <c r="Q1148" i="7"/>
  <c r="Q1146" i="7"/>
  <c r="Q1145" i="7"/>
  <c r="I1144" i="7"/>
  <c r="K1144" i="7" s="1"/>
  <c r="Q1143" i="7"/>
  <c r="Q1142" i="7"/>
  <c r="Q1141" i="7"/>
  <c r="Q1140" i="7"/>
  <c r="Q1139" i="7"/>
  <c r="M1138" i="7"/>
  <c r="Q1137" i="7"/>
  <c r="Q1136" i="7"/>
  <c r="Q1135" i="7"/>
  <c r="Q1134" i="7"/>
  <c r="Q1133" i="7"/>
  <c r="Q1132" i="7"/>
  <c r="Q1131" i="7"/>
  <c r="Q1130" i="7"/>
  <c r="Q1129" i="7"/>
  <c r="I1128" i="7"/>
  <c r="Q1127" i="7"/>
  <c r="Q1126" i="7"/>
  <c r="M1124" i="7"/>
  <c r="M1123" i="7"/>
  <c r="O1123" i="7" s="1"/>
  <c r="Q1121" i="7"/>
  <c r="Q1120" i="7"/>
  <c r="M1119" i="7"/>
  <c r="I1118" i="7"/>
  <c r="Q1116" i="7"/>
  <c r="Q1114" i="7"/>
  <c r="Q1113" i="7"/>
  <c r="I1112" i="7"/>
  <c r="K1112" i="7" s="1"/>
  <c r="Q1111" i="7"/>
  <c r="Q1110" i="7"/>
  <c r="Q1109" i="7"/>
  <c r="Q1108" i="7"/>
  <c r="Q1107" i="7"/>
  <c r="M1106" i="7"/>
  <c r="Q1105" i="7"/>
  <c r="Q1104" i="7"/>
  <c r="Q1103" i="7"/>
  <c r="Q1102" i="7"/>
  <c r="Q1101" i="7"/>
  <c r="Q1100" i="7"/>
  <c r="Q1099" i="7"/>
  <c r="Q1098" i="7"/>
  <c r="I1097" i="7"/>
  <c r="K1097" i="7" s="1"/>
  <c r="Q1096" i="7"/>
  <c r="Q1095" i="7"/>
  <c r="Q1093" i="7"/>
  <c r="M1092" i="7"/>
  <c r="Q1090" i="7"/>
  <c r="M1089" i="7"/>
  <c r="I1088" i="7"/>
  <c r="Q1086" i="7"/>
  <c r="Q1084" i="7"/>
  <c r="Q1083" i="7"/>
  <c r="I1082" i="7"/>
  <c r="Q1081" i="7"/>
  <c r="Q1080" i="7"/>
  <c r="I1078" i="7"/>
  <c r="K1078" i="7" s="1"/>
  <c r="I1077" i="7"/>
  <c r="I1076" i="7"/>
  <c r="M1075" i="7"/>
  <c r="Q1074" i="7"/>
  <c r="Q1073" i="7"/>
  <c r="Q1072" i="7"/>
  <c r="Q1071" i="7"/>
  <c r="I1070" i="7"/>
  <c r="K1070" i="7" s="1"/>
  <c r="Q1069" i="7"/>
  <c r="I1068" i="7"/>
  <c r="I1067" i="7"/>
  <c r="Q1065" i="7"/>
  <c r="Q1064" i="7"/>
  <c r="Q1062" i="7"/>
  <c r="Q1060" i="7"/>
  <c r="Q1059" i="7"/>
  <c r="I1058" i="7"/>
  <c r="Q1057" i="7"/>
  <c r="Q1056" i="7"/>
  <c r="Q1055" i="7"/>
  <c r="Q1054" i="7"/>
  <c r="Q1053" i="7"/>
  <c r="M1052" i="7"/>
  <c r="M1037" i="7" s="1"/>
  <c r="O1037" i="7" s="1"/>
  <c r="Q1051" i="7"/>
  <c r="Q1050" i="7"/>
  <c r="Q1049" i="7"/>
  <c r="Q1048" i="7"/>
  <c r="Q1047" i="7"/>
  <c r="Q1046" i="7"/>
  <c r="Q1045" i="7"/>
  <c r="Q1044" i="7"/>
  <c r="I1043" i="7"/>
  <c r="K1043" i="7" s="1"/>
  <c r="Q1042" i="7"/>
  <c r="Q1041" i="7"/>
  <c r="Q1039" i="7"/>
  <c r="Q1038" i="7"/>
  <c r="Q1035" i="7"/>
  <c r="M1034" i="7"/>
  <c r="O1034" i="7" s="1"/>
  <c r="Q1031" i="7"/>
  <c r="Q1029" i="7"/>
  <c r="Q1028" i="7"/>
  <c r="I1027" i="7"/>
  <c r="K1027" i="7" s="1"/>
  <c r="Q1026" i="7"/>
  <c r="I1025" i="7"/>
  <c r="Q1024" i="7"/>
  <c r="Q1023" i="7"/>
  <c r="M1022" i="7"/>
  <c r="Q1021" i="7"/>
  <c r="Q1020" i="7"/>
  <c r="Q1019" i="7"/>
  <c r="Q1018" i="7"/>
  <c r="Q1017" i="7"/>
  <c r="Q1016" i="7"/>
  <c r="Q1015" i="7"/>
  <c r="Q1014" i="7"/>
  <c r="I1013" i="7"/>
  <c r="K1013" i="7" s="1"/>
  <c r="Q1012" i="7"/>
  <c r="Q1011" i="7"/>
  <c r="Q1009" i="7"/>
  <c r="Q1007" i="7"/>
  <c r="Q1006" i="7"/>
  <c r="I1005" i="7"/>
  <c r="Q1004" i="7"/>
  <c r="Q1003" i="7"/>
  <c r="Q1002" i="7"/>
  <c r="Q1001" i="7"/>
  <c r="Q1000" i="7"/>
  <c r="M999" i="7"/>
  <c r="M986" i="7" s="1"/>
  <c r="Q998" i="7"/>
  <c r="Q997" i="7"/>
  <c r="Q996" i="7"/>
  <c r="Q995" i="7"/>
  <c r="Q994" i="7"/>
  <c r="Q992" i="7"/>
  <c r="Q991" i="7"/>
  <c r="Q990" i="7"/>
  <c r="Q988" i="7"/>
  <c r="Q987" i="7"/>
  <c r="Q985" i="7"/>
  <c r="M984" i="7"/>
  <c r="O984" i="7" s="1"/>
  <c r="Q983" i="7"/>
  <c r="M982" i="7"/>
  <c r="O982" i="7" s="1"/>
  <c r="I981" i="7"/>
  <c r="Q979" i="7"/>
  <c r="I977" i="7"/>
  <c r="Q976" i="7"/>
  <c r="I974" i="7"/>
  <c r="I973" i="7"/>
  <c r="Q970" i="7"/>
  <c r="Q969" i="7"/>
  <c r="Q968" i="7"/>
  <c r="I967" i="7"/>
  <c r="Q965" i="7"/>
  <c r="M964" i="7"/>
  <c r="I963" i="7"/>
  <c r="Q962" i="7"/>
  <c r="Q961" i="7"/>
  <c r="Q960" i="7"/>
  <c r="Q959" i="7"/>
  <c r="I958" i="7"/>
  <c r="Q957" i="7"/>
  <c r="M956" i="7"/>
  <c r="I955" i="7"/>
  <c r="I954" i="7"/>
  <c r="Q952" i="7"/>
  <c r="M951" i="7"/>
  <c r="I950" i="7"/>
  <c r="Q949" i="7"/>
  <c r="Q948" i="7"/>
  <c r="Q947" i="7"/>
  <c r="I946" i="7"/>
  <c r="I944" i="7" s="1"/>
  <c r="Q945" i="7"/>
  <c r="M944" i="7"/>
  <c r="I943" i="7"/>
  <c r="I942" i="7"/>
  <c r="Q940" i="7"/>
  <c r="Q939" i="7"/>
  <c r="Q938" i="7"/>
  <c r="I937" i="7"/>
  <c r="Q936" i="7"/>
  <c r="M935" i="7"/>
  <c r="Q934" i="7"/>
  <c r="Q933" i="7"/>
  <c r="Q931" i="7"/>
  <c r="Q930" i="7"/>
  <c r="I929" i="7"/>
  <c r="I927" i="7" s="1"/>
  <c r="Q928" i="7"/>
  <c r="M927" i="7"/>
  <c r="Q926" i="7"/>
  <c r="Q925" i="7"/>
  <c r="Q922" i="7"/>
  <c r="Q921" i="7"/>
  <c r="I920" i="7"/>
  <c r="Q919" i="7"/>
  <c r="Q917" i="7"/>
  <c r="Q916" i="7"/>
  <c r="M915" i="7"/>
  <c r="Q914" i="7"/>
  <c r="M913" i="7"/>
  <c r="Q913" i="7" s="1"/>
  <c r="Q911" i="7"/>
  <c r="Q910" i="7"/>
  <c r="Q909" i="7"/>
  <c r="Q908" i="7"/>
  <c r="I907" i="7"/>
  <c r="Q906" i="7"/>
  <c r="Q904" i="7"/>
  <c r="Q903" i="7"/>
  <c r="Q901" i="7"/>
  <c r="M900" i="7"/>
  <c r="Q899" i="7"/>
  <c r="M898" i="7"/>
  <c r="O898" i="7" s="1"/>
  <c r="Q896" i="7"/>
  <c r="Q895" i="7"/>
  <c r="Q894" i="7"/>
  <c r="I893" i="7"/>
  <c r="I891" i="7" s="1"/>
  <c r="Q892" i="7"/>
  <c r="Q890" i="7"/>
  <c r="Q889" i="7"/>
  <c r="M887" i="7"/>
  <c r="O887" i="7" s="1"/>
  <c r="M885" i="7"/>
  <c r="Q885" i="7" s="1"/>
  <c r="I883" i="7"/>
  <c r="Q882" i="7"/>
  <c r="Q881" i="7"/>
  <c r="Q880" i="7"/>
  <c r="I879" i="7"/>
  <c r="Q878" i="7"/>
  <c r="Q876" i="7"/>
  <c r="Q875" i="7"/>
  <c r="M873" i="7"/>
  <c r="Q873" i="7" s="1"/>
  <c r="I871" i="7"/>
  <c r="Q870" i="7"/>
  <c r="Q869" i="7"/>
  <c r="Q868" i="7"/>
  <c r="I867" i="7"/>
  <c r="Q867" i="7" s="1"/>
  <c r="Q866" i="7"/>
  <c r="Q864" i="7"/>
  <c r="Q863" i="7"/>
  <c r="M861" i="7"/>
  <c r="I859" i="7"/>
  <c r="Q858" i="7"/>
  <c r="Q857" i="7"/>
  <c r="Q856" i="7"/>
  <c r="I855" i="7"/>
  <c r="K855" i="7" s="1"/>
  <c r="Q854" i="7"/>
  <c r="M853" i="7"/>
  <c r="Q852" i="7"/>
  <c r="Q851" i="7"/>
  <c r="Q849" i="7"/>
  <c r="Q848" i="7"/>
  <c r="I847" i="7"/>
  <c r="I846" i="7"/>
  <c r="Q846" i="7" s="1"/>
  <c r="Q845" i="7"/>
  <c r="Q843" i="7"/>
  <c r="Q842" i="7"/>
  <c r="M841" i="7"/>
  <c r="Q840" i="7"/>
  <c r="Q839" i="7"/>
  <c r="Q838" i="7"/>
  <c r="I837" i="7"/>
  <c r="Q836" i="7"/>
  <c r="M835" i="7"/>
  <c r="Q834" i="7"/>
  <c r="Q833" i="7"/>
  <c r="Q830" i="7"/>
  <c r="Q829" i="7"/>
  <c r="Q828" i="7"/>
  <c r="I827" i="7"/>
  <c r="I825" i="7" s="1"/>
  <c r="Q826" i="7"/>
  <c r="Q824" i="7"/>
  <c r="Q823" i="7"/>
  <c r="M822" i="7"/>
  <c r="Q821" i="7"/>
  <c r="M820" i="7"/>
  <c r="Q818" i="7"/>
  <c r="M817" i="7"/>
  <c r="I816" i="7"/>
  <c r="Q815" i="7"/>
  <c r="Q814" i="7"/>
  <c r="Q813" i="7"/>
  <c r="Q812" i="7"/>
  <c r="I811" i="7"/>
  <c r="I810" i="7"/>
  <c r="Q809" i="7"/>
  <c r="Q807" i="7"/>
  <c r="Q806" i="7"/>
  <c r="Q805" i="7"/>
  <c r="I804" i="7"/>
  <c r="Q802" i="7"/>
  <c r="Q801" i="7"/>
  <c r="I800" i="7"/>
  <c r="Q799" i="7"/>
  <c r="M798" i="7"/>
  <c r="M795" i="7" s="1"/>
  <c r="I797" i="7"/>
  <c r="I796" i="7"/>
  <c r="Q794" i="7"/>
  <c r="Q793" i="7"/>
  <c r="I792" i="7"/>
  <c r="M791" i="7"/>
  <c r="Q788" i="7"/>
  <c r="M787" i="7"/>
  <c r="Q786" i="7"/>
  <c r="M785" i="7"/>
  <c r="Q784" i="7"/>
  <c r="Q783" i="7"/>
  <c r="Q782" i="7"/>
  <c r="Q781" i="7"/>
  <c r="I780" i="7"/>
  <c r="Q779" i="7"/>
  <c r="M777" i="7"/>
  <c r="I776" i="7"/>
  <c r="K776" i="7" s="1"/>
  <c r="I775" i="7"/>
  <c r="Q773" i="7"/>
  <c r="Q772" i="7"/>
  <c r="Q771" i="7"/>
  <c r="Q770" i="7"/>
  <c r="Q769" i="7"/>
  <c r="Q768" i="7"/>
  <c r="Q767" i="7"/>
  <c r="Q766" i="7"/>
  <c r="Q765" i="7"/>
  <c r="B763" i="7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M700" i="7"/>
  <c r="Q699" i="7"/>
  <c r="I697" i="7"/>
  <c r="Q696" i="7"/>
  <c r="Q695" i="7"/>
  <c r="M694" i="7"/>
  <c r="M693" i="7"/>
  <c r="M692" i="7"/>
  <c r="Q691" i="7"/>
  <c r="Q690" i="7"/>
  <c r="M689" i="7"/>
  <c r="Q688" i="7"/>
  <c r="M687" i="7"/>
  <c r="Q686" i="7"/>
  <c r="M685" i="7"/>
  <c r="M684" i="7"/>
  <c r="Q683" i="7"/>
  <c r="Q682" i="7"/>
  <c r="Q681" i="7"/>
  <c r="Q680" i="7"/>
  <c r="Q679" i="7"/>
  <c r="Q678" i="7"/>
  <c r="Q677" i="7"/>
  <c r="Q676" i="7"/>
  <c r="Q675" i="7"/>
  <c r="Q674" i="7"/>
  <c r="M673" i="7"/>
  <c r="O673" i="7" s="1"/>
  <c r="Q672" i="7"/>
  <c r="Q671" i="7"/>
  <c r="Q670" i="7"/>
  <c r="Q669" i="7"/>
  <c r="Q668" i="7"/>
  <c r="Q667" i="7"/>
  <c r="Q666" i="7"/>
  <c r="Q665" i="7"/>
  <c r="Q664" i="7"/>
  <c r="Q663" i="7"/>
  <c r="Q662" i="7"/>
  <c r="Q661" i="7"/>
  <c r="Q660" i="7"/>
  <c r="M659" i="7"/>
  <c r="M658" i="7"/>
  <c r="O658" i="7" s="1"/>
  <c r="M657" i="7"/>
  <c r="M656" i="7"/>
  <c r="M655" i="7"/>
  <c r="Q654" i="7"/>
  <c r="M653" i="7"/>
  <c r="M652" i="7"/>
  <c r="M651" i="7"/>
  <c r="M650" i="7"/>
  <c r="M649" i="7"/>
  <c r="O649" i="7" s="1"/>
  <c r="M648" i="7"/>
  <c r="O648" i="7" s="1"/>
  <c r="Q646" i="7"/>
  <c r="Q645" i="7"/>
  <c r="Q644" i="7"/>
  <c r="Q643" i="7"/>
  <c r="Q642" i="7"/>
  <c r="Q641" i="7"/>
  <c r="M640" i="7"/>
  <c r="Q639" i="7"/>
  <c r="Q638" i="7"/>
  <c r="Q637" i="7"/>
  <c r="Q636" i="7"/>
  <c r="Q635" i="7"/>
  <c r="Q634" i="7"/>
  <c r="Q633" i="7"/>
  <c r="Q632" i="7"/>
  <c r="Q631" i="7"/>
  <c r="Q630" i="7"/>
  <c r="Q629" i="7"/>
  <c r="Q628" i="7"/>
  <c r="Q627" i="7"/>
  <c r="Q626" i="7"/>
  <c r="Q625" i="7"/>
  <c r="Q624" i="7"/>
  <c r="Q623" i="7"/>
  <c r="M622" i="7"/>
  <c r="Q621" i="7"/>
  <c r="Q619" i="7"/>
  <c r="Q618" i="7" s="1"/>
  <c r="M618" i="7"/>
  <c r="O618" i="7" s="1"/>
  <c r="I617" i="7"/>
  <c r="I616" i="7" s="1"/>
  <c r="Q615" i="7"/>
  <c r="M614" i="7"/>
  <c r="I613" i="7"/>
  <c r="Q612" i="7"/>
  <c r="I611" i="7"/>
  <c r="Q610" i="7"/>
  <c r="Q609" i="7"/>
  <c r="Q608" i="7"/>
  <c r="M607" i="7"/>
  <c r="Q606" i="7"/>
  <c r="Q605" i="7"/>
  <c r="Q603" i="7"/>
  <c r="Q601" i="7"/>
  <c r="Q600" i="7"/>
  <c r="Q599" i="7"/>
  <c r="Q598" i="7"/>
  <c r="Q597" i="7"/>
  <c r="I596" i="7"/>
  <c r="Q595" i="7"/>
  <c r="Q594" i="7"/>
  <c r="M592" i="7"/>
  <c r="I590" i="7"/>
  <c r="Q590" i="7" s="1"/>
  <c r="M589" i="7"/>
  <c r="M588" i="7" s="1"/>
  <c r="B588" i="7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Q527" i="7"/>
  <c r="M526" i="7"/>
  <c r="I525" i="7"/>
  <c r="Q524" i="7"/>
  <c r="M523" i="7"/>
  <c r="I522" i="7"/>
  <c r="Q521" i="7"/>
  <c r="Q520" i="7"/>
  <c r="Q519" i="7"/>
  <c r="I518" i="7"/>
  <c r="K518" i="7" s="1"/>
  <c r="I517" i="7"/>
  <c r="I516" i="7"/>
  <c r="Q515" i="7"/>
  <c r="Q514" i="7"/>
  <c r="Q513" i="7"/>
  <c r="M512" i="7"/>
  <c r="Q510" i="7"/>
  <c r="I509" i="7"/>
  <c r="M508" i="7"/>
  <c r="Q507" i="7"/>
  <c r="M506" i="7"/>
  <c r="M505" i="7"/>
  <c r="I503" i="7"/>
  <c r="I502" i="7"/>
  <c r="M501" i="7"/>
  <c r="Q499" i="7"/>
  <c r="M498" i="7"/>
  <c r="I497" i="7"/>
  <c r="Q496" i="7"/>
  <c r="I495" i="7"/>
  <c r="Q494" i="7"/>
  <c r="Q493" i="7"/>
  <c r="Q492" i="7"/>
  <c r="M491" i="7"/>
  <c r="Q490" i="7"/>
  <c r="Q489" i="7"/>
  <c r="M487" i="7"/>
  <c r="Q486" i="7"/>
  <c r="M485" i="7"/>
  <c r="M484" i="7"/>
  <c r="Q483" i="7"/>
  <c r="Q482" i="7"/>
  <c r="Q480" i="7"/>
  <c r="M479" i="7"/>
  <c r="I478" i="7"/>
  <c r="Q477" i="7"/>
  <c r="I476" i="7"/>
  <c r="Q474" i="7"/>
  <c r="M473" i="7"/>
  <c r="I471" i="7"/>
  <c r="Q470" i="7"/>
  <c r="M469" i="7"/>
  <c r="I469" i="7"/>
  <c r="K469" i="7" s="1"/>
  <c r="I468" i="7"/>
  <c r="K468" i="7" s="1"/>
  <c r="I467" i="7"/>
  <c r="Q466" i="7"/>
  <c r="Q465" i="7"/>
  <c r="Q464" i="7"/>
  <c r="I463" i="7"/>
  <c r="Q462" i="7"/>
  <c r="I461" i="7"/>
  <c r="M460" i="7"/>
  <c r="I459" i="7"/>
  <c r="K459" i="7" s="1"/>
  <c r="I458" i="7"/>
  <c r="B457" i="7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Q400" i="7"/>
  <c r="Q399" i="7"/>
  <c r="Q398" i="7"/>
  <c r="Q397" i="7"/>
  <c r="Q396" i="7"/>
  <c r="M395" i="7"/>
  <c r="M392" i="7" s="1"/>
  <c r="M391" i="7" s="1"/>
  <c r="I395" i="7"/>
  <c r="Q394" i="7"/>
  <c r="Q393" i="7"/>
  <c r="M390" i="7"/>
  <c r="O390" i="7" s="1"/>
  <c r="Q389" i="7"/>
  <c r="Q388" i="7"/>
  <c r="Q387" i="7"/>
  <c r="M386" i="7"/>
  <c r="Q385" i="7"/>
  <c r="M384" i="7"/>
  <c r="I383" i="7"/>
  <c r="Q382" i="7"/>
  <c r="I381" i="7"/>
  <c r="Q380" i="7"/>
  <c r="Q379" i="7"/>
  <c r="M378" i="7"/>
  <c r="I378" i="7"/>
  <c r="K378" i="7" s="1"/>
  <c r="Q376" i="7"/>
  <c r="M375" i="7"/>
  <c r="I375" i="7"/>
  <c r="K375" i="7" s="1"/>
  <c r="Q374" i="7"/>
  <c r="Q373" i="7"/>
  <c r="I372" i="7"/>
  <c r="I371" i="7"/>
  <c r="Q370" i="7"/>
  <c r="M369" i="7"/>
  <c r="Q368" i="7"/>
  <c r="Q367" i="7"/>
  <c r="Q364" i="7"/>
  <c r="Q363" i="7"/>
  <c r="Q362" i="7"/>
  <c r="Q361" i="7"/>
  <c r="Q360" i="7"/>
  <c r="M359" i="7"/>
  <c r="I359" i="7"/>
  <c r="K359" i="7" s="1"/>
  <c r="Q358" i="7"/>
  <c r="Q357" i="7"/>
  <c r="Q354" i="7"/>
  <c r="Q353" i="7"/>
  <c r="I352" i="7"/>
  <c r="I351" i="7"/>
  <c r="K351" i="7" s="1"/>
  <c r="I350" i="7"/>
  <c r="K350" i="7" s="1"/>
  <c r="Q349" i="7"/>
  <c r="M348" i="7"/>
  <c r="M345" i="7" s="1"/>
  <c r="I347" i="7"/>
  <c r="I346" i="7"/>
  <c r="Q344" i="7"/>
  <c r="Q343" i="7"/>
  <c r="Q342" i="7"/>
  <c r="Q341" i="7"/>
  <c r="I340" i="7"/>
  <c r="Q339" i="7"/>
  <c r="Q338" i="7"/>
  <c r="M337" i="7"/>
  <c r="M334" i="7" s="1"/>
  <c r="I337" i="7"/>
  <c r="K337" i="7" s="1"/>
  <c r="I336" i="7"/>
  <c r="I335" i="7"/>
  <c r="Q333" i="7"/>
  <c r="Q332" i="7"/>
  <c r="M331" i="7"/>
  <c r="M329" i="7" s="1"/>
  <c r="I331" i="7"/>
  <c r="Q330" i="7"/>
  <c r="B329" i="7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4" i="7" s="1"/>
  <c r="B345" i="7" s="1"/>
  <c r="B346" i="7" s="1"/>
  <c r="B347" i="7" s="1"/>
  <c r="B348" i="7" s="1"/>
  <c r="B349" i="7" s="1"/>
  <c r="B350" i="7" s="1"/>
  <c r="B351" i="7" s="1"/>
  <c r="B352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Q278" i="7"/>
  <c r="Q277" i="7"/>
  <c r="M276" i="7"/>
  <c r="M275" i="7" s="1"/>
  <c r="I276" i="7"/>
  <c r="Q274" i="7"/>
  <c r="M273" i="7"/>
  <c r="M272" i="7"/>
  <c r="I270" i="7"/>
  <c r="Q269" i="7"/>
  <c r="Q268" i="7"/>
  <c r="Q267" i="7"/>
  <c r="I266" i="7"/>
  <c r="Q264" i="7"/>
  <c r="Q263" i="7"/>
  <c r="M262" i="7"/>
  <c r="M261" i="7" s="1"/>
  <c r="I262" i="7"/>
  <c r="K262" i="7" s="1"/>
  <c r="Q260" i="7"/>
  <c r="M259" i="7"/>
  <c r="I258" i="7"/>
  <c r="I257" i="7"/>
  <c r="I256" i="7"/>
  <c r="I255" i="7" s="1"/>
  <c r="M255" i="7"/>
  <c r="Q254" i="7"/>
  <c r="Q253" i="7"/>
  <c r="Q252" i="7"/>
  <c r="I251" i="7"/>
  <c r="I250" i="7"/>
  <c r="M249" i="7"/>
  <c r="Q248" i="7"/>
  <c r="Q247" i="7"/>
  <c r="Q245" i="7"/>
  <c r="I244" i="7"/>
  <c r="Q243" i="7"/>
  <c r="I242" i="7"/>
  <c r="Q241" i="7"/>
  <c r="Q240" i="7"/>
  <c r="Q239" i="7"/>
  <c r="M238" i="7"/>
  <c r="Q237" i="7"/>
  <c r="Q236" i="7"/>
  <c r="M234" i="7"/>
  <c r="Q233" i="7"/>
  <c r="Q231" i="7"/>
  <c r="M230" i="7"/>
  <c r="I229" i="7"/>
  <c r="Q228" i="7"/>
  <c r="I227" i="7"/>
  <c r="I226" i="7"/>
  <c r="M225" i="7"/>
  <c r="Q223" i="7"/>
  <c r="Q222" i="7"/>
  <c r="M221" i="7"/>
  <c r="I221" i="7"/>
  <c r="M219" i="7"/>
  <c r="I218" i="7"/>
  <c r="Q217" i="7"/>
  <c r="Q216" i="7"/>
  <c r="M215" i="7"/>
  <c r="I215" i="7"/>
  <c r="Q213" i="7"/>
  <c r="Q212" i="7"/>
  <c r="M211" i="7"/>
  <c r="O211" i="7" s="1"/>
  <c r="I211" i="7"/>
  <c r="Q210" i="7"/>
  <c r="Q209" i="7"/>
  <c r="M208" i="7"/>
  <c r="I208" i="7"/>
  <c r="K208" i="7" s="1"/>
  <c r="Q206" i="7"/>
  <c r="M205" i="7"/>
  <c r="M204" i="7" s="1"/>
  <c r="I205" i="7"/>
  <c r="I202" i="7"/>
  <c r="M201" i="7"/>
  <c r="M200" i="7" s="1"/>
  <c r="B200" i="7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I144" i="7"/>
  <c r="Q142" i="7"/>
  <c r="M141" i="7"/>
  <c r="M140" i="7" s="1"/>
  <c r="I141" i="7"/>
  <c r="K141" i="7" s="1"/>
  <c r="I139" i="7"/>
  <c r="I138" i="7"/>
  <c r="K138" i="7" s="1"/>
  <c r="Q137" i="7"/>
  <c r="M136" i="7"/>
  <c r="M135" i="7" s="1"/>
  <c r="B135" i="7"/>
  <c r="B136" i="7" s="1"/>
  <c r="B137" i="7" s="1"/>
  <c r="B138" i="7" s="1"/>
  <c r="B139" i="7" s="1"/>
  <c r="B140" i="7" s="1"/>
  <c r="B141" i="7" s="1"/>
  <c r="B142" i="7" s="1"/>
  <c r="B143" i="7" s="1"/>
  <c r="B144" i="7" s="1"/>
  <c r="B2018" i="7" l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2048" i="7" s="1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4" i="7" s="1"/>
  <c r="B2065" i="7" s="1"/>
  <c r="B2066" i="7" s="1"/>
  <c r="B2067" i="7" s="1"/>
  <c r="B2068" i="7" s="1"/>
  <c r="B2069" i="7" s="1"/>
  <c r="B1741" i="7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654" i="7"/>
  <c r="B1655" i="7" s="1"/>
  <c r="B1656" i="7" s="1"/>
  <c r="B1657" i="7" s="1"/>
  <c r="B1658" i="7" s="1"/>
  <c r="B1659" i="7" s="1"/>
  <c r="B1660" i="7" s="1"/>
  <c r="B1661" i="7" s="1"/>
  <c r="B1662" i="7" s="1"/>
  <c r="B1663" i="7" s="1"/>
  <c r="B1664" i="7" s="1"/>
  <c r="B1665" i="7" s="1"/>
  <c r="B1666" i="7" s="1"/>
  <c r="B1667" i="7" s="1"/>
  <c r="B1668" i="7" s="1"/>
  <c r="B1669" i="7" s="1"/>
  <c r="B1670" i="7" s="1"/>
  <c r="B1671" i="7" s="1"/>
  <c r="B1672" i="7" s="1"/>
  <c r="B1673" i="7" s="1"/>
  <c r="B1674" i="7" s="1"/>
  <c r="B1675" i="7" s="1"/>
  <c r="B1676" i="7" s="1"/>
  <c r="B1677" i="7" s="1"/>
  <c r="B1678" i="7" s="1"/>
  <c r="B1679" i="7" s="1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I1293" i="7"/>
  <c r="K1293" i="7" s="1"/>
  <c r="S969" i="7"/>
  <c r="J199" i="7"/>
  <c r="E7" i="8" s="1"/>
  <c r="B641" i="7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R1637" i="7"/>
  <c r="S637" i="7"/>
  <c r="Q1847" i="7"/>
  <c r="S1847" i="7" s="1"/>
  <c r="Q658" i="7"/>
  <c r="S658" i="7" s="1"/>
  <c r="Q673" i="7"/>
  <c r="B220" i="7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I225" i="7"/>
  <c r="Q350" i="7"/>
  <c r="S350" i="7" s="1"/>
  <c r="Q1234" i="7"/>
  <c r="S1234" i="7" s="1"/>
  <c r="Q1697" i="7"/>
  <c r="S1697" i="7" s="1"/>
  <c r="Q1805" i="7"/>
  <c r="S1805" i="7" s="1"/>
  <c r="Q1495" i="7"/>
  <c r="S1495" i="7" s="1"/>
  <c r="Q1990" i="7"/>
  <c r="I104" i="2"/>
  <c r="Q468" i="7"/>
  <c r="S468" i="7" s="1"/>
  <c r="Q1296" i="7"/>
  <c r="S1296" i="7" s="1"/>
  <c r="I1322" i="7"/>
  <c r="K1322" i="7" s="1"/>
  <c r="Q1644" i="7"/>
  <c r="S1644" i="7" s="1"/>
  <c r="S1442" i="7"/>
  <c r="I853" i="7"/>
  <c r="K853" i="7" s="1"/>
  <c r="Q855" i="7"/>
  <c r="S855" i="7" s="1"/>
  <c r="Q927" i="7"/>
  <c r="S927" i="7" s="1"/>
  <c r="S1539" i="7"/>
  <c r="S921" i="7"/>
  <c r="Q1197" i="7"/>
  <c r="Q1200" i="7"/>
  <c r="S1200" i="7" s="1"/>
  <c r="Q1439" i="7"/>
  <c r="S1439" i="7" s="1"/>
  <c r="Q1447" i="7"/>
  <c r="S1447" i="7" s="1"/>
  <c r="M1546" i="7"/>
  <c r="Q1573" i="7"/>
  <c r="S1573" i="7" s="1"/>
  <c r="Q1576" i="7"/>
  <c r="S1576" i="7" s="1"/>
  <c r="Q1654" i="7"/>
  <c r="S1654" i="7" s="1"/>
  <c r="S1535" i="7"/>
  <c r="R74" i="7"/>
  <c r="S231" i="7"/>
  <c r="S212" i="7"/>
  <c r="N199" i="7"/>
  <c r="Q138" i="7"/>
  <c r="S138" i="7" s="1"/>
  <c r="Q221" i="7"/>
  <c r="S221" i="7" s="1"/>
  <c r="Q390" i="7"/>
  <c r="S390" i="7" s="1"/>
  <c r="Q1525" i="7"/>
  <c r="S1525" i="7" s="1"/>
  <c r="Q1627" i="7"/>
  <c r="S1627" i="7" s="1"/>
  <c r="Q1690" i="7"/>
  <c r="S1690" i="7" s="1"/>
  <c r="I1846" i="7"/>
  <c r="K1846" i="7" s="1"/>
  <c r="S380" i="7"/>
  <c r="S483" i="7"/>
  <c r="S1198" i="7"/>
  <c r="S1109" i="7"/>
  <c r="S1101" i="7"/>
  <c r="S142" i="7"/>
  <c r="S376" i="7"/>
  <c r="S367" i="7"/>
  <c r="Q649" i="7"/>
  <c r="S649" i="7" s="1"/>
  <c r="Q982" i="7"/>
  <c r="S982" i="7" s="1"/>
  <c r="Q1078" i="7"/>
  <c r="S1078" i="7" s="1"/>
  <c r="I1182" i="7"/>
  <c r="K1182" i="7" s="1"/>
  <c r="Q1949" i="7"/>
  <c r="S1949" i="7" s="1"/>
  <c r="Q1952" i="7"/>
  <c r="S1952" i="7" s="1"/>
  <c r="S397" i="7"/>
  <c r="S699" i="7"/>
  <c r="S654" i="7"/>
  <c r="S639" i="7"/>
  <c r="S635" i="7"/>
  <c r="S631" i="7"/>
  <c r="S627" i="7"/>
  <c r="S623" i="7"/>
  <c r="S1561" i="7"/>
  <c r="S1557" i="7"/>
  <c r="S1537" i="7"/>
  <c r="S1533" i="7"/>
  <c r="S1492" i="7"/>
  <c r="S1488" i="7"/>
  <c r="S1480" i="7"/>
  <c r="S1444" i="7"/>
  <c r="S1440" i="7"/>
  <c r="S1423" i="7"/>
  <c r="S1406" i="7"/>
  <c r="S1402" i="7"/>
  <c r="S1398" i="7"/>
  <c r="S1394" i="7"/>
  <c r="S1373" i="7"/>
  <c r="S1334" i="7"/>
  <c r="S1326" i="7"/>
  <c r="S1180" i="7"/>
  <c r="S1155" i="7"/>
  <c r="S1151" i="7"/>
  <c r="S1145" i="7"/>
  <c r="S1137" i="7"/>
  <c r="S1133" i="7"/>
  <c r="S1129" i="7"/>
  <c r="S1121" i="7"/>
  <c r="S1116" i="7"/>
  <c r="S1111" i="7"/>
  <c r="S1107" i="7"/>
  <c r="S1103" i="7"/>
  <c r="S1099" i="7"/>
  <c r="S1095" i="7"/>
  <c r="S1059" i="7"/>
  <c r="S1029" i="7"/>
  <c r="S1021" i="7"/>
  <c r="S1017" i="7"/>
  <c r="S983" i="7"/>
  <c r="S399" i="7"/>
  <c r="S1148" i="7"/>
  <c r="S1113" i="7"/>
  <c r="S1105" i="7"/>
  <c r="Q459" i="7"/>
  <c r="S459" i="7" s="1"/>
  <c r="Q469" i="7"/>
  <c r="S469" i="7" s="1"/>
  <c r="S1038" i="7"/>
  <c r="I1138" i="7"/>
  <c r="K1138" i="7" s="1"/>
  <c r="Q1144" i="7"/>
  <c r="S1144" i="7" s="1"/>
  <c r="Q1184" i="7"/>
  <c r="S1184" i="7" s="1"/>
  <c r="Q1355" i="7"/>
  <c r="S1355" i="7" s="1"/>
  <c r="I1397" i="7"/>
  <c r="K1397" i="7" s="1"/>
  <c r="Q1448" i="7"/>
  <c r="S1448" i="7" s="1"/>
  <c r="Q1511" i="7"/>
  <c r="S1511" i="7" s="1"/>
  <c r="S370" i="7"/>
  <c r="S344" i="7"/>
  <c r="S332" i="7"/>
  <c r="S527" i="7"/>
  <c r="S519" i="7"/>
  <c r="S507" i="7"/>
  <c r="S609" i="7"/>
  <c r="S605" i="7"/>
  <c r="S1297" i="7"/>
  <c r="S1281" i="7"/>
  <c r="S1273" i="7"/>
  <c r="S1237" i="7"/>
  <c r="S1216" i="7"/>
  <c r="S903" i="7"/>
  <c r="S875" i="7"/>
  <c r="S806" i="7"/>
  <c r="S772" i="7"/>
  <c r="S769" i="7"/>
  <c r="S765" i="7"/>
  <c r="I822" i="7"/>
  <c r="K822" i="7" s="1"/>
  <c r="K825" i="7"/>
  <c r="M218" i="7"/>
  <c r="O218" i="7" s="1"/>
  <c r="O219" i="7"/>
  <c r="K227" i="7"/>
  <c r="M232" i="7"/>
  <c r="O232" i="7" s="1"/>
  <c r="O234" i="7"/>
  <c r="Q273" i="7"/>
  <c r="S273" i="7" s="1"/>
  <c r="O273" i="7"/>
  <c r="I329" i="7"/>
  <c r="K329" i="7" s="1"/>
  <c r="K331" i="7"/>
  <c r="Q347" i="7"/>
  <c r="S347" i="7" s="1"/>
  <c r="K347" i="7"/>
  <c r="I369" i="7"/>
  <c r="K369" i="7" s="1"/>
  <c r="K372" i="7"/>
  <c r="Q395" i="7"/>
  <c r="S395" i="7" s="1"/>
  <c r="K395" i="7"/>
  <c r="Q458" i="7"/>
  <c r="S458" i="7" s="1"/>
  <c r="K458" i="7"/>
  <c r="I491" i="7"/>
  <c r="Q491" i="7" s="1"/>
  <c r="S491" i="7" s="1"/>
  <c r="K495" i="7"/>
  <c r="M504" i="7"/>
  <c r="O504" i="7" s="1"/>
  <c r="O505" i="7"/>
  <c r="Q785" i="7"/>
  <c r="S785" i="7" s="1"/>
  <c r="O785" i="7"/>
  <c r="Q796" i="7"/>
  <c r="S796" i="7" s="1"/>
  <c r="K796" i="7"/>
  <c r="I835" i="7"/>
  <c r="K837" i="7"/>
  <c r="I877" i="7"/>
  <c r="I874" i="7" s="1"/>
  <c r="K874" i="7" s="1"/>
  <c r="K879" i="7"/>
  <c r="Q907" i="7"/>
  <c r="S907" i="7" s="1"/>
  <c r="K907" i="7"/>
  <c r="Q920" i="7"/>
  <c r="S920" i="7" s="1"/>
  <c r="K920" i="7"/>
  <c r="Q937" i="7"/>
  <c r="S937" i="7" s="1"/>
  <c r="K937" i="7"/>
  <c r="I1052" i="7"/>
  <c r="K1052" i="7" s="1"/>
  <c r="K1058" i="7"/>
  <c r="Q1128" i="7"/>
  <c r="S1128" i="7" s="1"/>
  <c r="K1128" i="7"/>
  <c r="I1277" i="7"/>
  <c r="K1277" i="7" s="1"/>
  <c r="K1280" i="7"/>
  <c r="I1285" i="7"/>
  <c r="K1285" i="7" s="1"/>
  <c r="K1288" i="7"/>
  <c r="I1419" i="7"/>
  <c r="K1419" i="7" s="1"/>
  <c r="K1422" i="7"/>
  <c r="I1428" i="7"/>
  <c r="K1428" i="7" s="1"/>
  <c r="K1431" i="7"/>
  <c r="Q1672" i="7"/>
  <c r="S1672" i="7" s="1"/>
  <c r="K1672" i="7"/>
  <c r="Q1678" i="7"/>
  <c r="S1678" i="7" s="1"/>
  <c r="O1678" i="7"/>
  <c r="Q1888" i="7"/>
  <c r="S1888" i="7" s="1"/>
  <c r="K1888" i="7"/>
  <c r="Q1946" i="7"/>
  <c r="S1946" i="7" s="1"/>
  <c r="K1946" i="7"/>
  <c r="Q1953" i="7"/>
  <c r="S1953" i="7" s="1"/>
  <c r="K1953" i="7"/>
  <c r="Q1963" i="7"/>
  <c r="S1963" i="7" s="1"/>
  <c r="K1963" i="7"/>
  <c r="Q2026" i="7"/>
  <c r="S2026" i="7" s="1"/>
  <c r="K2026" i="7"/>
  <c r="Q2038" i="7"/>
  <c r="S2038" i="7" s="1"/>
  <c r="K2038" i="7"/>
  <c r="R70" i="7"/>
  <c r="I214" i="7"/>
  <c r="K214" i="7" s="1"/>
  <c r="K215" i="7"/>
  <c r="Q242" i="7"/>
  <c r="S242" i="7" s="1"/>
  <c r="K242" i="7"/>
  <c r="Q251" i="7"/>
  <c r="S251" i="7" s="1"/>
  <c r="K251" i="7"/>
  <c r="Q255" i="7"/>
  <c r="S255" i="7" s="1"/>
  <c r="K255" i="7"/>
  <c r="Q272" i="7"/>
  <c r="S272" i="7" s="1"/>
  <c r="O272" i="7"/>
  <c r="Q346" i="7"/>
  <c r="S346" i="7" s="1"/>
  <c r="K346" i="7"/>
  <c r="Q371" i="7"/>
  <c r="S371" i="7" s="1"/>
  <c r="K371" i="7"/>
  <c r="Q386" i="7"/>
  <c r="S386" i="7" s="1"/>
  <c r="O386" i="7"/>
  <c r="Q476" i="7"/>
  <c r="S476" i="7" s="1"/>
  <c r="K476" i="7"/>
  <c r="Q485" i="7"/>
  <c r="O485" i="7"/>
  <c r="Q498" i="7"/>
  <c r="S498" i="7" s="1"/>
  <c r="O498" i="7"/>
  <c r="Q517" i="7"/>
  <c r="S517" i="7" s="1"/>
  <c r="K517" i="7"/>
  <c r="Q656" i="7"/>
  <c r="S656" i="7" s="1"/>
  <c r="O656" i="7"/>
  <c r="Q780" i="7"/>
  <c r="S780" i="7" s="1"/>
  <c r="I777" i="7"/>
  <c r="K777" i="7" s="1"/>
  <c r="K780" i="7"/>
  <c r="Q847" i="7"/>
  <c r="S847" i="7" s="1"/>
  <c r="K847" i="7"/>
  <c r="Q951" i="7"/>
  <c r="S951" i="7" s="1"/>
  <c r="O951" i="7"/>
  <c r="Q1067" i="7"/>
  <c r="S1067" i="7" s="1"/>
  <c r="K1067" i="7"/>
  <c r="Q1455" i="7"/>
  <c r="S1455" i="7" s="1"/>
  <c r="K1455" i="7"/>
  <c r="Q1504" i="7"/>
  <c r="S1504" i="7" s="1"/>
  <c r="K1504" i="7"/>
  <c r="Q1650" i="7"/>
  <c r="S1650" i="7" s="1"/>
  <c r="O1650" i="7"/>
  <c r="Q1671" i="7"/>
  <c r="S1671" i="7" s="1"/>
  <c r="K1671" i="7"/>
  <c r="Q1742" i="7"/>
  <c r="S1742" i="7" s="1"/>
  <c r="K1742" i="7"/>
  <c r="I1751" i="7"/>
  <c r="K1751" i="7" s="1"/>
  <c r="K1763" i="7"/>
  <c r="Q1768" i="7"/>
  <c r="S1768" i="7" s="1"/>
  <c r="K1768" i="7"/>
  <c r="Q1771" i="7"/>
  <c r="S1771" i="7" s="1"/>
  <c r="O1771" i="7"/>
  <c r="I1774" i="7"/>
  <c r="K1774" i="7" s="1"/>
  <c r="K1780" i="7"/>
  <c r="Q1803" i="7"/>
  <c r="S1803" i="7" s="1"/>
  <c r="K1803" i="7"/>
  <c r="Q1826" i="7"/>
  <c r="S1826" i="7" s="1"/>
  <c r="K1826" i="7"/>
  <c r="Q1835" i="7"/>
  <c r="S1835" i="7" s="1"/>
  <c r="K1835" i="7"/>
  <c r="Q1839" i="7"/>
  <c r="S1839" i="7" s="1"/>
  <c r="K1839" i="7"/>
  <c r="Q1858" i="7"/>
  <c r="S1858" i="7" s="1"/>
  <c r="K1858" i="7"/>
  <c r="Q1873" i="7"/>
  <c r="S1873" i="7" s="1"/>
  <c r="K1873" i="7"/>
  <c r="Q1940" i="7"/>
  <c r="S1940" i="7" s="1"/>
  <c r="K1940" i="7"/>
  <c r="Q1945" i="7"/>
  <c r="S1945" i="7" s="1"/>
  <c r="K1945" i="7"/>
  <c r="Q1958" i="7"/>
  <c r="S1958" i="7" s="1"/>
  <c r="K1958" i="7"/>
  <c r="Q1962" i="7"/>
  <c r="S1962" i="7" s="1"/>
  <c r="K1962" i="7"/>
  <c r="I1972" i="7"/>
  <c r="K1973" i="7"/>
  <c r="M1985" i="7"/>
  <c r="O1996" i="7"/>
  <c r="Q2120" i="7"/>
  <c r="S2120" i="7" s="1"/>
  <c r="K2120" i="7"/>
  <c r="Q2127" i="7"/>
  <c r="S2127" i="7" s="1"/>
  <c r="I2124" i="7"/>
  <c r="K2124" i="7" s="1"/>
  <c r="K2127" i="7"/>
  <c r="J19" i="7"/>
  <c r="R56" i="7"/>
  <c r="Q340" i="7"/>
  <c r="S340" i="7" s="1"/>
  <c r="K340" i="7"/>
  <c r="Q381" i="7"/>
  <c r="S381" i="7" s="1"/>
  <c r="K381" i="7"/>
  <c r="Q479" i="7"/>
  <c r="S479" i="7" s="1"/>
  <c r="O479" i="7"/>
  <c r="Q502" i="7"/>
  <c r="S502" i="7" s="1"/>
  <c r="K502" i="7"/>
  <c r="Q596" i="7"/>
  <c r="S596" i="7" s="1"/>
  <c r="K596" i="7"/>
  <c r="Q640" i="7"/>
  <c r="S640" i="7" s="1"/>
  <c r="O640" i="7"/>
  <c r="Q651" i="7"/>
  <c r="S651" i="7" s="1"/>
  <c r="O651" i="7"/>
  <c r="Q655" i="7"/>
  <c r="S655" i="7" s="1"/>
  <c r="O655" i="7"/>
  <c r="Q787" i="7"/>
  <c r="S787" i="7" s="1"/>
  <c r="O787" i="7"/>
  <c r="Q1025" i="7"/>
  <c r="S1025" i="7" s="1"/>
  <c r="K1025" i="7"/>
  <c r="Q1150" i="7"/>
  <c r="S1150" i="7" s="1"/>
  <c r="O1150" i="7"/>
  <c r="Q1196" i="7"/>
  <c r="S1196" i="7" s="1"/>
  <c r="K1196" i="7"/>
  <c r="I1404" i="7"/>
  <c r="K1404" i="7" s="1"/>
  <c r="K1407" i="7"/>
  <c r="Q2033" i="7"/>
  <c r="S2033" i="7" s="1"/>
  <c r="K2033" i="7"/>
  <c r="Q2066" i="7"/>
  <c r="S2066" i="7" s="1"/>
  <c r="K2066" i="7"/>
  <c r="J9" i="7"/>
  <c r="S263" i="7"/>
  <c r="S243" i="7"/>
  <c r="S499" i="7"/>
  <c r="S1577" i="7"/>
  <c r="S1496" i="7"/>
  <c r="S1460" i="7"/>
  <c r="S1452" i="7"/>
  <c r="S1356" i="7"/>
  <c r="S1343" i="7"/>
  <c r="S1072" i="7"/>
  <c r="S809" i="7"/>
  <c r="M1864" i="7"/>
  <c r="M1862" i="7" s="1"/>
  <c r="Q1862" i="7" s="1"/>
  <c r="S1862" i="7" s="1"/>
  <c r="I1934" i="7"/>
  <c r="I2034" i="7"/>
  <c r="I2031" i="7" s="1"/>
  <c r="K2031" i="7" s="1"/>
  <c r="S394" i="7"/>
  <c r="S362" i="7"/>
  <c r="S686" i="7"/>
  <c r="S678" i="7"/>
  <c r="S1261" i="7"/>
  <c r="S1245" i="7"/>
  <c r="S948" i="7"/>
  <c r="S936" i="7"/>
  <c r="S919" i="7"/>
  <c r="S818" i="7"/>
  <c r="S1664" i="7"/>
  <c r="S1645" i="7"/>
  <c r="S1248" i="7"/>
  <c r="Q1996" i="7"/>
  <c r="S1996" i="7" s="1"/>
  <c r="S245" i="7"/>
  <c r="S237" i="7"/>
  <c r="S354" i="7"/>
  <c r="S342" i="7"/>
  <c r="S1571" i="7"/>
  <c r="S1498" i="7"/>
  <c r="S1490" i="7"/>
  <c r="S1482" i="7"/>
  <c r="S1425" i="7"/>
  <c r="S1417" i="7"/>
  <c r="S1396" i="7"/>
  <c r="S1388" i="7"/>
  <c r="S1371" i="7"/>
  <c r="S1341" i="7"/>
  <c r="S1328" i="7"/>
  <c r="S1131" i="7"/>
  <c r="S1074" i="7"/>
  <c r="S1062" i="7"/>
  <c r="S1019" i="7"/>
  <c r="S1011" i="7"/>
  <c r="S985" i="7"/>
  <c r="I204" i="7"/>
  <c r="K204" i="7" s="1"/>
  <c r="K205" i="7"/>
  <c r="M258" i="7"/>
  <c r="O258" i="7" s="1"/>
  <c r="O259" i="7"/>
  <c r="Q335" i="7"/>
  <c r="S335" i="7" s="1"/>
  <c r="K335" i="7"/>
  <c r="Q461" i="7"/>
  <c r="S461" i="7" s="1"/>
  <c r="K461" i="7"/>
  <c r="Q509" i="7"/>
  <c r="S509" i="7" s="1"/>
  <c r="K509" i="7"/>
  <c r="M620" i="7"/>
  <c r="O622" i="7"/>
  <c r="Q653" i="7"/>
  <c r="S653" i="7" s="1"/>
  <c r="O653" i="7"/>
  <c r="Q657" i="7"/>
  <c r="S657" i="7" s="1"/>
  <c r="O657" i="7"/>
  <c r="Q687" i="7"/>
  <c r="S687" i="7" s="1"/>
  <c r="O687" i="7"/>
  <c r="Q693" i="7"/>
  <c r="S693" i="7" s="1"/>
  <c r="O693" i="7"/>
  <c r="Q800" i="7"/>
  <c r="K800" i="7"/>
  <c r="Q810" i="7"/>
  <c r="S810" i="7" s="1"/>
  <c r="K810" i="7"/>
  <c r="Q827" i="7"/>
  <c r="S827" i="7" s="1"/>
  <c r="K827" i="7"/>
  <c r="Q942" i="7"/>
  <c r="S942" i="7" s="1"/>
  <c r="K942" i="7"/>
  <c r="Q977" i="7"/>
  <c r="S977" i="7" s="1"/>
  <c r="I975" i="7"/>
  <c r="Q975" i="7" s="1"/>
  <c r="S975" i="7" s="1"/>
  <c r="K977" i="7"/>
  <c r="Q1005" i="7"/>
  <c r="S1005" i="7" s="1"/>
  <c r="K1005" i="7"/>
  <c r="Q1068" i="7"/>
  <c r="S1068" i="7" s="1"/>
  <c r="K1068" i="7"/>
  <c r="Q1076" i="7"/>
  <c r="S1076" i="7" s="1"/>
  <c r="K1076" i="7"/>
  <c r="Q1206" i="7"/>
  <c r="S1206" i="7" s="1"/>
  <c r="O1206" i="7"/>
  <c r="I1269" i="7"/>
  <c r="K1269" i="7" s="1"/>
  <c r="K1272" i="7"/>
  <c r="Q1311" i="7"/>
  <c r="S1311" i="7" s="1"/>
  <c r="K1311" i="7"/>
  <c r="Q1542" i="7"/>
  <c r="S1542" i="7" s="1"/>
  <c r="O1542" i="7"/>
  <c r="Q1547" i="7"/>
  <c r="S1547" i="7" s="1"/>
  <c r="K1547" i="7"/>
  <c r="Q1554" i="7"/>
  <c r="S1554" i="7" s="1"/>
  <c r="K1554" i="7"/>
  <c r="Q1582" i="7"/>
  <c r="S1582" i="7" s="1"/>
  <c r="K1582" i="7"/>
  <c r="Q1587" i="7"/>
  <c r="S1587" i="7" s="1"/>
  <c r="K1587" i="7"/>
  <c r="Q1621" i="7"/>
  <c r="S1621" i="7" s="1"/>
  <c r="K1621" i="7"/>
  <c r="Q1691" i="7"/>
  <c r="S1691" i="7" s="1"/>
  <c r="K1691" i="7"/>
  <c r="Q1769" i="7"/>
  <c r="S1769" i="7" s="1"/>
  <c r="K1769" i="7"/>
  <c r="Q1814" i="7"/>
  <c r="S1814" i="7" s="1"/>
  <c r="O1814" i="7"/>
  <c r="Q1859" i="7"/>
  <c r="S1859" i="7" s="1"/>
  <c r="K1859" i="7"/>
  <c r="Q1950" i="7"/>
  <c r="S1950" i="7" s="1"/>
  <c r="K1950" i="7"/>
  <c r="Q1959" i="7"/>
  <c r="S1959" i="7" s="1"/>
  <c r="K1959" i="7"/>
  <c r="Q1994" i="7"/>
  <c r="S1994" i="7" s="1"/>
  <c r="K1994" i="7"/>
  <c r="Q2011" i="7"/>
  <c r="S2011" i="7" s="1"/>
  <c r="K2011" i="7"/>
  <c r="Q2018" i="7"/>
  <c r="S2018" i="7" s="1"/>
  <c r="K2018" i="7"/>
  <c r="J34" i="7"/>
  <c r="E6" i="8"/>
  <c r="K6" i="8" s="1"/>
  <c r="I136" i="7"/>
  <c r="K136" i="7" s="1"/>
  <c r="K139" i="7"/>
  <c r="Q144" i="7"/>
  <c r="S144" i="7" s="1"/>
  <c r="K144" i="7"/>
  <c r="Q226" i="7"/>
  <c r="S226" i="7" s="1"/>
  <c r="K226" i="7"/>
  <c r="Q611" i="7"/>
  <c r="S611" i="7" s="1"/>
  <c r="K611" i="7"/>
  <c r="Q652" i="7"/>
  <c r="S652" i="7" s="1"/>
  <c r="O652" i="7"/>
  <c r="Q659" i="7"/>
  <c r="S659" i="7" s="1"/>
  <c r="O659" i="7"/>
  <c r="M698" i="7"/>
  <c r="M697" i="7" s="1"/>
  <c r="O700" i="7"/>
  <c r="Q775" i="7"/>
  <c r="S775" i="7" s="1"/>
  <c r="K775" i="7"/>
  <c r="Q804" i="7"/>
  <c r="S804" i="7" s="1"/>
  <c r="K804" i="7"/>
  <c r="Q817" i="7"/>
  <c r="S817" i="7" s="1"/>
  <c r="O817" i="7"/>
  <c r="M872" i="7"/>
  <c r="O872" i="7" s="1"/>
  <c r="O873" i="7"/>
  <c r="I888" i="7"/>
  <c r="K888" i="7" s="1"/>
  <c r="K891" i="7"/>
  <c r="Q900" i="7"/>
  <c r="S900" i="7" s="1"/>
  <c r="O900" i="7"/>
  <c r="M963" i="7"/>
  <c r="O963" i="7" s="1"/>
  <c r="O964" i="7"/>
  <c r="Q1089" i="7"/>
  <c r="S1089" i="7" s="1"/>
  <c r="O1089" i="7"/>
  <c r="Q1156" i="7"/>
  <c r="S1156" i="7" s="1"/>
  <c r="K1156" i="7"/>
  <c r="I1254" i="7"/>
  <c r="K1254" i="7" s="1"/>
  <c r="K1257" i="7"/>
  <c r="I1345" i="7"/>
  <c r="K1345" i="7" s="1"/>
  <c r="K1348" i="7"/>
  <c r="I1390" i="7"/>
  <c r="K1390" i="7" s="1"/>
  <c r="K1393" i="7"/>
  <c r="Q1625" i="7"/>
  <c r="S1625" i="7" s="1"/>
  <c r="K1625" i="7"/>
  <c r="Q1676" i="7"/>
  <c r="S1676" i="7" s="1"/>
  <c r="K1676" i="7"/>
  <c r="M1783" i="7"/>
  <c r="O1783" i="7" s="1"/>
  <c r="O1784" i="7"/>
  <c r="M1810" i="7"/>
  <c r="O1811" i="7"/>
  <c r="Q1830" i="7"/>
  <c r="S1830" i="7" s="1"/>
  <c r="K1830" i="7"/>
  <c r="Q1853" i="7"/>
  <c r="S1853" i="7" s="1"/>
  <c r="O1853" i="7"/>
  <c r="Q1937" i="7"/>
  <c r="S1937" i="7" s="1"/>
  <c r="K1937" i="7"/>
  <c r="Q1986" i="7"/>
  <c r="S1986" i="7" s="1"/>
  <c r="K1986" i="7"/>
  <c r="Q2017" i="7"/>
  <c r="S2017" i="7" s="1"/>
  <c r="K2017" i="7"/>
  <c r="Q2025" i="7"/>
  <c r="S2025" i="7" s="1"/>
  <c r="K2025" i="7"/>
  <c r="I2041" i="7"/>
  <c r="K2041" i="7" s="1"/>
  <c r="K2042" i="7"/>
  <c r="H12" i="8"/>
  <c r="Q202" i="7"/>
  <c r="S202" i="7" s="1"/>
  <c r="K202" i="7"/>
  <c r="I220" i="7"/>
  <c r="K220" i="7" s="1"/>
  <c r="K221" i="7"/>
  <c r="Q250" i="7"/>
  <c r="S250" i="7" s="1"/>
  <c r="K250" i="7"/>
  <c r="Q257" i="7"/>
  <c r="S257" i="7" s="1"/>
  <c r="K257" i="7"/>
  <c r="Q266" i="7"/>
  <c r="S266" i="7" s="1"/>
  <c r="K266" i="7"/>
  <c r="Q276" i="7"/>
  <c r="S276" i="7" s="1"/>
  <c r="K276" i="7"/>
  <c r="Q352" i="7"/>
  <c r="S352" i="7" s="1"/>
  <c r="K352" i="7"/>
  <c r="Q463" i="7"/>
  <c r="S463" i="7" s="1"/>
  <c r="K463" i="7"/>
  <c r="Q467" i="7"/>
  <c r="S467" i="7" s="1"/>
  <c r="K467" i="7"/>
  <c r="Q484" i="7"/>
  <c r="S484" i="7" s="1"/>
  <c r="O484" i="7"/>
  <c r="Q516" i="7"/>
  <c r="S516" i="7" s="1"/>
  <c r="K516" i="7"/>
  <c r="Q523" i="7"/>
  <c r="S523" i="7" s="1"/>
  <c r="O523" i="7"/>
  <c r="M613" i="7"/>
  <c r="M604" i="7" s="1"/>
  <c r="M591" i="7" s="1"/>
  <c r="O614" i="7"/>
  <c r="Q685" i="7"/>
  <c r="S685" i="7" s="1"/>
  <c r="O685" i="7"/>
  <c r="Q689" i="7"/>
  <c r="S689" i="7" s="1"/>
  <c r="O689" i="7"/>
  <c r="M884" i="7"/>
  <c r="O885" i="7"/>
  <c r="Q944" i="7"/>
  <c r="S944" i="7" s="1"/>
  <c r="K944" i="7"/>
  <c r="Q955" i="7"/>
  <c r="S955" i="7" s="1"/>
  <c r="K955" i="7"/>
  <c r="Q974" i="7"/>
  <c r="S974" i="7" s="1"/>
  <c r="K974" i="7"/>
  <c r="Q1082" i="7"/>
  <c r="S1082" i="7" s="1"/>
  <c r="I1075" i="7"/>
  <c r="K1075" i="7" s="1"/>
  <c r="K1082" i="7"/>
  <c r="Q1208" i="7"/>
  <c r="S1208" i="7" s="1"/>
  <c r="O1208" i="7"/>
  <c r="Q1324" i="7"/>
  <c r="S1324" i="7" s="1"/>
  <c r="K1324" i="7"/>
  <c r="I1329" i="7"/>
  <c r="K1329" i="7" s="1"/>
  <c r="K1332" i="7"/>
  <c r="I1352" i="7"/>
  <c r="K1355" i="7"/>
  <c r="Q1454" i="7"/>
  <c r="S1454" i="7" s="1"/>
  <c r="K1454" i="7"/>
  <c r="I1456" i="7"/>
  <c r="K1456" i="7" s="1"/>
  <c r="K1458" i="7"/>
  <c r="M1544" i="7"/>
  <c r="O1544" i="7" s="1"/>
  <c r="O1545" i="7"/>
  <c r="I1643" i="7"/>
  <c r="I1642" i="7" s="1"/>
  <c r="K1642" i="7" s="1"/>
  <c r="K1647" i="7"/>
  <c r="Q1657" i="7"/>
  <c r="O1657" i="7"/>
  <c r="Q1662" i="7"/>
  <c r="S1662" i="7" s="1"/>
  <c r="O1662" i="7"/>
  <c r="Q1675" i="7"/>
  <c r="S1675" i="7" s="1"/>
  <c r="K1675" i="7"/>
  <c r="M1680" i="7"/>
  <c r="O1680" i="7" s="1"/>
  <c r="O1681" i="7"/>
  <c r="Q1701" i="7"/>
  <c r="S1701" i="7" s="1"/>
  <c r="O1701" i="7"/>
  <c r="Q1821" i="7"/>
  <c r="S1821" i="7" s="1"/>
  <c r="K1821" i="7"/>
  <c r="Q1829" i="7"/>
  <c r="S1829" i="7" s="1"/>
  <c r="K1829" i="7"/>
  <c r="Q1961" i="7"/>
  <c r="S1961" i="7" s="1"/>
  <c r="K1961" i="7"/>
  <c r="J24" i="7"/>
  <c r="R24" i="7" s="1"/>
  <c r="R58" i="7"/>
  <c r="H13" i="8"/>
  <c r="N328" i="7"/>
  <c r="Q230" i="7"/>
  <c r="S230" i="7" s="1"/>
  <c r="O230" i="7"/>
  <c r="Q244" i="7"/>
  <c r="S244" i="7" s="1"/>
  <c r="K244" i="7"/>
  <c r="Q256" i="7"/>
  <c r="S256" i="7" s="1"/>
  <c r="K256" i="7"/>
  <c r="Q336" i="7"/>
  <c r="S336" i="7" s="1"/>
  <c r="K336" i="7"/>
  <c r="Q384" i="7"/>
  <c r="S384" i="7" s="1"/>
  <c r="O384" i="7"/>
  <c r="M472" i="7"/>
  <c r="O473" i="7"/>
  <c r="Q487" i="7"/>
  <c r="S487" i="7" s="1"/>
  <c r="O487" i="7"/>
  <c r="Q506" i="7"/>
  <c r="S506" i="7" s="1"/>
  <c r="O506" i="7"/>
  <c r="Q526" i="7"/>
  <c r="S526" i="7" s="1"/>
  <c r="O526" i="7"/>
  <c r="I589" i="7"/>
  <c r="Q589" i="7" s="1"/>
  <c r="S589" i="7" s="1"/>
  <c r="K590" i="7"/>
  <c r="Q650" i="7"/>
  <c r="S650" i="7" s="1"/>
  <c r="O650" i="7"/>
  <c r="Q684" i="7"/>
  <c r="S684" i="7" s="1"/>
  <c r="O684" i="7"/>
  <c r="Q692" i="7"/>
  <c r="S692" i="7" s="1"/>
  <c r="O692" i="7"/>
  <c r="Q694" i="7"/>
  <c r="S694" i="7" s="1"/>
  <c r="O694" i="7"/>
  <c r="I791" i="7"/>
  <c r="Q791" i="7" s="1"/>
  <c r="S791" i="7" s="1"/>
  <c r="K792" i="7"/>
  <c r="Q797" i="7"/>
  <c r="S797" i="7" s="1"/>
  <c r="K797" i="7"/>
  <c r="Q811" i="7"/>
  <c r="S811" i="7" s="1"/>
  <c r="K811" i="7"/>
  <c r="M819" i="7"/>
  <c r="O819" i="7" s="1"/>
  <c r="O820" i="7"/>
  <c r="I844" i="7"/>
  <c r="K846" i="7"/>
  <c r="M860" i="7"/>
  <c r="O860" i="7" s="1"/>
  <c r="O861" i="7"/>
  <c r="I865" i="7"/>
  <c r="K865" i="7" s="1"/>
  <c r="K867" i="7"/>
  <c r="Q893" i="7"/>
  <c r="S893" i="7" s="1"/>
  <c r="K893" i="7"/>
  <c r="M912" i="7"/>
  <c r="O912" i="7" s="1"/>
  <c r="O913" i="7"/>
  <c r="I924" i="7"/>
  <c r="K927" i="7"/>
  <c r="Q929" i="7"/>
  <c r="S929" i="7" s="1"/>
  <c r="K929" i="7"/>
  <c r="Q943" i="7"/>
  <c r="S943" i="7" s="1"/>
  <c r="K943" i="7"/>
  <c r="Q946" i="7"/>
  <c r="S946" i="7" s="1"/>
  <c r="K946" i="7"/>
  <c r="Q954" i="7"/>
  <c r="S954" i="7" s="1"/>
  <c r="K954" i="7"/>
  <c r="Q958" i="7"/>
  <c r="S958" i="7" s="1"/>
  <c r="K958" i="7"/>
  <c r="Q967" i="7"/>
  <c r="S967" i="7" s="1"/>
  <c r="K967" i="7"/>
  <c r="Q973" i="7"/>
  <c r="S973" i="7" s="1"/>
  <c r="K973" i="7"/>
  <c r="Q1077" i="7"/>
  <c r="S1077" i="7" s="1"/>
  <c r="K1077" i="7"/>
  <c r="M1091" i="7"/>
  <c r="M1088" i="7" s="1"/>
  <c r="O1092" i="7"/>
  <c r="Q1119" i="7"/>
  <c r="S1119" i="7" s="1"/>
  <c r="O1119" i="7"/>
  <c r="Q1124" i="7"/>
  <c r="S1124" i="7" s="1"/>
  <c r="O1124" i="7"/>
  <c r="Q1174" i="7"/>
  <c r="S1174" i="7" s="1"/>
  <c r="K1174" i="7"/>
  <c r="Q1212" i="7"/>
  <c r="S1212" i="7" s="1"/>
  <c r="K1212" i="7"/>
  <c r="Q1229" i="7"/>
  <c r="S1229" i="7" s="1"/>
  <c r="I1223" i="7"/>
  <c r="K1229" i="7"/>
  <c r="I1231" i="7"/>
  <c r="K1231" i="7" s="1"/>
  <c r="K1234" i="7"/>
  <c r="Q1265" i="7"/>
  <c r="S1265" i="7" s="1"/>
  <c r="K1265" i="7"/>
  <c r="Q1312" i="7"/>
  <c r="S1312" i="7" s="1"/>
  <c r="O1312" i="7"/>
  <c r="Q1323" i="7"/>
  <c r="S1323" i="7" s="1"/>
  <c r="K1323" i="7"/>
  <c r="I1412" i="7"/>
  <c r="K1412" i="7" s="1"/>
  <c r="K1415" i="7"/>
  <c r="Q1476" i="7"/>
  <c r="S1476" i="7" s="1"/>
  <c r="K1476" i="7"/>
  <c r="Q1548" i="7"/>
  <c r="S1548" i="7" s="1"/>
  <c r="K1548" i="7"/>
  <c r="Q1555" i="7"/>
  <c r="S1555" i="7" s="1"/>
  <c r="K1555" i="7"/>
  <c r="I1564" i="7"/>
  <c r="K1564" i="7" s="1"/>
  <c r="K1565" i="7"/>
  <c r="Q1583" i="7"/>
  <c r="S1583" i="7" s="1"/>
  <c r="K1583" i="7"/>
  <c r="Q1592" i="7"/>
  <c r="S1592" i="7" s="1"/>
  <c r="K1592" i="7"/>
  <c r="I1638" i="7"/>
  <c r="K1638" i="7" s="1"/>
  <c r="K1639" i="7"/>
  <c r="Q1661" i="7"/>
  <c r="S1661" i="7" s="1"/>
  <c r="O1661" i="7"/>
  <c r="Q1669" i="7"/>
  <c r="S1669" i="7" s="1"/>
  <c r="K1669" i="7"/>
  <c r="Q1689" i="7"/>
  <c r="S1689" i="7" s="1"/>
  <c r="K1689" i="7"/>
  <c r="Q1695" i="7"/>
  <c r="S1695" i="7" s="1"/>
  <c r="O1695" i="7"/>
  <c r="Q1815" i="7"/>
  <c r="S1815" i="7" s="1"/>
  <c r="O1815" i="7"/>
  <c r="Q1833" i="7"/>
  <c r="S1833" i="7" s="1"/>
  <c r="K1833" i="7"/>
  <c r="Q1876" i="7"/>
  <c r="S1876" i="7" s="1"/>
  <c r="O1876" i="7"/>
  <c r="Q1885" i="7"/>
  <c r="S1885" i="7" s="1"/>
  <c r="K1885" i="7"/>
  <c r="Q1889" i="7"/>
  <c r="S1889" i="7" s="1"/>
  <c r="K1889" i="7"/>
  <c r="Q1948" i="7"/>
  <c r="S1948" i="7" s="1"/>
  <c r="K1948" i="7"/>
  <c r="Q1951" i="7"/>
  <c r="S1951" i="7" s="1"/>
  <c r="K1951" i="7"/>
  <c r="Q1954" i="7"/>
  <c r="S1954" i="7" s="1"/>
  <c r="K1954" i="7"/>
  <c r="Q1995" i="7"/>
  <c r="S1995" i="7" s="1"/>
  <c r="K1995" i="7"/>
  <c r="Q2007" i="7"/>
  <c r="S2007" i="7" s="1"/>
  <c r="K2007" i="7"/>
  <c r="Q2032" i="7"/>
  <c r="S2032" i="7" s="1"/>
  <c r="K2032" i="7"/>
  <c r="Q2039" i="7"/>
  <c r="S2039" i="7" s="1"/>
  <c r="K2039" i="7"/>
  <c r="Q2045" i="7"/>
  <c r="S2045" i="7" s="1"/>
  <c r="K2045" i="7"/>
  <c r="I2050" i="7"/>
  <c r="K2050" i="7" s="1"/>
  <c r="K2053" i="7"/>
  <c r="Q2069" i="7"/>
  <c r="S2069" i="7" s="1"/>
  <c r="K2069" i="7"/>
  <c r="J27" i="7"/>
  <c r="R44" i="7"/>
  <c r="N591" i="7"/>
  <c r="N587" i="7" s="1"/>
  <c r="N966" i="7"/>
  <c r="S239" i="7"/>
  <c r="S1500" i="7"/>
  <c r="S1464" i="7"/>
  <c r="S1210" i="7"/>
  <c r="S1039" i="7"/>
  <c r="R488" i="7"/>
  <c r="S690" i="7"/>
  <c r="S682" i="7"/>
  <c r="S674" i="7"/>
  <c r="S928" i="7"/>
  <c r="S895" i="7"/>
  <c r="S814" i="7"/>
  <c r="S1688" i="7"/>
  <c r="S1668" i="7"/>
  <c r="S1756" i="7"/>
  <c r="M950" i="7"/>
  <c r="M941" i="7" s="1"/>
  <c r="M1649" i="7"/>
  <c r="O1649" i="7" s="1"/>
  <c r="S241" i="7"/>
  <c r="S368" i="7"/>
  <c r="S338" i="7"/>
  <c r="S521" i="7"/>
  <c r="S485" i="7"/>
  <c r="S1579" i="7"/>
  <c r="S1523" i="7"/>
  <c r="S1494" i="7"/>
  <c r="S1450" i="7"/>
  <c r="S1430" i="7"/>
  <c r="S1384" i="7"/>
  <c r="S1376" i="7"/>
  <c r="S1358" i="7"/>
  <c r="S1350" i="7"/>
  <c r="S1135" i="7"/>
  <c r="S1127" i="7"/>
  <c r="S1041" i="7"/>
  <c r="S1023" i="7"/>
  <c r="S1015" i="7"/>
  <c r="S1880" i="7"/>
  <c r="Q205" i="7"/>
  <c r="S205" i="7" s="1"/>
  <c r="M220" i="7"/>
  <c r="S236" i="7"/>
  <c r="I355" i="7"/>
  <c r="Q359" i="7"/>
  <c r="S359" i="7" s="1"/>
  <c r="M366" i="7"/>
  <c r="M365" i="7" s="1"/>
  <c r="Q518" i="7"/>
  <c r="S518" i="7" s="1"/>
  <c r="Q837" i="7"/>
  <c r="S837" i="7" s="1"/>
  <c r="Q879" i="7"/>
  <c r="S879" i="7" s="1"/>
  <c r="Q1043" i="7"/>
  <c r="S1043" i="7" s="1"/>
  <c r="Q1058" i="7"/>
  <c r="S1058" i="7" s="1"/>
  <c r="Q1262" i="7"/>
  <c r="S1262" i="7" s="1"/>
  <c r="Q1272" i="7"/>
  <c r="S1272" i="7" s="1"/>
  <c r="S1284" i="7"/>
  <c r="I1706" i="7"/>
  <c r="Q1706" i="7" s="1"/>
  <c r="S1706" i="7" s="1"/>
  <c r="M1770" i="7"/>
  <c r="Q1938" i="7"/>
  <c r="S1938" i="7" s="1"/>
  <c r="Q2014" i="7"/>
  <c r="S2014" i="7" s="1"/>
  <c r="J16" i="7"/>
  <c r="R203" i="7"/>
  <c r="R377" i="7"/>
  <c r="S364" i="7"/>
  <c r="S360" i="7"/>
  <c r="R457" i="7"/>
  <c r="S688" i="7"/>
  <c r="S680" i="7"/>
  <c r="S676" i="7"/>
  <c r="S633" i="7"/>
  <c r="S629" i="7"/>
  <c r="S625" i="7"/>
  <c r="S621" i="7"/>
  <c r="S1320" i="7"/>
  <c r="S1316" i="7"/>
  <c r="S1303" i="7"/>
  <c r="S1299" i="7"/>
  <c r="S1295" i="7"/>
  <c r="S1287" i="7"/>
  <c r="S1283" i="7"/>
  <c r="S1275" i="7"/>
  <c r="S1267" i="7"/>
  <c r="S1259" i="7"/>
  <c r="S1255" i="7"/>
  <c r="S1247" i="7"/>
  <c r="S1243" i="7"/>
  <c r="S1235" i="7"/>
  <c r="S1222" i="7"/>
  <c r="S1218" i="7"/>
  <c r="S1214" i="7"/>
  <c r="S930" i="7"/>
  <c r="S926" i="7"/>
  <c r="S849" i="7"/>
  <c r="S845" i="7"/>
  <c r="S833" i="7"/>
  <c r="S812" i="7"/>
  <c r="S779" i="7"/>
  <c r="S771" i="7"/>
  <c r="S767" i="7"/>
  <c r="S1698" i="7"/>
  <c r="S1682" i="7"/>
  <c r="S1670" i="7"/>
  <c r="S1655" i="7"/>
  <c r="S1750" i="7"/>
  <c r="S1969" i="7"/>
  <c r="K1367" i="7"/>
  <c r="N475" i="7"/>
  <c r="R475" i="7" s="1"/>
  <c r="K1262" i="7"/>
  <c r="N1801" i="7"/>
  <c r="R1801" i="7" s="1"/>
  <c r="E14" i="8"/>
  <c r="E13" i="8"/>
  <c r="R1739" i="7"/>
  <c r="J1619" i="7"/>
  <c r="R1619" i="7" s="1"/>
  <c r="E10" i="8"/>
  <c r="J456" i="7"/>
  <c r="E9" i="8" s="1"/>
  <c r="R365" i="7"/>
  <c r="J328" i="7"/>
  <c r="R356" i="7"/>
  <c r="I62" i="2"/>
  <c r="I61" i="2" s="1"/>
  <c r="I60" i="2" s="1"/>
  <c r="H15" i="8"/>
  <c r="R1965" i="7"/>
  <c r="J1929" i="7"/>
  <c r="R1321" i="7"/>
  <c r="J1314" i="7"/>
  <c r="R1314" i="7" s="1"/>
  <c r="R1211" i="7"/>
  <c r="R971" i="7"/>
  <c r="J966" i="7"/>
  <c r="B800" i="7"/>
  <c r="B801" i="7" s="1"/>
  <c r="B802" i="7" s="1"/>
  <c r="B803" i="7" s="1"/>
  <c r="B804" i="7" s="1"/>
  <c r="B805" i="7" s="1"/>
  <c r="B806" i="7" s="1"/>
  <c r="B807" i="7" s="1"/>
  <c r="B808" i="7" s="1"/>
  <c r="J763" i="7"/>
  <c r="R763" i="7" s="1"/>
  <c r="I149" i="2"/>
  <c r="I125" i="2"/>
  <c r="I184" i="2"/>
  <c r="I266" i="2"/>
  <c r="I360" i="2"/>
  <c r="I354" i="2"/>
  <c r="I346" i="2" s="1"/>
  <c r="I321" i="2"/>
  <c r="I317" i="2" s="1"/>
  <c r="I167" i="2"/>
  <c r="I166" i="2" s="1"/>
  <c r="I57" i="2"/>
  <c r="I210" i="2"/>
  <c r="I209" i="2" s="1"/>
  <c r="I236" i="2"/>
  <c r="I225" i="2"/>
  <c r="I193" i="2"/>
  <c r="R616" i="7"/>
  <c r="I35" i="2"/>
  <c r="I25" i="2" s="1"/>
  <c r="I13" i="2"/>
  <c r="I143" i="7"/>
  <c r="I140" i="7" s="1"/>
  <c r="K140" i="7" s="1"/>
  <c r="I501" i="7"/>
  <c r="Q501" i="7" s="1"/>
  <c r="S501" i="7" s="1"/>
  <c r="I508" i="7"/>
  <c r="M647" i="7"/>
  <c r="O647" i="7" s="1"/>
  <c r="S277" i="7"/>
  <c r="S269" i="7"/>
  <c r="S253" i="7"/>
  <c r="S233" i="7"/>
  <c r="S222" i="7"/>
  <c r="S210" i="7"/>
  <c r="S206" i="7"/>
  <c r="S393" i="7"/>
  <c r="S389" i="7"/>
  <c r="S385" i="7"/>
  <c r="S382" i="7"/>
  <c r="S374" i="7"/>
  <c r="S358" i="7"/>
  <c r="S330" i="7"/>
  <c r="S513" i="7"/>
  <c r="S493" i="7"/>
  <c r="S489" i="7"/>
  <c r="S477" i="7"/>
  <c r="S465" i="7"/>
  <c r="S672" i="7"/>
  <c r="S668" i="7"/>
  <c r="S664" i="7"/>
  <c r="S660" i="7"/>
  <c r="S645" i="7"/>
  <c r="S641" i="7"/>
  <c r="S615" i="7"/>
  <c r="S603" i="7"/>
  <c r="S598" i="7"/>
  <c r="S594" i="7"/>
  <c r="S590" i="7"/>
  <c r="S1589" i="7"/>
  <c r="S1551" i="7"/>
  <c r="S1543" i="7"/>
  <c r="S1531" i="7"/>
  <c r="S1527" i="7"/>
  <c r="S1518" i="7"/>
  <c r="S1514" i="7"/>
  <c r="S1510" i="7"/>
  <c r="S1506" i="7"/>
  <c r="S1502" i="7"/>
  <c r="S1486" i="7"/>
  <c r="S1474" i="7"/>
  <c r="S1466" i="7"/>
  <c r="S1438" i="7"/>
  <c r="S1434" i="7"/>
  <c r="S1421" i="7"/>
  <c r="S1413" i="7"/>
  <c r="S1408" i="7"/>
  <c r="S1392" i="7"/>
  <c r="S1380" i="7"/>
  <c r="S1367" i="7"/>
  <c r="S1362" i="7"/>
  <c r="S1354" i="7"/>
  <c r="S1346" i="7"/>
  <c r="S1307" i="7"/>
  <c r="S1291" i="7"/>
  <c r="S1279" i="7"/>
  <c r="S1271" i="7"/>
  <c r="S1263" i="7"/>
  <c r="S1251" i="7"/>
  <c r="S1239" i="7"/>
  <c r="S1226" i="7"/>
  <c r="S1192" i="7"/>
  <c r="S1188" i="7"/>
  <c r="S1175" i="7"/>
  <c r="S1171" i="7"/>
  <c r="S1163" i="7"/>
  <c r="S1159" i="7"/>
  <c r="S1141" i="7"/>
  <c r="S1086" i="7"/>
  <c r="S1081" i="7"/>
  <c r="S1064" i="7"/>
  <c r="S1055" i="7"/>
  <c r="S1051" i="7"/>
  <c r="S1047" i="7"/>
  <c r="S1035" i="7"/>
  <c r="S1009" i="7"/>
  <c r="S1004" i="7"/>
  <c r="S1000" i="7"/>
  <c r="S996" i="7"/>
  <c r="S991" i="7"/>
  <c r="S987" i="7"/>
  <c r="S960" i="7"/>
  <c r="S952" i="7"/>
  <c r="S940" i="7"/>
  <c r="S911" i="7"/>
  <c r="S899" i="7"/>
  <c r="S867" i="7"/>
  <c r="S863" i="7"/>
  <c r="S851" i="7"/>
  <c r="S843" i="7"/>
  <c r="S839" i="7"/>
  <c r="S830" i="7"/>
  <c r="S826" i="7"/>
  <c r="S802" i="7"/>
  <c r="S794" i="7"/>
  <c r="S781" i="7"/>
  <c r="S1716" i="7"/>
  <c r="S1712" i="7"/>
  <c r="S1708" i="7"/>
  <c r="S1702" i="7"/>
  <c r="S1659" i="7"/>
  <c r="S1651" i="7"/>
  <c r="S1647" i="7"/>
  <c r="S1639" i="7"/>
  <c r="S1635" i="7"/>
  <c r="S1631" i="7"/>
  <c r="S1786" i="7"/>
  <c r="S1782" i="7"/>
  <c r="S1778" i="7"/>
  <c r="S1762" i="7"/>
  <c r="S1758" i="7"/>
  <c r="S1754" i="7"/>
  <c r="S1746" i="7"/>
  <c r="S1743" i="7"/>
  <c r="M134" i="7"/>
  <c r="G6" i="8" s="1"/>
  <c r="Q208" i="7"/>
  <c r="Q211" i="7"/>
  <c r="S211" i="7" s="1"/>
  <c r="Q227" i="7"/>
  <c r="S227" i="7" s="1"/>
  <c r="I377" i="7"/>
  <c r="K377" i="7" s="1"/>
  <c r="Q473" i="7"/>
  <c r="S473" i="7" s="1"/>
  <c r="Q614" i="7"/>
  <c r="S614" i="7" s="1"/>
  <c r="I798" i="7"/>
  <c r="K798" i="7" s="1"/>
  <c r="Q891" i="7"/>
  <c r="S891" i="7" s="1"/>
  <c r="I935" i="7"/>
  <c r="I956" i="7"/>
  <c r="Q1257" i="7"/>
  <c r="S1257" i="7" s="1"/>
  <c r="I1501" i="7"/>
  <c r="K1501" i="7" s="1"/>
  <c r="I1522" i="7"/>
  <c r="K1522" i="7" s="1"/>
  <c r="Q1565" i="7"/>
  <c r="S1565" i="7" s="1"/>
  <c r="I1584" i="7"/>
  <c r="K1584" i="7" s="1"/>
  <c r="I1674" i="7"/>
  <c r="I1686" i="7"/>
  <c r="Q1686" i="7" s="1"/>
  <c r="S1686" i="7" s="1"/>
  <c r="Q1811" i="7"/>
  <c r="S1811" i="7" s="1"/>
  <c r="I1856" i="7"/>
  <c r="I1855" i="7" s="1"/>
  <c r="I2004" i="7"/>
  <c r="K2004" i="7" s="1"/>
  <c r="I2119" i="7"/>
  <c r="K2119" i="7" s="1"/>
  <c r="R25" i="7"/>
  <c r="S137" i="7"/>
  <c r="S278" i="7"/>
  <c r="S274" i="7"/>
  <c r="S254" i="7"/>
  <c r="S223" i="7"/>
  <c r="S398" i="7"/>
  <c r="S379" i="7"/>
  <c r="S363" i="7"/>
  <c r="S343" i="7"/>
  <c r="S339" i="7"/>
  <c r="S514" i="7"/>
  <c r="S510" i="7"/>
  <c r="S494" i="7"/>
  <c r="S490" i="7"/>
  <c r="S486" i="7"/>
  <c r="S482" i="7"/>
  <c r="S474" i="7"/>
  <c r="S470" i="7"/>
  <c r="S466" i="7"/>
  <c r="S462" i="7"/>
  <c r="S681" i="7"/>
  <c r="S677" i="7"/>
  <c r="S673" i="7"/>
  <c r="S669" i="7"/>
  <c r="S665" i="7"/>
  <c r="S661" i="7"/>
  <c r="S646" i="7"/>
  <c r="S642" i="7"/>
  <c r="S638" i="7"/>
  <c r="S634" i="7"/>
  <c r="S630" i="7"/>
  <c r="S626" i="7"/>
  <c r="S612" i="7"/>
  <c r="S608" i="7"/>
  <c r="S599" i="7"/>
  <c r="S595" i="7"/>
  <c r="S1590" i="7"/>
  <c r="S1586" i="7"/>
  <c r="S1580" i="7"/>
  <c r="S1568" i="7"/>
  <c r="S1560" i="7"/>
  <c r="S1552" i="7"/>
  <c r="S1540" i="7"/>
  <c r="S1536" i="7"/>
  <c r="S1532" i="7"/>
  <c r="S1528" i="7"/>
  <c r="S1524" i="7"/>
  <c r="S1519" i="7"/>
  <c r="S1515" i="7"/>
  <c r="S1507" i="7"/>
  <c r="S1503" i="7"/>
  <c r="S1499" i="7"/>
  <c r="S1491" i="7"/>
  <c r="S1483" i="7"/>
  <c r="S1479" i="7"/>
  <c r="S1475" i="7"/>
  <c r="S1471" i="7"/>
  <c r="S1459" i="7"/>
  <c r="S1451" i="7"/>
  <c r="S1443" i="7"/>
  <c r="S1884" i="7"/>
  <c r="S1872" i="7"/>
  <c r="S1860" i="7"/>
  <c r="S1848" i="7"/>
  <c r="S1838" i="7"/>
  <c r="S1825" i="7"/>
  <c r="S1817" i="7"/>
  <c r="S1804" i="7"/>
  <c r="S2067" i="7"/>
  <c r="S2063" i="7"/>
  <c r="S2055" i="7"/>
  <c r="S2051" i="7"/>
  <c r="S2035" i="7"/>
  <c r="S2024" i="7"/>
  <c r="S2020" i="7"/>
  <c r="S2012" i="7"/>
  <c r="S2008" i="7"/>
  <c r="S2000" i="7"/>
  <c r="S1992" i="7"/>
  <c r="S1980" i="7"/>
  <c r="S1976" i="7"/>
  <c r="S1955" i="7"/>
  <c r="S1939" i="7"/>
  <c r="S1935" i="7"/>
  <c r="I1823" i="7"/>
  <c r="M1875" i="7"/>
  <c r="O1875" i="7" s="1"/>
  <c r="S267" i="7"/>
  <c r="S247" i="7"/>
  <c r="S228" i="7"/>
  <c r="S216" i="7"/>
  <c r="S208" i="7"/>
  <c r="S387" i="7"/>
  <c r="S515" i="7"/>
  <c r="S695" i="7"/>
  <c r="S670" i="7"/>
  <c r="S666" i="7"/>
  <c r="S662" i="7"/>
  <c r="S643" i="7"/>
  <c r="S600" i="7"/>
  <c r="S1591" i="7"/>
  <c r="S1553" i="7"/>
  <c r="S1545" i="7"/>
  <c r="S1529" i="7"/>
  <c r="S1520" i="7"/>
  <c r="S1516" i="7"/>
  <c r="S1508" i="7"/>
  <c r="S1472" i="7"/>
  <c r="S1436" i="7"/>
  <c r="S1432" i="7"/>
  <c r="S1410" i="7"/>
  <c r="S1369" i="7"/>
  <c r="S1364" i="7"/>
  <c r="S1360" i="7"/>
  <c r="S1339" i="7"/>
  <c r="S1330" i="7"/>
  <c r="S1313" i="7"/>
  <c r="S1309" i="7"/>
  <c r="S1305" i="7"/>
  <c r="S1289" i="7"/>
  <c r="S1253" i="7"/>
  <c r="S1233" i="7"/>
  <c r="S1224" i="7"/>
  <c r="S1202" i="7"/>
  <c r="S1186" i="7"/>
  <c r="S1178" i="7"/>
  <c r="S1173" i="7"/>
  <c r="S1169" i="7"/>
  <c r="S1165" i="7"/>
  <c r="S1161" i="7"/>
  <c r="S1157" i="7"/>
  <c r="S1143" i="7"/>
  <c r="S1139" i="7"/>
  <c r="S1093" i="7"/>
  <c r="S1083" i="7"/>
  <c r="S1057" i="7"/>
  <c r="S1053" i="7"/>
  <c r="S1049" i="7"/>
  <c r="S1045" i="7"/>
  <c r="S1006" i="7"/>
  <c r="S1002" i="7"/>
  <c r="S998" i="7"/>
  <c r="S994" i="7"/>
  <c r="S962" i="7"/>
  <c r="S938" i="7"/>
  <c r="S934" i="7"/>
  <c r="S917" i="7"/>
  <c r="S913" i="7"/>
  <c r="S909" i="7"/>
  <c r="S901" i="7"/>
  <c r="S889" i="7"/>
  <c r="S885" i="7"/>
  <c r="S881" i="7"/>
  <c r="S873" i="7"/>
  <c r="S869" i="7"/>
  <c r="S857" i="7"/>
  <c r="S828" i="7"/>
  <c r="S824" i="7"/>
  <c r="S800" i="7"/>
  <c r="S783" i="7"/>
  <c r="S1714" i="7"/>
  <c r="S1710" i="7"/>
  <c r="S1684" i="7"/>
  <c r="S1657" i="7"/>
  <c r="S1641" i="7"/>
  <c r="S1633" i="7"/>
  <c r="S1629" i="7"/>
  <c r="S1776" i="7"/>
  <c r="S1772" i="7"/>
  <c r="S1760" i="7"/>
  <c r="S1752" i="7"/>
  <c r="S1744" i="7"/>
  <c r="Q141" i="7"/>
  <c r="S141" i="7" s="1"/>
  <c r="Q259" i="7"/>
  <c r="S259" i="7" s="1"/>
  <c r="Q337" i="7"/>
  <c r="S337" i="7" s="1"/>
  <c r="Q378" i="7"/>
  <c r="S378" i="7" s="1"/>
  <c r="M497" i="7"/>
  <c r="Q505" i="7"/>
  <c r="S505" i="7" s="1"/>
  <c r="Q648" i="7"/>
  <c r="S648" i="7" s="1"/>
  <c r="Q700" i="7"/>
  <c r="S700" i="7" s="1"/>
  <c r="Q1092" i="7"/>
  <c r="S1092" i="7" s="1"/>
  <c r="Q1378" i="7"/>
  <c r="S1378" i="7" s="1"/>
  <c r="Q1400" i="7"/>
  <c r="S1400" i="7" s="1"/>
  <c r="Q1407" i="7"/>
  <c r="S1407" i="7" s="1"/>
  <c r="Q1415" i="7"/>
  <c r="S1415" i="7" s="1"/>
  <c r="Q1431" i="7"/>
  <c r="S1431" i="7" s="1"/>
  <c r="Q1478" i="7"/>
  <c r="S1478" i="7" s="1"/>
  <c r="Q1709" i="7"/>
  <c r="S1709" i="7" s="1"/>
  <c r="M2118" i="7"/>
  <c r="M2117" i="7" s="1"/>
  <c r="G16" i="8" s="1"/>
  <c r="S268" i="7"/>
  <c r="S264" i="7"/>
  <c r="S260" i="7"/>
  <c r="S252" i="7"/>
  <c r="S248" i="7"/>
  <c r="S240" i="7"/>
  <c r="S217" i="7"/>
  <c r="S213" i="7"/>
  <c r="S209" i="7"/>
  <c r="S396" i="7"/>
  <c r="S388" i="7"/>
  <c r="S373" i="7"/>
  <c r="S361" i="7"/>
  <c r="S357" i="7"/>
  <c r="S353" i="7"/>
  <c r="S349" i="7"/>
  <c r="S341" i="7"/>
  <c r="S333" i="7"/>
  <c r="S524" i="7"/>
  <c r="S520" i="7"/>
  <c r="S496" i="7"/>
  <c r="S492" i="7"/>
  <c r="S480" i="7"/>
  <c r="S464" i="7"/>
  <c r="S696" i="7"/>
  <c r="S691" i="7"/>
  <c r="S683" i="7"/>
  <c r="S679" i="7"/>
  <c r="S675" i="7"/>
  <c r="S671" i="7"/>
  <c r="S667" i="7"/>
  <c r="S663" i="7"/>
  <c r="S644" i="7"/>
  <c r="S636" i="7"/>
  <c r="S632" i="7"/>
  <c r="S628" i="7"/>
  <c r="S624" i="7"/>
  <c r="S610" i="7"/>
  <c r="S606" i="7"/>
  <c r="S601" i="7"/>
  <c r="S597" i="7"/>
  <c r="S1588" i="7"/>
  <c r="S1578" i="7"/>
  <c r="S1574" i="7"/>
  <c r="S1570" i="7"/>
  <c r="S1566" i="7"/>
  <c r="S1562" i="7"/>
  <c r="S1558" i="7"/>
  <c r="S1550" i="7"/>
  <c r="S1538" i="7"/>
  <c r="S1530" i="7"/>
  <c r="S1526" i="7"/>
  <c r="S1517" i="7"/>
  <c r="S1509" i="7"/>
  <c r="S1505" i="7"/>
  <c r="S1497" i="7"/>
  <c r="S1493" i="7"/>
  <c r="S1489" i="7"/>
  <c r="S1485" i="7"/>
  <c r="S1481" i="7"/>
  <c r="S1477" i="7"/>
  <c r="S1473" i="7"/>
  <c r="S1469" i="7"/>
  <c r="S1461" i="7"/>
  <c r="S1457" i="7"/>
  <c r="S1453" i="7"/>
  <c r="S1449" i="7"/>
  <c r="S1441" i="7"/>
  <c r="S959" i="7"/>
  <c r="S910" i="7"/>
  <c r="S878" i="7"/>
  <c r="S1886" i="7"/>
  <c r="S1874" i="7"/>
  <c r="S1870" i="7"/>
  <c r="S1866" i="7"/>
  <c r="S1854" i="7"/>
  <c r="S1840" i="7"/>
  <c r="S1836" i="7"/>
  <c r="S1832" i="7"/>
  <c r="S1827" i="7"/>
  <c r="S1819" i="7"/>
  <c r="S2065" i="7"/>
  <c r="S2061" i="7"/>
  <c r="S2057" i="7"/>
  <c r="S2053" i="7"/>
  <c r="S2037" i="7"/>
  <c r="S2029" i="7"/>
  <c r="S2022" i="7"/>
  <c r="S2010" i="7"/>
  <c r="S2006" i="7"/>
  <c r="S2002" i="7"/>
  <c r="S1990" i="7"/>
  <c r="S1982" i="7"/>
  <c r="S1978" i="7"/>
  <c r="S1974" i="7"/>
  <c r="S1941" i="7"/>
  <c r="S1933" i="7"/>
  <c r="S1437" i="7"/>
  <c r="S1433" i="7"/>
  <c r="S1429" i="7"/>
  <c r="S1424" i="7"/>
  <c r="S1420" i="7"/>
  <c r="S1416" i="7"/>
  <c r="S1403" i="7"/>
  <c r="S1399" i="7"/>
  <c r="S1395" i="7"/>
  <c r="S1391" i="7"/>
  <c r="S1387" i="7"/>
  <c r="S1383" i="7"/>
  <c r="S1379" i="7"/>
  <c r="S1365" i="7"/>
  <c r="S1361" i="7"/>
  <c r="S1357" i="7"/>
  <c r="S1353" i="7"/>
  <c r="S1349" i="7"/>
  <c r="S1335" i="7"/>
  <c r="S1331" i="7"/>
  <c r="S1327" i="7"/>
  <c r="S1319" i="7"/>
  <c r="S1310" i="7"/>
  <c r="S1306" i="7"/>
  <c r="S1302" i="7"/>
  <c r="S1298" i="7"/>
  <c r="S1294" i="7"/>
  <c r="S1290" i="7"/>
  <c r="S1286" i="7"/>
  <c r="S1282" i="7"/>
  <c r="S1278" i="7"/>
  <c r="S1274" i="7"/>
  <c r="S1270" i="7"/>
  <c r="S1266" i="7"/>
  <c r="S1258" i="7"/>
  <c r="S1250" i="7"/>
  <c r="S1242" i="7"/>
  <c r="S1230" i="7"/>
  <c r="S1225" i="7"/>
  <c r="S1221" i="7"/>
  <c r="S1217" i="7"/>
  <c r="S1213" i="7"/>
  <c r="S1209" i="7"/>
  <c r="S1204" i="7"/>
  <c r="S1199" i="7"/>
  <c r="S1195" i="7"/>
  <c r="S1191" i="7"/>
  <c r="S1187" i="7"/>
  <c r="S1183" i="7"/>
  <c r="S1170" i="7"/>
  <c r="S1166" i="7"/>
  <c r="S1162" i="7"/>
  <c r="S1158" i="7"/>
  <c r="S1154" i="7"/>
  <c r="S1140" i="7"/>
  <c r="S1136" i="7"/>
  <c r="S1132" i="7"/>
  <c r="S1120" i="7"/>
  <c r="S1114" i="7"/>
  <c r="S1110" i="7"/>
  <c r="S1102" i="7"/>
  <c r="S1098" i="7"/>
  <c r="S1090" i="7"/>
  <c r="S1084" i="7"/>
  <c r="S1080" i="7"/>
  <c r="S1071" i="7"/>
  <c r="S1054" i="7"/>
  <c r="S1050" i="7"/>
  <c r="S1046" i="7"/>
  <c r="S1042" i="7"/>
  <c r="S1028" i="7"/>
  <c r="S1024" i="7"/>
  <c r="S1020" i="7"/>
  <c r="S1016" i="7"/>
  <c r="S1012" i="7"/>
  <c r="S1007" i="7"/>
  <c r="S1003" i="7"/>
  <c r="S995" i="7"/>
  <c r="S990" i="7"/>
  <c r="S976" i="7"/>
  <c r="S968" i="7"/>
  <c r="S947" i="7"/>
  <c r="S939" i="7"/>
  <c r="S931" i="7"/>
  <c r="S922" i="7"/>
  <c r="S914" i="7"/>
  <c r="S906" i="7"/>
  <c r="S894" i="7"/>
  <c r="S890" i="7"/>
  <c r="S882" i="7"/>
  <c r="S870" i="7"/>
  <c r="S866" i="7"/>
  <c r="S858" i="7"/>
  <c r="S854" i="7"/>
  <c r="S846" i="7"/>
  <c r="S842" i="7"/>
  <c r="S838" i="7"/>
  <c r="S834" i="7"/>
  <c r="S829" i="7"/>
  <c r="S821" i="7"/>
  <c r="S813" i="7"/>
  <c r="S805" i="7"/>
  <c r="S801" i="7"/>
  <c r="S793" i="7"/>
  <c r="S788" i="7"/>
  <c r="S784" i="7"/>
  <c r="S768" i="7"/>
  <c r="S1715" i="7"/>
  <c r="S1711" i="7"/>
  <c r="S1707" i="7"/>
  <c r="S1685" i="7"/>
  <c r="S1681" i="7"/>
  <c r="S1665" i="7"/>
  <c r="S1658" i="7"/>
  <c r="S1646" i="7"/>
  <c r="S1634" i="7"/>
  <c r="S1630" i="7"/>
  <c r="S1626" i="7"/>
  <c r="S1622" i="7"/>
  <c r="S1779" i="7"/>
  <c r="S1775" i="7"/>
  <c r="S1767" i="7"/>
  <c r="S1763" i="7"/>
  <c r="S1759" i="7"/>
  <c r="S1755" i="7"/>
  <c r="S1747" i="7"/>
  <c r="S1881" i="7"/>
  <c r="S1877" i="7"/>
  <c r="S1869" i="7"/>
  <c r="S1865" i="7"/>
  <c r="S1861" i="7"/>
  <c r="S1857" i="7"/>
  <c r="S1818" i="7"/>
  <c r="S2054" i="7"/>
  <c r="S2046" i="7"/>
  <c r="S2023" i="7"/>
  <c r="S2015" i="7"/>
  <c r="S1991" i="7"/>
  <c r="S1987" i="7"/>
  <c r="S1983" i="7"/>
  <c r="S1979" i="7"/>
  <c r="S1975" i="7"/>
  <c r="S1970" i="7"/>
  <c r="S2121" i="7"/>
  <c r="S1435" i="7"/>
  <c r="S1426" i="7"/>
  <c r="S1418" i="7"/>
  <c r="S1414" i="7"/>
  <c r="S1409" i="7"/>
  <c r="S1405" i="7"/>
  <c r="S1401" i="7"/>
  <c r="S1389" i="7"/>
  <c r="S1381" i="7"/>
  <c r="S1377" i="7"/>
  <c r="S1372" i="7"/>
  <c r="S1368" i="7"/>
  <c r="S1363" i="7"/>
  <c r="S1359" i="7"/>
  <c r="S1351" i="7"/>
  <c r="S1347" i="7"/>
  <c r="S1342" i="7"/>
  <c r="S1333" i="7"/>
  <c r="S1317" i="7"/>
  <c r="S1308" i="7"/>
  <c r="S1300" i="7"/>
  <c r="S1292" i="7"/>
  <c r="S1276" i="7"/>
  <c r="S1268" i="7"/>
  <c r="S1264" i="7"/>
  <c r="S1260" i="7"/>
  <c r="S1256" i="7"/>
  <c r="S1252" i="7"/>
  <c r="S1244" i="7"/>
  <c r="S1240" i="7"/>
  <c r="S1236" i="7"/>
  <c r="S1232" i="7"/>
  <c r="S1228" i="7"/>
  <c r="S1219" i="7"/>
  <c r="S1215" i="7"/>
  <c r="S1207" i="7"/>
  <c r="S1201" i="7"/>
  <c r="S1197" i="7"/>
  <c r="S1193" i="7"/>
  <c r="S1185" i="7"/>
  <c r="S1181" i="7"/>
  <c r="S1176" i="7"/>
  <c r="S1172" i="7"/>
  <c r="S1168" i="7"/>
  <c r="S1164" i="7"/>
  <c r="S1160" i="7"/>
  <c r="S1152" i="7"/>
  <c r="S1146" i="7"/>
  <c r="S1142" i="7"/>
  <c r="S1134" i="7"/>
  <c r="S1130" i="7"/>
  <c r="S1126" i="7"/>
  <c r="S1108" i="7"/>
  <c r="S1104" i="7"/>
  <c r="S1100" i="7"/>
  <c r="S1096" i="7"/>
  <c r="S1073" i="7"/>
  <c r="S1069" i="7"/>
  <c r="S1065" i="7"/>
  <c r="S1060" i="7"/>
  <c r="S1056" i="7"/>
  <c r="S1048" i="7"/>
  <c r="S1044" i="7"/>
  <c r="S1031" i="7"/>
  <c r="S1026" i="7"/>
  <c r="S1018" i="7"/>
  <c r="S1014" i="7"/>
  <c r="S1001" i="7"/>
  <c r="S997" i="7"/>
  <c r="S992" i="7"/>
  <c r="S988" i="7"/>
  <c r="S979" i="7"/>
  <c r="S970" i="7"/>
  <c r="S965" i="7"/>
  <c r="S961" i="7"/>
  <c r="S957" i="7"/>
  <c r="S949" i="7"/>
  <c r="S945" i="7"/>
  <c r="S933" i="7"/>
  <c r="S925" i="7"/>
  <c r="S916" i="7"/>
  <c r="S908" i="7"/>
  <c r="S904" i="7"/>
  <c r="S892" i="7"/>
  <c r="S880" i="7"/>
  <c r="S876" i="7"/>
  <c r="S868" i="7"/>
  <c r="S864" i="7"/>
  <c r="S856" i="7"/>
  <c r="S852" i="7"/>
  <c r="S848" i="7"/>
  <c r="S840" i="7"/>
  <c r="S836" i="7"/>
  <c r="S823" i="7"/>
  <c r="S815" i="7"/>
  <c r="S807" i="7"/>
  <c r="S799" i="7"/>
  <c r="S786" i="7"/>
  <c r="S782" i="7"/>
  <c r="S773" i="7"/>
  <c r="S770" i="7"/>
  <c r="S766" i="7"/>
  <c r="S1713" i="7"/>
  <c r="S1703" i="7"/>
  <c r="S1699" i="7"/>
  <c r="S1687" i="7"/>
  <c r="S1679" i="7"/>
  <c r="S1667" i="7"/>
  <c r="S1652" i="7"/>
  <c r="S1648" i="7"/>
  <c r="S1640" i="7"/>
  <c r="S1636" i="7"/>
  <c r="S1632" i="7"/>
  <c r="S1628" i="7"/>
  <c r="S1785" i="7"/>
  <c r="S1781" i="7"/>
  <c r="S1777" i="7"/>
  <c r="S1765" i="7"/>
  <c r="S1761" i="7"/>
  <c r="S1757" i="7"/>
  <c r="S1753" i="7"/>
  <c r="S1745" i="7"/>
  <c r="S1887" i="7"/>
  <c r="S1883" i="7"/>
  <c r="S1863" i="7"/>
  <c r="S1851" i="7"/>
  <c r="S1842" i="7"/>
  <c r="S1824" i="7"/>
  <c r="S1816" i="7"/>
  <c r="S2068" i="7"/>
  <c r="S2064" i="7"/>
  <c r="S2060" i="7"/>
  <c r="S2056" i="7"/>
  <c r="S2052" i="7"/>
  <c r="S2048" i="7"/>
  <c r="S2036" i="7"/>
  <c r="S2021" i="7"/>
  <c r="S2013" i="7"/>
  <c r="S2005" i="7"/>
  <c r="S2001" i="7"/>
  <c r="S1997" i="7"/>
  <c r="S1993" i="7"/>
  <c r="S1989" i="7"/>
  <c r="S1981" i="7"/>
  <c r="S1977" i="7"/>
  <c r="S1973" i="7"/>
  <c r="S1968" i="7"/>
  <c r="S1944" i="7"/>
  <c r="S1936" i="7"/>
  <c r="S1932" i="7"/>
  <c r="S2131" i="7"/>
  <c r="S2128" i="7"/>
  <c r="R2118" i="7"/>
  <c r="S2129" i="7"/>
  <c r="S2125" i="7"/>
  <c r="S2130" i="7"/>
  <c r="S2126" i="7"/>
  <c r="S2122" i="7"/>
  <c r="R49" i="7"/>
  <c r="R20" i="7"/>
  <c r="R16" i="7"/>
  <c r="R10" i="7"/>
  <c r="S896" i="7"/>
  <c r="R789" i="7"/>
  <c r="R1581" i="7"/>
  <c r="S619" i="7"/>
  <c r="S618" i="7"/>
  <c r="Q136" i="7"/>
  <c r="S136" i="7" s="1"/>
  <c r="I862" i="7"/>
  <c r="K862" i="7" s="1"/>
  <c r="Q262" i="7"/>
  <c r="S262" i="7" s="1"/>
  <c r="M355" i="7"/>
  <c r="M356" i="7" s="1"/>
  <c r="I392" i="7"/>
  <c r="K392" i="7" s="1"/>
  <c r="I1022" i="7"/>
  <c r="I1624" i="7"/>
  <c r="Q1624" i="7" s="1"/>
  <c r="S1624" i="7" s="1"/>
  <c r="I1666" i="7"/>
  <c r="I1663" i="7" s="1"/>
  <c r="K1663" i="7" s="1"/>
  <c r="I1834" i="7"/>
  <c r="Q1850" i="7"/>
  <c r="S1850" i="7" s="1"/>
  <c r="I1882" i="7"/>
  <c r="Q139" i="7"/>
  <c r="S139" i="7" s="1"/>
  <c r="I201" i="7"/>
  <c r="K201" i="7" s="1"/>
  <c r="Q219" i="7"/>
  <c r="S219" i="7" s="1"/>
  <c r="I348" i="7"/>
  <c r="I345" i="7" s="1"/>
  <c r="Q495" i="7"/>
  <c r="S495" i="7" s="1"/>
  <c r="Q792" i="7"/>
  <c r="S792" i="7" s="1"/>
  <c r="Q825" i="7"/>
  <c r="S825" i="7" s="1"/>
  <c r="Q861" i="7"/>
  <c r="S861" i="7" s="1"/>
  <c r="I905" i="7"/>
  <c r="K905" i="7" s="1"/>
  <c r="I918" i="7"/>
  <c r="Q964" i="7"/>
  <c r="S964" i="7" s="1"/>
  <c r="M1231" i="7"/>
  <c r="Q1288" i="7"/>
  <c r="S1288" i="7" s="1"/>
  <c r="Q1463" i="7"/>
  <c r="S1463" i="7" s="1"/>
  <c r="M1462" i="7"/>
  <c r="I1484" i="7"/>
  <c r="K1484" i="7" s="1"/>
  <c r="Q1512" i="7"/>
  <c r="S1512" i="7" s="1"/>
  <c r="Q1549" i="7"/>
  <c r="S1549" i="7" s="1"/>
  <c r="M1564" i="7"/>
  <c r="I1845" i="7"/>
  <c r="I1871" i="7"/>
  <c r="K1871" i="7" s="1"/>
  <c r="Q2042" i="7"/>
  <c r="S2042" i="7" s="1"/>
  <c r="M2043" i="7"/>
  <c r="J47" i="7"/>
  <c r="N67" i="7"/>
  <c r="N9" i="7"/>
  <c r="R37" i="7"/>
  <c r="R29" i="7"/>
  <c r="R17" i="7"/>
  <c r="I1375" i="7"/>
  <c r="Q375" i="7"/>
  <c r="S375" i="7" s="1"/>
  <c r="I941" i="7"/>
  <c r="K941" i="7" s="1"/>
  <c r="I1960" i="7"/>
  <c r="Q1999" i="7"/>
  <c r="S1999" i="7" s="1"/>
  <c r="M207" i="7"/>
  <c r="O207" i="7" s="1"/>
  <c r="Q215" i="7"/>
  <c r="S215" i="7" s="1"/>
  <c r="Q234" i="7"/>
  <c r="S234" i="7" s="1"/>
  <c r="Q331" i="7"/>
  <c r="S331" i="7" s="1"/>
  <c r="I593" i="7"/>
  <c r="Q820" i="7"/>
  <c r="S820" i="7" s="1"/>
  <c r="Q1238" i="7"/>
  <c r="S1238" i="7" s="1"/>
  <c r="Q1241" i="7"/>
  <c r="S1241" i="7" s="1"/>
  <c r="M1269" i="7"/>
  <c r="Q1340" i="7"/>
  <c r="S1340" i="7" s="1"/>
  <c r="M1467" i="7"/>
  <c r="M1501" i="7"/>
  <c r="Q1513" i="7"/>
  <c r="S1513" i="7" s="1"/>
  <c r="Q1784" i="7"/>
  <c r="S1784" i="7" s="1"/>
  <c r="I1849" i="7"/>
  <c r="I2019" i="7"/>
  <c r="I2044" i="7"/>
  <c r="N19" i="7"/>
  <c r="N41" i="7"/>
  <c r="N55" i="7"/>
  <c r="N48" i="7"/>
  <c r="R48" i="7" s="1"/>
  <c r="J68" i="7"/>
  <c r="I421" i="2"/>
  <c r="I372" i="2"/>
  <c r="I369" i="2" s="1"/>
  <c r="I287" i="2"/>
  <c r="I252" i="2"/>
  <c r="I202" i="2"/>
  <c r="I332" i="2"/>
  <c r="I303" i="2"/>
  <c r="I274" i="2"/>
  <c r="M1998" i="7"/>
  <c r="I1947" i="7"/>
  <c r="K1947" i="7" s="1"/>
  <c r="I2062" i="7"/>
  <c r="K2062" i="7" s="1"/>
  <c r="Q1964" i="7"/>
  <c r="S1964" i="7" s="1"/>
  <c r="Q1967" i="7"/>
  <c r="S1967" i="7" s="1"/>
  <c r="I1988" i="7"/>
  <c r="K1988" i="7" s="1"/>
  <c r="Q2047" i="7"/>
  <c r="S2047" i="7" s="1"/>
  <c r="M1813" i="7"/>
  <c r="O1813" i="7" s="1"/>
  <c r="Q1822" i="7"/>
  <c r="S1822" i="7" s="1"/>
  <c r="Q1828" i="7"/>
  <c r="S1828" i="7" s="1"/>
  <c r="Q1837" i="7"/>
  <c r="S1837" i="7" s="1"/>
  <c r="M1852" i="7"/>
  <c r="O1852" i="7" s="1"/>
  <c r="I1766" i="7"/>
  <c r="K1766" i="7" s="1"/>
  <c r="I1783" i="7"/>
  <c r="I1741" i="7"/>
  <c r="K1741" i="7" s="1"/>
  <c r="Q1780" i="7"/>
  <c r="S1780" i="7" s="1"/>
  <c r="I1620" i="7"/>
  <c r="M1660" i="7"/>
  <c r="O1660" i="7" s="1"/>
  <c r="M1700" i="7"/>
  <c r="O1700" i="7" s="1"/>
  <c r="Q1037" i="7"/>
  <c r="S1037" i="7" s="1"/>
  <c r="M1036" i="7"/>
  <c r="I1246" i="7"/>
  <c r="Q1249" i="7"/>
  <c r="S1249" i="7" s="1"/>
  <c r="Q1280" i="7"/>
  <c r="S1280" i="7" s="1"/>
  <c r="M1277" i="7"/>
  <c r="Q1468" i="7"/>
  <c r="S1468" i="7" s="1"/>
  <c r="I1467" i="7"/>
  <c r="K1467" i="7" s="1"/>
  <c r="I1572" i="7"/>
  <c r="Q1575" i="7"/>
  <c r="S1575" i="7" s="1"/>
  <c r="Q898" i="7"/>
  <c r="S898" i="7" s="1"/>
  <c r="M897" i="7"/>
  <c r="O897" i="7" s="1"/>
  <c r="Q984" i="7"/>
  <c r="S984" i="7" s="1"/>
  <c r="M981" i="7"/>
  <c r="O981" i="7" s="1"/>
  <c r="Q1097" i="7"/>
  <c r="S1097" i="7" s="1"/>
  <c r="Q1123" i="7"/>
  <c r="S1123" i="7" s="1"/>
  <c r="M1122" i="7"/>
  <c r="O1122" i="7" s="1"/>
  <c r="M1125" i="7"/>
  <c r="Q1446" i="7"/>
  <c r="S1446" i="7" s="1"/>
  <c r="M774" i="7"/>
  <c r="O774" i="7" s="1"/>
  <c r="M832" i="7"/>
  <c r="Q1013" i="7"/>
  <c r="S1013" i="7" s="1"/>
  <c r="Q1304" i="7"/>
  <c r="S1304" i="7" s="1"/>
  <c r="Q1370" i="7"/>
  <c r="S1370" i="7" s="1"/>
  <c r="M1404" i="7"/>
  <c r="M1412" i="7"/>
  <c r="M1428" i="7"/>
  <c r="I1462" i="7"/>
  <c r="Q1190" i="7"/>
  <c r="S1190" i="7" s="1"/>
  <c r="M1189" i="7"/>
  <c r="O1189" i="7" s="1"/>
  <c r="Q1338" i="7"/>
  <c r="S1338" i="7" s="1"/>
  <c r="I1337" i="7"/>
  <c r="Q1559" i="7"/>
  <c r="S1559" i="7" s="1"/>
  <c r="I1556" i="7"/>
  <c r="K1556" i="7" s="1"/>
  <c r="Q776" i="7"/>
  <c r="S776" i="7" s="1"/>
  <c r="Q887" i="7"/>
  <c r="S887" i="7" s="1"/>
  <c r="M886" i="7"/>
  <c r="O886" i="7" s="1"/>
  <c r="M932" i="7"/>
  <c r="Q963" i="7"/>
  <c r="S963" i="7" s="1"/>
  <c r="Q989" i="7"/>
  <c r="S989" i="7" s="1"/>
  <c r="I1106" i="7"/>
  <c r="Q1112" i="7"/>
  <c r="S1112" i="7" s="1"/>
  <c r="Q1386" i="7"/>
  <c r="S1386" i="7" s="1"/>
  <c r="I1385" i="7"/>
  <c r="K1385" i="7" s="1"/>
  <c r="M1445" i="7"/>
  <c r="Q1487" i="7"/>
  <c r="S1487" i="7" s="1"/>
  <c r="M1484" i="7"/>
  <c r="M1581" i="7"/>
  <c r="I764" i="7"/>
  <c r="K764" i="7" s="1"/>
  <c r="I808" i="7"/>
  <c r="K808" i="7" s="1"/>
  <c r="I841" i="7"/>
  <c r="I1167" i="7"/>
  <c r="Q1293" i="7"/>
  <c r="S1293" i="7" s="1"/>
  <c r="I1301" i="7"/>
  <c r="Q1325" i="7"/>
  <c r="S1325" i="7" s="1"/>
  <c r="I1315" i="7"/>
  <c r="K1315" i="7" s="1"/>
  <c r="I999" i="7"/>
  <c r="Q1027" i="7"/>
  <c r="S1027" i="7" s="1"/>
  <c r="I1194" i="7"/>
  <c r="Q1458" i="7"/>
  <c r="S1458" i="7" s="1"/>
  <c r="Q1465" i="7"/>
  <c r="S1465" i="7" s="1"/>
  <c r="Q1470" i="7"/>
  <c r="S1470" i="7" s="1"/>
  <c r="Q1534" i="7"/>
  <c r="S1534" i="7" s="1"/>
  <c r="Q1567" i="7"/>
  <c r="S1567" i="7" s="1"/>
  <c r="M1569" i="7"/>
  <c r="Q1034" i="7"/>
  <c r="S1034" i="7" s="1"/>
  <c r="M1033" i="7"/>
  <c r="O1033" i="7" s="1"/>
  <c r="Q1070" i="7"/>
  <c r="S1070" i="7" s="1"/>
  <c r="I1066" i="7"/>
  <c r="K1066" i="7" s="1"/>
  <c r="Q1332" i="7"/>
  <c r="S1332" i="7" s="1"/>
  <c r="Q1348" i="7"/>
  <c r="S1348" i="7" s="1"/>
  <c r="Q1393" i="7"/>
  <c r="S1393" i="7" s="1"/>
  <c r="Q1422" i="7"/>
  <c r="S1422" i="7" s="1"/>
  <c r="I607" i="7"/>
  <c r="K607" i="7" s="1"/>
  <c r="Q622" i="7"/>
  <c r="S622" i="7" s="1"/>
  <c r="I512" i="7"/>
  <c r="Q512" i="7" s="1"/>
  <c r="S512" i="7" s="1"/>
  <c r="I460" i="7"/>
  <c r="K460" i="7" s="1"/>
  <c r="M481" i="7"/>
  <c r="O481" i="7" s="1"/>
  <c r="M525" i="7"/>
  <c r="M522" i="7"/>
  <c r="O522" i="7" s="1"/>
  <c r="I334" i="7"/>
  <c r="Q351" i="7"/>
  <c r="S351" i="7" s="1"/>
  <c r="Q372" i="7"/>
  <c r="S372" i="7" s="1"/>
  <c r="M383" i="7"/>
  <c r="O383" i="7" s="1"/>
  <c r="I261" i="7"/>
  <c r="I265" i="7"/>
  <c r="K265" i="7" s="1"/>
  <c r="I275" i="7"/>
  <c r="K275" i="7" s="1"/>
  <c r="I207" i="7"/>
  <c r="I238" i="7"/>
  <c r="K238" i="7" s="1"/>
  <c r="I249" i="7"/>
  <c r="K249" i="7" s="1"/>
  <c r="M271" i="7"/>
  <c r="Q1404" i="7" l="1"/>
  <c r="S1404" i="7" s="1"/>
  <c r="Q1182" i="7"/>
  <c r="S1182" i="7" s="1"/>
  <c r="Q1322" i="7"/>
  <c r="S1322" i="7" s="1"/>
  <c r="Q1544" i="7"/>
  <c r="S1544" i="7" s="1"/>
  <c r="M902" i="7"/>
  <c r="O902" i="7" s="1"/>
  <c r="M246" i="7"/>
  <c r="O246" i="7" s="1"/>
  <c r="R199" i="7"/>
  <c r="M871" i="7"/>
  <c r="M862" i="7" s="1"/>
  <c r="Q862" i="7" s="1"/>
  <c r="S862" i="7" s="1"/>
  <c r="Q872" i="7"/>
  <c r="S872" i="7" s="1"/>
  <c r="Q1075" i="7"/>
  <c r="S1075" i="7" s="1"/>
  <c r="I135" i="7"/>
  <c r="Q204" i="7"/>
  <c r="S204" i="7" s="1"/>
  <c r="Q1254" i="7"/>
  <c r="S1254" i="7" s="1"/>
  <c r="Q853" i="7"/>
  <c r="S853" i="7" s="1"/>
  <c r="K13" i="8"/>
  <c r="Q1390" i="7"/>
  <c r="S1390" i="7" s="1"/>
  <c r="Q647" i="7"/>
  <c r="S647" i="7" s="1"/>
  <c r="B809" i="7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H7" i="8"/>
  <c r="K7" i="8" s="1"/>
  <c r="Q1751" i="7"/>
  <c r="S1751" i="7" s="1"/>
  <c r="I850" i="7"/>
  <c r="K850" i="7" s="1"/>
  <c r="Q2050" i="7"/>
  <c r="S2050" i="7" s="1"/>
  <c r="I795" i="7"/>
  <c r="K795" i="7" s="1"/>
  <c r="Q798" i="7"/>
  <c r="S798" i="7" s="1"/>
  <c r="Q1584" i="7"/>
  <c r="Q1581" i="7" s="1"/>
  <c r="S1581" i="7" s="1"/>
  <c r="I1581" i="7"/>
  <c r="K1581" i="7" s="1"/>
  <c r="M503" i="7"/>
  <c r="M500" i="7" s="1"/>
  <c r="O500" i="7" s="1"/>
  <c r="M229" i="7"/>
  <c r="O229" i="7" s="1"/>
  <c r="Q1397" i="7"/>
  <c r="S1397" i="7" s="1"/>
  <c r="Q1269" i="7"/>
  <c r="S1269" i="7" s="1"/>
  <c r="I366" i="7"/>
  <c r="K366" i="7" s="1"/>
  <c r="I1773" i="7"/>
  <c r="Q1773" i="7" s="1"/>
  <c r="S1773" i="7" s="1"/>
  <c r="Q1564" i="7"/>
  <c r="S1564" i="7" s="1"/>
  <c r="Q1052" i="7"/>
  <c r="S1052" i="7" s="1"/>
  <c r="Q2119" i="7"/>
  <c r="S2119" i="7" s="1"/>
  <c r="Q777" i="7"/>
  <c r="S777" i="7" s="1"/>
  <c r="Q329" i="7"/>
  <c r="S329" i="7" s="1"/>
  <c r="I1040" i="7"/>
  <c r="Q1040" i="7" s="1"/>
  <c r="S1040" i="7" s="1"/>
  <c r="N456" i="7"/>
  <c r="H9" i="8" s="1"/>
  <c r="K9" i="8" s="1"/>
  <c r="Q369" i="7"/>
  <c r="S369" i="7" s="1"/>
  <c r="Q1412" i="7"/>
  <c r="S1412" i="7" s="1"/>
  <c r="Q1138" i="7"/>
  <c r="S1138" i="7" s="1"/>
  <c r="Q1774" i="7"/>
  <c r="S1774" i="7" s="1"/>
  <c r="Q218" i="7"/>
  <c r="S218" i="7" s="1"/>
  <c r="Q1231" i="7"/>
  <c r="S1231" i="7" s="1"/>
  <c r="M214" i="7"/>
  <c r="Q214" i="7" s="1"/>
  <c r="S214" i="7" s="1"/>
  <c r="Q504" i="7"/>
  <c r="S504" i="7" s="1"/>
  <c r="Q232" i="7"/>
  <c r="S232" i="7" s="1"/>
  <c r="Q1419" i="7"/>
  <c r="S1419" i="7" s="1"/>
  <c r="I1749" i="7"/>
  <c r="K1749" i="7" s="1"/>
  <c r="Q355" i="7"/>
  <c r="S355" i="7" s="1"/>
  <c r="Q1846" i="7"/>
  <c r="S1846" i="7" s="1"/>
  <c r="I1125" i="7"/>
  <c r="K1125" i="7" s="1"/>
  <c r="M816" i="7"/>
  <c r="O816" i="7" s="1"/>
  <c r="Q865" i="7"/>
  <c r="S865" i="7" s="1"/>
  <c r="Q860" i="7"/>
  <c r="S860" i="7" s="1"/>
  <c r="R19" i="7"/>
  <c r="R9" i="7"/>
  <c r="Q912" i="7"/>
  <c r="S912" i="7" s="1"/>
  <c r="M1677" i="7"/>
  <c r="O1677" i="7" s="1"/>
  <c r="M1541" i="7"/>
  <c r="M1522" i="7" s="1"/>
  <c r="Q220" i="7"/>
  <c r="S220" i="7" s="1"/>
  <c r="Q1329" i="7"/>
  <c r="S1329" i="7" s="1"/>
  <c r="R68" i="7"/>
  <c r="I915" i="7"/>
  <c r="K915" i="7" s="1"/>
  <c r="K918" i="7"/>
  <c r="Q1834" i="7"/>
  <c r="S1834" i="7" s="1"/>
  <c r="K1834" i="7"/>
  <c r="I953" i="7"/>
  <c r="K953" i="7" s="1"/>
  <c r="K956" i="7"/>
  <c r="M1764" i="7"/>
  <c r="O1764" i="7" s="1"/>
  <c r="O1770" i="7"/>
  <c r="Q1770" i="7"/>
  <c r="S1770" i="7" s="1"/>
  <c r="N762" i="7"/>
  <c r="Q924" i="7"/>
  <c r="S924" i="7" s="1"/>
  <c r="K924" i="7"/>
  <c r="Q1643" i="7"/>
  <c r="S1643" i="7" s="1"/>
  <c r="K1643" i="7"/>
  <c r="Q1352" i="7"/>
  <c r="S1352" i="7" s="1"/>
  <c r="K1352" i="7"/>
  <c r="J32" i="7"/>
  <c r="I832" i="7"/>
  <c r="K832" i="7" s="1"/>
  <c r="K835" i="7"/>
  <c r="I488" i="7"/>
  <c r="K491" i="7"/>
  <c r="I986" i="7"/>
  <c r="Q986" i="7" s="1"/>
  <c r="S986" i="7" s="1"/>
  <c r="K999" i="7"/>
  <c r="Q1088" i="7"/>
  <c r="S1088" i="7" s="1"/>
  <c r="O1088" i="7"/>
  <c r="Q1501" i="7"/>
  <c r="S1501" i="7" s="1"/>
  <c r="O1501" i="7"/>
  <c r="Q1960" i="7"/>
  <c r="S1960" i="7" s="1"/>
  <c r="K1960" i="7"/>
  <c r="R27" i="7"/>
  <c r="K1223" i="7"/>
  <c r="I1220" i="7"/>
  <c r="I1211" i="7" s="1"/>
  <c r="K1211" i="7" s="1"/>
  <c r="Q620" i="7"/>
  <c r="S620" i="7" s="1"/>
  <c r="O620" i="7"/>
  <c r="Q1972" i="7"/>
  <c r="S1972" i="7" s="1"/>
  <c r="K1972" i="7"/>
  <c r="Q334" i="7"/>
  <c r="S334" i="7" s="1"/>
  <c r="K334" i="7"/>
  <c r="Q525" i="7"/>
  <c r="S525" i="7" s="1"/>
  <c r="O525" i="7"/>
  <c r="Q1167" i="7"/>
  <c r="S1167" i="7" s="1"/>
  <c r="K1167" i="7"/>
  <c r="I1569" i="7"/>
  <c r="K1572" i="7"/>
  <c r="Q2044" i="7"/>
  <c r="S2044" i="7" s="1"/>
  <c r="K2044" i="7"/>
  <c r="Q1375" i="7"/>
  <c r="S1375" i="7" s="1"/>
  <c r="K1375" i="7"/>
  <c r="Q1845" i="7"/>
  <c r="S1845" i="7" s="1"/>
  <c r="K1845" i="7"/>
  <c r="Q1882" i="7"/>
  <c r="S1882" i="7" s="1"/>
  <c r="K1882" i="7"/>
  <c r="Q1666" i="7"/>
  <c r="S1666" i="7" s="1"/>
  <c r="K1666" i="7"/>
  <c r="Q1856" i="7"/>
  <c r="S1856" i="7" s="1"/>
  <c r="K1856" i="7"/>
  <c r="Q508" i="7"/>
  <c r="S508" i="7" s="1"/>
  <c r="K508" i="7"/>
  <c r="I356" i="7"/>
  <c r="K355" i="7"/>
  <c r="O591" i="7"/>
  <c r="R591" i="7"/>
  <c r="Q1091" i="7"/>
  <c r="S1091" i="7" s="1"/>
  <c r="O1091" i="7"/>
  <c r="Q844" i="7"/>
  <c r="S844" i="7" s="1"/>
  <c r="K844" i="7"/>
  <c r="I790" i="7"/>
  <c r="K791" i="7"/>
  <c r="J23" i="7"/>
  <c r="Q884" i="7"/>
  <c r="S884" i="7" s="1"/>
  <c r="O884" i="7"/>
  <c r="Q1810" i="7"/>
  <c r="S1810" i="7" s="1"/>
  <c r="O1810" i="7"/>
  <c r="Q698" i="7"/>
  <c r="S698" i="7" s="1"/>
  <c r="O698" i="7"/>
  <c r="Q1934" i="7"/>
  <c r="S1934" i="7" s="1"/>
  <c r="K1934" i="7"/>
  <c r="I1930" i="7"/>
  <c r="Q877" i="7"/>
  <c r="S877" i="7" s="1"/>
  <c r="K877" i="7"/>
  <c r="I2118" i="7"/>
  <c r="Q1345" i="7"/>
  <c r="S1345" i="7" s="1"/>
  <c r="Q835" i="7"/>
  <c r="S835" i="7" s="1"/>
  <c r="O604" i="7"/>
  <c r="Q1484" i="7"/>
  <c r="S1484" i="7" s="1"/>
  <c r="Q1428" i="7"/>
  <c r="S1428" i="7" s="1"/>
  <c r="Q258" i="7"/>
  <c r="S258" i="7" s="1"/>
  <c r="Q2041" i="7"/>
  <c r="S2041" i="7" s="1"/>
  <c r="Q1223" i="7"/>
  <c r="S1223" i="7" s="1"/>
  <c r="Q1638" i="7"/>
  <c r="S1638" i="7" s="1"/>
  <c r="Q1649" i="7"/>
  <c r="S1649" i="7" s="1"/>
  <c r="Q207" i="7"/>
  <c r="S207" i="7" s="1"/>
  <c r="K207" i="7"/>
  <c r="O1125" i="7"/>
  <c r="Q1246" i="7"/>
  <c r="S1246" i="7" s="1"/>
  <c r="K1246" i="7"/>
  <c r="I1844" i="7"/>
  <c r="K1844" i="7" s="1"/>
  <c r="K1849" i="7"/>
  <c r="Q1022" i="7"/>
  <c r="S1022" i="7" s="1"/>
  <c r="K1022" i="7"/>
  <c r="Q135" i="7"/>
  <c r="S135" i="7" s="1"/>
  <c r="K135" i="7"/>
  <c r="I1683" i="7"/>
  <c r="I1673" i="7" s="1"/>
  <c r="K1673" i="7" s="1"/>
  <c r="K1686" i="7"/>
  <c r="I588" i="7"/>
  <c r="K589" i="7"/>
  <c r="Q472" i="7"/>
  <c r="S472" i="7" s="1"/>
  <c r="O472" i="7"/>
  <c r="H8" i="8"/>
  <c r="Q613" i="7"/>
  <c r="S613" i="7" s="1"/>
  <c r="O613" i="7"/>
  <c r="I972" i="7"/>
  <c r="K975" i="7"/>
  <c r="Q225" i="7"/>
  <c r="S225" i="7" s="1"/>
  <c r="K225" i="7"/>
  <c r="Q261" i="7"/>
  <c r="S261" i="7" s="1"/>
  <c r="K261" i="7"/>
  <c r="K1301" i="7"/>
  <c r="O862" i="7"/>
  <c r="Q2019" i="7"/>
  <c r="S2019" i="7" s="1"/>
  <c r="K2019" i="7"/>
  <c r="I1623" i="7"/>
  <c r="K1624" i="7"/>
  <c r="Q497" i="7"/>
  <c r="S497" i="7" s="1"/>
  <c r="O497" i="7"/>
  <c r="Q1823" i="7"/>
  <c r="S1823" i="7" s="1"/>
  <c r="K1823" i="7"/>
  <c r="I500" i="7"/>
  <c r="K500" i="7" s="1"/>
  <c r="K501" i="7"/>
  <c r="Q271" i="7"/>
  <c r="S271" i="7" s="1"/>
  <c r="O271" i="7"/>
  <c r="Q345" i="7"/>
  <c r="S345" i="7" s="1"/>
  <c r="K345" i="7"/>
  <c r="I511" i="7"/>
  <c r="K511" i="7" s="1"/>
  <c r="K512" i="7"/>
  <c r="Q697" i="7"/>
  <c r="S697" i="7" s="1"/>
  <c r="O697" i="7"/>
  <c r="Q1194" i="7"/>
  <c r="S1194" i="7" s="1"/>
  <c r="K1194" i="7"/>
  <c r="Q841" i="7"/>
  <c r="S841" i="7" s="1"/>
  <c r="K841" i="7"/>
  <c r="Q1106" i="7"/>
  <c r="S1106" i="7" s="1"/>
  <c r="K1106" i="7"/>
  <c r="Q1462" i="7"/>
  <c r="S1462" i="7" s="1"/>
  <c r="K1462" i="7"/>
  <c r="Q941" i="7"/>
  <c r="S941" i="7" s="1"/>
  <c r="O941" i="7"/>
  <c r="Q1036" i="7"/>
  <c r="S1036" i="7" s="1"/>
  <c r="O1036" i="7"/>
  <c r="Q1620" i="7"/>
  <c r="S1620" i="7" s="1"/>
  <c r="K1620" i="7"/>
  <c r="Q1855" i="7"/>
  <c r="S1855" i="7" s="1"/>
  <c r="K1855" i="7"/>
  <c r="M2016" i="7"/>
  <c r="O2027" i="7"/>
  <c r="I592" i="7"/>
  <c r="K593" i="7"/>
  <c r="Q348" i="7"/>
  <c r="S348" i="7" s="1"/>
  <c r="K348" i="7"/>
  <c r="Q1674" i="7"/>
  <c r="S1674" i="7" s="1"/>
  <c r="K1674" i="7"/>
  <c r="I932" i="7"/>
  <c r="K932" i="7" s="1"/>
  <c r="K935" i="7"/>
  <c r="Q143" i="7"/>
  <c r="S143" i="7" s="1"/>
  <c r="K143" i="7"/>
  <c r="H14" i="8"/>
  <c r="K14" i="8" s="1"/>
  <c r="I1693" i="7"/>
  <c r="K1693" i="7" s="1"/>
  <c r="K1706" i="7"/>
  <c r="Q950" i="7"/>
  <c r="S950" i="7" s="1"/>
  <c r="O950" i="7"/>
  <c r="Q2034" i="7"/>
  <c r="S2034" i="7" s="1"/>
  <c r="K2034" i="7"/>
  <c r="M1984" i="7"/>
  <c r="O1984" i="7" s="1"/>
  <c r="O1985" i="7"/>
  <c r="M953" i="7"/>
  <c r="O953" i="7" s="1"/>
  <c r="Q1285" i="7"/>
  <c r="S1285" i="7" s="1"/>
  <c r="M1642" i="7"/>
  <c r="R34" i="7"/>
  <c r="M471" i="7"/>
  <c r="M617" i="7"/>
  <c r="O617" i="7" s="1"/>
  <c r="Q1456" i="7"/>
  <c r="S1456" i="7" s="1"/>
  <c r="I1445" i="7"/>
  <c r="K1445" i="7" s="1"/>
  <c r="Q819" i="7"/>
  <c r="S819" i="7" s="1"/>
  <c r="I1957" i="7"/>
  <c r="K1957" i="7" s="1"/>
  <c r="Q2027" i="7"/>
  <c r="S2027" i="7" s="1"/>
  <c r="Q2124" i="7"/>
  <c r="S2124" i="7" s="1"/>
  <c r="I1010" i="7"/>
  <c r="K1010" i="7" s="1"/>
  <c r="I1966" i="7"/>
  <c r="Q822" i="7"/>
  <c r="S822" i="7" s="1"/>
  <c r="I2040" i="7"/>
  <c r="Q1680" i="7"/>
  <c r="S1680" i="7" s="1"/>
  <c r="I2049" i="7"/>
  <c r="M859" i="7"/>
  <c r="Q859" i="7" s="1"/>
  <c r="S859" i="7" s="1"/>
  <c r="Q1864" i="7"/>
  <c r="S1864" i="7" s="1"/>
  <c r="E12" i="8"/>
  <c r="K12" i="8" s="1"/>
  <c r="R456" i="7"/>
  <c r="R328" i="7"/>
  <c r="E8" i="8"/>
  <c r="I111" i="2"/>
  <c r="E15" i="8"/>
  <c r="K15" i="8" s="1"/>
  <c r="R1929" i="7"/>
  <c r="Q1337" i="7"/>
  <c r="S1337" i="7" s="1"/>
  <c r="K1337" i="7"/>
  <c r="R966" i="7"/>
  <c r="J762" i="7"/>
  <c r="I401" i="2"/>
  <c r="I56" i="2"/>
  <c r="I405" i="2"/>
  <c r="I409" i="2"/>
  <c r="I224" i="2"/>
  <c r="I192" i="2"/>
  <c r="H10" i="8"/>
  <c r="R587" i="7"/>
  <c r="I427" i="2"/>
  <c r="I420" i="2"/>
  <c r="I9" i="2"/>
  <c r="M1868" i="7"/>
  <c r="Q1875" i="7"/>
  <c r="S1875" i="7" s="1"/>
  <c r="Q2004" i="7"/>
  <c r="S2004" i="7" s="1"/>
  <c r="I2003" i="7"/>
  <c r="K2003" i="7" s="1"/>
  <c r="I2043" i="7"/>
  <c r="I1179" i="7"/>
  <c r="K1179" i="7" s="1"/>
  <c r="I1820" i="7"/>
  <c r="I1802" i="7" s="1"/>
  <c r="K1802" i="7" s="1"/>
  <c r="Q935" i="7"/>
  <c r="S935" i="7" s="1"/>
  <c r="I2016" i="7"/>
  <c r="M488" i="7"/>
  <c r="Q593" i="7"/>
  <c r="S593" i="7" s="1"/>
  <c r="I774" i="7"/>
  <c r="K774" i="7" s="1"/>
  <c r="Q956" i="7"/>
  <c r="S956" i="7" s="1"/>
  <c r="Q1301" i="7"/>
  <c r="S1301" i="7" s="1"/>
  <c r="I1879" i="7"/>
  <c r="Q1879" i="7" s="1"/>
  <c r="S1879" i="7" s="1"/>
  <c r="N32" i="7"/>
  <c r="R41" i="7"/>
  <c r="Q140" i="7"/>
  <c r="S140" i="7" s="1"/>
  <c r="I134" i="7"/>
  <c r="K134" i="7" s="1"/>
  <c r="Q905" i="7"/>
  <c r="S905" i="7" s="1"/>
  <c r="I902" i="7"/>
  <c r="Q201" i="7"/>
  <c r="S201" i="7" s="1"/>
  <c r="I200" i="7"/>
  <c r="N47" i="7"/>
  <c r="R55" i="7"/>
  <c r="N66" i="7"/>
  <c r="R67" i="7"/>
  <c r="Q1871" i="7"/>
  <c r="S1871" i="7" s="1"/>
  <c r="I1868" i="7"/>
  <c r="K1868" i="7" s="1"/>
  <c r="Q918" i="7"/>
  <c r="S918" i="7" s="1"/>
  <c r="Q915" i="7"/>
  <c r="S915" i="7" s="1"/>
  <c r="I391" i="7"/>
  <c r="Q392" i="7"/>
  <c r="S392" i="7" s="1"/>
  <c r="I203" i="7"/>
  <c r="K203" i="7" s="1"/>
  <c r="I1153" i="7"/>
  <c r="M1063" i="7"/>
  <c r="O1063" i="7" s="1"/>
  <c r="I1094" i="7"/>
  <c r="K1094" i="7" s="1"/>
  <c r="Q1467" i="7"/>
  <c r="S1467" i="7" s="1"/>
  <c r="N8" i="7"/>
  <c r="Q1947" i="7"/>
  <c r="S1947" i="7" s="1"/>
  <c r="I1943" i="7"/>
  <c r="K1943" i="7" s="1"/>
  <c r="Q1988" i="7"/>
  <c r="S1988" i="7" s="1"/>
  <c r="I1985" i="7"/>
  <c r="K1985" i="7" s="1"/>
  <c r="I2059" i="7"/>
  <c r="K2059" i="7" s="1"/>
  <c r="Q2062" i="7"/>
  <c r="S2062" i="7" s="1"/>
  <c r="I2030" i="7"/>
  <c r="Q2031" i="7"/>
  <c r="S2031" i="7" s="1"/>
  <c r="Q2028" i="7"/>
  <c r="Q1813" i="7"/>
  <c r="S1813" i="7" s="1"/>
  <c r="M1802" i="7"/>
  <c r="O1802" i="7" s="1"/>
  <c r="Q1852" i="7"/>
  <c r="S1852" i="7" s="1"/>
  <c r="M1849" i="7"/>
  <c r="O1849" i="7" s="1"/>
  <c r="Q1766" i="7"/>
  <c r="S1766" i="7" s="1"/>
  <c r="Q1783" i="7"/>
  <c r="S1783" i="7" s="1"/>
  <c r="Q1741" i="7"/>
  <c r="S1741" i="7" s="1"/>
  <c r="I1740" i="7"/>
  <c r="Q1660" i="7"/>
  <c r="S1660" i="7" s="1"/>
  <c r="M1656" i="7"/>
  <c r="O1656" i="7" s="1"/>
  <c r="Q1700" i="7"/>
  <c r="S1700" i="7" s="1"/>
  <c r="M1694" i="7"/>
  <c r="O1694" i="7" s="1"/>
  <c r="I1653" i="7"/>
  <c r="K1653" i="7" s="1"/>
  <c r="Q1663" i="7"/>
  <c r="S1663" i="7" s="1"/>
  <c r="I1063" i="7"/>
  <c r="Q1066" i="7"/>
  <c r="S1066" i="7" s="1"/>
  <c r="Q764" i="7"/>
  <c r="S764" i="7" s="1"/>
  <c r="Q1385" i="7"/>
  <c r="S1385" i="7" s="1"/>
  <c r="I1382" i="7"/>
  <c r="K1382" i="7" s="1"/>
  <c r="Q886" i="7"/>
  <c r="S886" i="7" s="1"/>
  <c r="M883" i="7"/>
  <c r="Q897" i="7"/>
  <c r="S897" i="7" s="1"/>
  <c r="M888" i="7"/>
  <c r="Q808" i="7"/>
  <c r="S808" i="7" s="1"/>
  <c r="I803" i="7"/>
  <c r="K803" i="7" s="1"/>
  <c r="M1010" i="7"/>
  <c r="Q1033" i="7"/>
  <c r="S1033" i="7" s="1"/>
  <c r="I1546" i="7"/>
  <c r="Q1556" i="7"/>
  <c r="S1556" i="7" s="1"/>
  <c r="M1179" i="7"/>
  <c r="Q1189" i="7"/>
  <c r="S1189" i="7" s="1"/>
  <c r="M1118" i="7"/>
  <c r="O1118" i="7" s="1"/>
  <c r="Q1122" i="7"/>
  <c r="S1122" i="7" s="1"/>
  <c r="Q981" i="7"/>
  <c r="S981" i="7" s="1"/>
  <c r="M972" i="7"/>
  <c r="O972" i="7" s="1"/>
  <c r="Q1277" i="7"/>
  <c r="S1277" i="7" s="1"/>
  <c r="M1211" i="7"/>
  <c r="Q1315" i="7"/>
  <c r="S1315" i="7" s="1"/>
  <c r="Q999" i="7"/>
  <c r="S999" i="7" s="1"/>
  <c r="M1563" i="7"/>
  <c r="Q1572" i="7"/>
  <c r="S1572" i="7" s="1"/>
  <c r="M1321" i="7"/>
  <c r="M874" i="7"/>
  <c r="M616" i="7"/>
  <c r="O616" i="7" s="1"/>
  <c r="Q607" i="7"/>
  <c r="S607" i="7" s="1"/>
  <c r="I604" i="7"/>
  <c r="K604" i="7" s="1"/>
  <c r="Q460" i="7"/>
  <c r="S460" i="7" s="1"/>
  <c r="I457" i="7"/>
  <c r="M478" i="7"/>
  <c r="O478" i="7" s="1"/>
  <c r="Q481" i="7"/>
  <c r="S481" i="7" s="1"/>
  <c r="M511" i="7"/>
  <c r="Q522" i="7"/>
  <c r="S522" i="7" s="1"/>
  <c r="M377" i="7"/>
  <c r="O377" i="7" s="1"/>
  <c r="Q383" i="7"/>
  <c r="S383" i="7" s="1"/>
  <c r="Q238" i="7"/>
  <c r="S238" i="7" s="1"/>
  <c r="I235" i="7"/>
  <c r="K235" i="7" s="1"/>
  <c r="Q249" i="7"/>
  <c r="S249" i="7" s="1"/>
  <c r="I246" i="7"/>
  <c r="Q275" i="7"/>
  <c r="S275" i="7" s="1"/>
  <c r="Q229" i="7"/>
  <c r="S229" i="7" s="1"/>
  <c r="M270" i="7"/>
  <c r="O270" i="7" s="1"/>
  <c r="M224" i="7" l="1"/>
  <c r="O224" i="7" s="1"/>
  <c r="I1764" i="7"/>
  <c r="O871" i="7"/>
  <c r="K1773" i="7"/>
  <c r="Q871" i="7"/>
  <c r="S871" i="7" s="1"/>
  <c r="I1956" i="7"/>
  <c r="S1584" i="7"/>
  <c r="O503" i="7"/>
  <c r="Q503" i="7"/>
  <c r="S503" i="7" s="1"/>
  <c r="Q366" i="7"/>
  <c r="S366" i="7" s="1"/>
  <c r="I365" i="7"/>
  <c r="K365" i="7" s="1"/>
  <c r="I1748" i="7"/>
  <c r="K1748" i="7" s="1"/>
  <c r="Q1957" i="7"/>
  <c r="S1957" i="7" s="1"/>
  <c r="Q1541" i="7"/>
  <c r="S1541" i="7" s="1"/>
  <c r="O214" i="7"/>
  <c r="Q1749" i="7"/>
  <c r="S1749" i="7" s="1"/>
  <c r="M203" i="7"/>
  <c r="O203" i="7" s="1"/>
  <c r="Q816" i="7"/>
  <c r="S816" i="7" s="1"/>
  <c r="Q617" i="7"/>
  <c r="S617" i="7" s="1"/>
  <c r="Q795" i="7"/>
  <c r="S795" i="7" s="1"/>
  <c r="O1541" i="7"/>
  <c r="Q953" i="7"/>
  <c r="S953" i="7" s="1"/>
  <c r="K1040" i="7"/>
  <c r="K986" i="7"/>
  <c r="M1673" i="7"/>
  <c r="O1673" i="7" s="1"/>
  <c r="Q932" i="7"/>
  <c r="S932" i="7" s="1"/>
  <c r="Q500" i="7"/>
  <c r="S500" i="7" s="1"/>
  <c r="Q1677" i="7"/>
  <c r="S1677" i="7" s="1"/>
  <c r="Q1125" i="7"/>
  <c r="S1125" i="7" s="1"/>
  <c r="M803" i="7"/>
  <c r="O803" i="7" s="1"/>
  <c r="Q2118" i="7"/>
  <c r="S2118" i="7" s="1"/>
  <c r="Q832" i="7"/>
  <c r="S832" i="7" s="1"/>
  <c r="R762" i="7"/>
  <c r="K8" i="8"/>
  <c r="Q1211" i="7"/>
  <c r="S1211" i="7" s="1"/>
  <c r="O1211" i="7"/>
  <c r="Q1179" i="7"/>
  <c r="S1179" i="7" s="1"/>
  <c r="O1179" i="7"/>
  <c r="Q1956" i="7"/>
  <c r="S1956" i="7" s="1"/>
  <c r="K1956" i="7"/>
  <c r="I1878" i="7"/>
  <c r="K1878" i="7" s="1"/>
  <c r="K1879" i="7"/>
  <c r="Q2049" i="7"/>
  <c r="S2049" i="7" s="1"/>
  <c r="K2049" i="7"/>
  <c r="Q1642" i="7"/>
  <c r="S1642" i="7" s="1"/>
  <c r="O1642" i="7"/>
  <c r="M2009" i="7"/>
  <c r="O2016" i="7"/>
  <c r="K972" i="7"/>
  <c r="I971" i="7"/>
  <c r="K971" i="7" s="1"/>
  <c r="K588" i="7"/>
  <c r="Q588" i="7"/>
  <c r="S588" i="7" s="1"/>
  <c r="Q874" i="7"/>
  <c r="S874" i="7" s="1"/>
  <c r="O874" i="7"/>
  <c r="Q888" i="7"/>
  <c r="S888" i="7" s="1"/>
  <c r="O888" i="7"/>
  <c r="I2009" i="7"/>
  <c r="K2016" i="7"/>
  <c r="Q2043" i="7"/>
  <c r="S2043" i="7" s="1"/>
  <c r="K2043" i="7"/>
  <c r="M850" i="7"/>
  <c r="O859" i="7"/>
  <c r="I2117" i="7"/>
  <c r="K2118" i="7"/>
  <c r="Q1930" i="7"/>
  <c r="S1930" i="7" s="1"/>
  <c r="K1930" i="7"/>
  <c r="I1931" i="7"/>
  <c r="Q790" i="7"/>
  <c r="S790" i="7" s="1"/>
  <c r="K790" i="7"/>
  <c r="Q356" i="7"/>
  <c r="S356" i="7" s="1"/>
  <c r="K356" i="7"/>
  <c r="I1563" i="7"/>
  <c r="K1563" i="7" s="1"/>
  <c r="K1569" i="7"/>
  <c r="I475" i="7"/>
  <c r="K475" i="7" s="1"/>
  <c r="K488" i="7"/>
  <c r="H11" i="8"/>
  <c r="Q511" i="7"/>
  <c r="S511" i="7" s="1"/>
  <c r="O511" i="7"/>
  <c r="Q1546" i="7"/>
  <c r="S1546" i="7" s="1"/>
  <c r="K1546" i="7"/>
  <c r="Q1764" i="7"/>
  <c r="S1764" i="7" s="1"/>
  <c r="K1764" i="7"/>
  <c r="Q902" i="7"/>
  <c r="S902" i="7" s="1"/>
  <c r="K902" i="7"/>
  <c r="Q2040" i="7"/>
  <c r="S2040" i="7" s="1"/>
  <c r="K2040" i="7"/>
  <c r="Q471" i="7"/>
  <c r="S471" i="7" s="1"/>
  <c r="O471" i="7"/>
  <c r="M457" i="7"/>
  <c r="O457" i="7" s="1"/>
  <c r="K592" i="7"/>
  <c r="Q592" i="7"/>
  <c r="S592" i="7" s="1"/>
  <c r="Q1683" i="7"/>
  <c r="S1683" i="7" s="1"/>
  <c r="K1683" i="7"/>
  <c r="K1220" i="7"/>
  <c r="Q1220" i="7"/>
  <c r="S1220" i="7" s="1"/>
  <c r="M1739" i="7"/>
  <c r="Q1445" i="7"/>
  <c r="S1445" i="7" s="1"/>
  <c r="Q774" i="7"/>
  <c r="S774" i="7" s="1"/>
  <c r="Q2016" i="7"/>
  <c r="S2016" i="7" s="1"/>
  <c r="Q1569" i="7"/>
  <c r="S1569" i="7" s="1"/>
  <c r="M1965" i="7"/>
  <c r="O1965" i="7" s="1"/>
  <c r="Q1010" i="7"/>
  <c r="S1010" i="7" s="1"/>
  <c r="O1010" i="7"/>
  <c r="Q1748" i="7"/>
  <c r="S1748" i="7" s="1"/>
  <c r="Q200" i="7"/>
  <c r="S200" i="7" s="1"/>
  <c r="K200" i="7"/>
  <c r="Q1623" i="7"/>
  <c r="S1623" i="7" s="1"/>
  <c r="K1623" i="7"/>
  <c r="Q2030" i="7"/>
  <c r="S2030" i="7" s="1"/>
  <c r="K2030" i="7"/>
  <c r="R32" i="7"/>
  <c r="Q488" i="7"/>
  <c r="S488" i="7" s="1"/>
  <c r="O488" i="7"/>
  <c r="M1867" i="7"/>
  <c r="O1867" i="7" s="1"/>
  <c r="O1868" i="7"/>
  <c r="Q246" i="7"/>
  <c r="S246" i="7" s="1"/>
  <c r="K246" i="7"/>
  <c r="K457" i="7"/>
  <c r="Q883" i="7"/>
  <c r="S883" i="7" s="1"/>
  <c r="O883" i="7"/>
  <c r="Q1740" i="7"/>
  <c r="S1740" i="7" s="1"/>
  <c r="K1740" i="7"/>
  <c r="Q1153" i="7"/>
  <c r="S1153" i="7" s="1"/>
  <c r="K1153" i="7"/>
  <c r="Q391" i="7"/>
  <c r="S391" i="7" s="1"/>
  <c r="K391" i="7"/>
  <c r="R47" i="7"/>
  <c r="Q1820" i="7"/>
  <c r="S1820" i="7" s="1"/>
  <c r="K1820" i="7"/>
  <c r="Q1966" i="7"/>
  <c r="S1966" i="7" s="1"/>
  <c r="K1966" i="7"/>
  <c r="J22" i="7"/>
  <c r="R23" i="7"/>
  <c r="Q1522" i="7"/>
  <c r="S1522" i="7" s="1"/>
  <c r="O1522" i="7"/>
  <c r="Q1063" i="7"/>
  <c r="S1063" i="7" s="1"/>
  <c r="K1063" i="7"/>
  <c r="B978" i="7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E11" i="8"/>
  <c r="I188" i="2"/>
  <c r="K10" i="8"/>
  <c r="I426" i="2"/>
  <c r="I419" i="2"/>
  <c r="I368" i="2"/>
  <c r="I367" i="2" s="1"/>
  <c r="I8" i="2"/>
  <c r="Q134" i="7"/>
  <c r="S134" i="7" s="1"/>
  <c r="D6" i="8"/>
  <c r="F6" i="8" s="1"/>
  <c r="Q2003" i="7"/>
  <c r="S2003" i="7" s="1"/>
  <c r="I1998" i="7"/>
  <c r="I789" i="7"/>
  <c r="N65" i="7"/>
  <c r="R65" i="7" s="1"/>
  <c r="R66" i="7"/>
  <c r="Q1868" i="7"/>
  <c r="S1868" i="7" s="1"/>
  <c r="I1867" i="7"/>
  <c r="Q1802" i="7"/>
  <c r="S1802" i="7" s="1"/>
  <c r="N7" i="7"/>
  <c r="Q1943" i="7"/>
  <c r="S1943" i="7" s="1"/>
  <c r="I1942" i="7"/>
  <c r="I2058" i="7"/>
  <c r="K2058" i="7" s="1"/>
  <c r="Q2059" i="7"/>
  <c r="S2059" i="7" s="1"/>
  <c r="Q1985" i="7"/>
  <c r="S1985" i="7" s="1"/>
  <c r="I1984" i="7"/>
  <c r="K1984" i="7" s="1"/>
  <c r="M1844" i="7"/>
  <c r="O1844" i="7" s="1"/>
  <c r="Q1849" i="7"/>
  <c r="S1849" i="7" s="1"/>
  <c r="M1693" i="7"/>
  <c r="O1693" i="7" s="1"/>
  <c r="Q1694" i="7"/>
  <c r="S1694" i="7" s="1"/>
  <c r="M1653" i="7"/>
  <c r="Q1656" i="7"/>
  <c r="S1656" i="7" s="1"/>
  <c r="M1314" i="7"/>
  <c r="O1314" i="7" s="1"/>
  <c r="Q972" i="7"/>
  <c r="S972" i="7" s="1"/>
  <c r="M971" i="7"/>
  <c r="O971" i="7" s="1"/>
  <c r="Q1118" i="7"/>
  <c r="S1118" i="7" s="1"/>
  <c r="M1094" i="7"/>
  <c r="I1321" i="7"/>
  <c r="Q1382" i="7"/>
  <c r="S1382" i="7" s="1"/>
  <c r="M587" i="7"/>
  <c r="Q616" i="7"/>
  <c r="S616" i="7" s="1"/>
  <c r="Q604" i="7"/>
  <c r="S604" i="7" s="1"/>
  <c r="I591" i="7"/>
  <c r="K591" i="7" s="1"/>
  <c r="M475" i="7"/>
  <c r="O475" i="7" s="1"/>
  <c r="Q478" i="7"/>
  <c r="S478" i="7" s="1"/>
  <c r="M328" i="7"/>
  <c r="Q377" i="7"/>
  <c r="S377" i="7" s="1"/>
  <c r="Q270" i="7"/>
  <c r="S270" i="7" s="1"/>
  <c r="M265" i="7"/>
  <c r="O265" i="7" s="1"/>
  <c r="Q235" i="7"/>
  <c r="S235" i="7" s="1"/>
  <c r="I224" i="7"/>
  <c r="K224" i="7" s="1"/>
  <c r="Q203" i="7" l="1"/>
  <c r="S203" i="7" s="1"/>
  <c r="I328" i="7"/>
  <c r="K328" i="7" s="1"/>
  <c r="Q365" i="7"/>
  <c r="S365" i="7" s="1"/>
  <c r="I1739" i="7"/>
  <c r="K1739" i="7" s="1"/>
  <c r="Q1673" i="7"/>
  <c r="S1673" i="7" s="1"/>
  <c r="Q1563" i="7"/>
  <c r="S1563" i="7" s="1"/>
  <c r="Q457" i="7"/>
  <c r="S457" i="7" s="1"/>
  <c r="Q1878" i="7"/>
  <c r="S1878" i="7" s="1"/>
  <c r="Q803" i="7"/>
  <c r="S803" i="7" s="1"/>
  <c r="I966" i="7"/>
  <c r="K966" i="7" s="1"/>
  <c r="I456" i="7"/>
  <c r="K456" i="7" s="1"/>
  <c r="M789" i="7"/>
  <c r="O789" i="7" s="1"/>
  <c r="Q1931" i="7"/>
  <c r="S1931" i="7" s="1"/>
  <c r="K1931" i="7"/>
  <c r="K2117" i="7"/>
  <c r="Q2117" i="7"/>
  <c r="S2117" i="7" s="1"/>
  <c r="D16" i="8"/>
  <c r="F16" i="8" s="1"/>
  <c r="O2009" i="7"/>
  <c r="M1929" i="7"/>
  <c r="G10" i="8"/>
  <c r="I10" i="8" s="1"/>
  <c r="O587" i="7"/>
  <c r="Q1867" i="7"/>
  <c r="S1867" i="7" s="1"/>
  <c r="K1867" i="7"/>
  <c r="G13" i="8"/>
  <c r="I13" i="8" s="1"/>
  <c r="O1739" i="7"/>
  <c r="Q850" i="7"/>
  <c r="S850" i="7" s="1"/>
  <c r="O850" i="7"/>
  <c r="Q2009" i="7"/>
  <c r="S2009" i="7" s="1"/>
  <c r="K2009" i="7"/>
  <c r="M1637" i="7"/>
  <c r="O1637" i="7" s="1"/>
  <c r="O1653" i="7"/>
  <c r="Q1094" i="7"/>
  <c r="S1094" i="7" s="1"/>
  <c r="O1094" i="7"/>
  <c r="Q1942" i="7"/>
  <c r="S1942" i="7" s="1"/>
  <c r="K1942" i="7"/>
  <c r="Q1998" i="7"/>
  <c r="S1998" i="7" s="1"/>
  <c r="K1998" i="7"/>
  <c r="G8" i="8"/>
  <c r="I8" i="8" s="1"/>
  <c r="O328" i="7"/>
  <c r="J8" i="7"/>
  <c r="R22" i="7"/>
  <c r="D9" i="8"/>
  <c r="F9" i="8" s="1"/>
  <c r="K11" i="8"/>
  <c r="I1314" i="7"/>
  <c r="K1314" i="7" s="1"/>
  <c r="K1321" i="7"/>
  <c r="Q1321" i="7"/>
  <c r="S1321" i="7" s="1"/>
  <c r="B993" i="7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I763" i="7"/>
  <c r="K763" i="7" s="1"/>
  <c r="K789" i="7"/>
  <c r="I24" i="2"/>
  <c r="I433" i="2"/>
  <c r="Q328" i="7"/>
  <c r="S328" i="7" s="1"/>
  <c r="D8" i="8"/>
  <c r="F8" i="8" s="1"/>
  <c r="I1801" i="7"/>
  <c r="H5" i="8"/>
  <c r="Q2058" i="7"/>
  <c r="S2058" i="7" s="1"/>
  <c r="Q1984" i="7"/>
  <c r="S1984" i="7" s="1"/>
  <c r="I1965" i="7"/>
  <c r="Q1844" i="7"/>
  <c r="S1844" i="7" s="1"/>
  <c r="M1801" i="7"/>
  <c r="O1801" i="7" s="1"/>
  <c r="Q1693" i="7"/>
  <c r="S1693" i="7" s="1"/>
  <c r="Q1653" i="7"/>
  <c r="S1653" i="7" s="1"/>
  <c r="Q1692" i="7"/>
  <c r="I1637" i="7"/>
  <c r="K1637" i="7" s="1"/>
  <c r="M966" i="7"/>
  <c r="O966" i="7" s="1"/>
  <c r="Q971" i="7"/>
  <c r="S971" i="7" s="1"/>
  <c r="Q591" i="7"/>
  <c r="S591" i="7" s="1"/>
  <c r="I587" i="7"/>
  <c r="K587" i="7" s="1"/>
  <c r="Q475" i="7"/>
  <c r="S475" i="7" s="1"/>
  <c r="M456" i="7"/>
  <c r="O456" i="7" s="1"/>
  <c r="M199" i="7"/>
  <c r="Q265" i="7"/>
  <c r="S265" i="7" s="1"/>
  <c r="Q224" i="7"/>
  <c r="S224" i="7" s="1"/>
  <c r="I199" i="7"/>
  <c r="M763" i="7" l="1"/>
  <c r="O763" i="7" s="1"/>
  <c r="D13" i="8"/>
  <c r="F13" i="8" s="1"/>
  <c r="Q1739" i="7"/>
  <c r="S1739" i="7" s="1"/>
  <c r="Q789" i="7"/>
  <c r="S789" i="7" s="1"/>
  <c r="D7" i="8"/>
  <c r="F7" i="8" s="1"/>
  <c r="K199" i="7"/>
  <c r="D14" i="8"/>
  <c r="F14" i="8" s="1"/>
  <c r="K1801" i="7"/>
  <c r="R8" i="7"/>
  <c r="J7" i="7"/>
  <c r="G15" i="8"/>
  <c r="I15" i="8" s="1"/>
  <c r="O1929" i="7"/>
  <c r="M1619" i="7"/>
  <c r="G7" i="8"/>
  <c r="I7" i="8" s="1"/>
  <c r="O199" i="7"/>
  <c r="Q1965" i="7"/>
  <c r="S1965" i="7" s="1"/>
  <c r="K1965" i="7"/>
  <c r="B1094" i="7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8" i="7" s="1"/>
  <c r="B1209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Q1314" i="7"/>
  <c r="S1314" i="7" s="1"/>
  <c r="I762" i="7"/>
  <c r="K762" i="7" s="1"/>
  <c r="Q763" i="7"/>
  <c r="S763" i="7" s="1"/>
  <c r="I440" i="2"/>
  <c r="I413" i="2"/>
  <c r="Q587" i="7"/>
  <c r="S587" i="7" s="1"/>
  <c r="D10" i="8"/>
  <c r="F10" i="8" s="1"/>
  <c r="Q1801" i="7"/>
  <c r="S1801" i="7" s="1"/>
  <c r="G14" i="8"/>
  <c r="I14" i="8" s="1"/>
  <c r="Q456" i="7"/>
  <c r="S456" i="7" s="1"/>
  <c r="G9" i="8"/>
  <c r="I9" i="8" s="1"/>
  <c r="H4" i="8"/>
  <c r="I1929" i="7"/>
  <c r="K1929" i="7" s="1"/>
  <c r="I1619" i="7"/>
  <c r="K1619" i="7" s="1"/>
  <c r="Q1637" i="7"/>
  <c r="S1637" i="7" s="1"/>
  <c r="Q966" i="7"/>
  <c r="S966" i="7" s="1"/>
  <c r="M762" i="7"/>
  <c r="O762" i="7" s="1"/>
  <c r="Q199" i="7"/>
  <c r="S199" i="7" s="1"/>
  <c r="B1311" i="7" l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G12" i="8"/>
  <c r="I12" i="8" s="1"/>
  <c r="O1619" i="7"/>
  <c r="E5" i="8"/>
  <c r="R7" i="7"/>
  <c r="D11" i="8"/>
  <c r="F11" i="8" s="1"/>
  <c r="H3" i="8"/>
  <c r="H18" i="8" s="1"/>
  <c r="I441" i="2"/>
  <c r="I439" i="2"/>
  <c r="Q1929" i="7"/>
  <c r="S1929" i="7" s="1"/>
  <c r="D15" i="8"/>
  <c r="F15" i="8" s="1"/>
  <c r="Q1619" i="7"/>
  <c r="S1619" i="7" s="1"/>
  <c r="D12" i="8"/>
  <c r="F12" i="8" s="1"/>
  <c r="Q762" i="7"/>
  <c r="S762" i="7" s="1"/>
  <c r="G11" i="8"/>
  <c r="I11" i="8" s="1"/>
  <c r="M64" i="7"/>
  <c r="O64" i="7" s="1"/>
  <c r="M63" i="7"/>
  <c r="M60" i="7"/>
  <c r="O60" i="7" s="1"/>
  <c r="E4" i="8" l="1"/>
  <c r="K5" i="8"/>
  <c r="B1344" i="7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E3" i="8"/>
  <c r="M59" i="7"/>
  <c r="O59" i="7" s="1"/>
  <c r="H430" i="2"/>
  <c r="J430" i="2" s="1"/>
  <c r="K4" i="8" l="1"/>
  <c r="B1374" i="7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K3" i="8"/>
  <c r="E17" i="8"/>
  <c r="H411" i="2"/>
  <c r="H407" i="2"/>
  <c r="H403" i="2"/>
  <c r="H399" i="2"/>
  <c r="H394" i="2"/>
  <c r="H380" i="2"/>
  <c r="H376" i="2"/>
  <c r="J376" i="2" s="1"/>
  <c r="H351" i="2"/>
  <c r="J351" i="2" s="1"/>
  <c r="H337" i="2"/>
  <c r="J337" i="2" s="1"/>
  <c r="H322" i="2"/>
  <c r="J322" i="2" s="1"/>
  <c r="H308" i="2"/>
  <c r="J308" i="2" s="1"/>
  <c r="H292" i="2"/>
  <c r="J292" i="2" s="1"/>
  <c r="J403" i="2" l="1"/>
  <c r="H402" i="2"/>
  <c r="J411" i="2"/>
  <c r="H410" i="2"/>
  <c r="J407" i="2"/>
  <c r="H406" i="2"/>
  <c r="B1411" i="7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H398" i="2"/>
  <c r="J399" i="2"/>
  <c r="H393" i="2"/>
  <c r="J394" i="2"/>
  <c r="J380" i="2"/>
  <c r="K19" i="8"/>
  <c r="H271" i="2"/>
  <c r="J271" i="2" s="1"/>
  <c r="H257" i="2"/>
  <c r="J257" i="2" s="1"/>
  <c r="H251" i="2"/>
  <c r="H155" i="2"/>
  <c r="J155" i="2" s="1"/>
  <c r="B1427" i="7" l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H392" i="2"/>
  <c r="J392" i="2" s="1"/>
  <c r="J393" i="2"/>
  <c r="H397" i="2"/>
  <c r="J398" i="2"/>
  <c r="K36" i="8"/>
  <c r="H370" i="2"/>
  <c r="J370" i="2" s="1"/>
  <c r="I53" i="7"/>
  <c r="K53" i="7" s="1"/>
  <c r="B1533" i="7" l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H396" i="2"/>
  <c r="J396" i="2" s="1"/>
  <c r="J397" i="2"/>
  <c r="H425" i="2"/>
  <c r="J425" i="2" s="1"/>
  <c r="H12" i="2"/>
  <c r="J12" i="2" s="1"/>
  <c r="J28" i="8"/>
  <c r="L28" i="8" s="1"/>
  <c r="J27" i="8" l="1"/>
  <c r="L27" i="8" s="1"/>
  <c r="J24" i="8"/>
  <c r="L24" i="8" s="1"/>
  <c r="J23" i="8"/>
  <c r="L23" i="8" s="1"/>
  <c r="M57" i="7"/>
  <c r="O57" i="7" s="1"/>
  <c r="H55" i="2"/>
  <c r="J55" i="2" s="1"/>
  <c r="H53" i="2"/>
  <c r="J53" i="2" s="1"/>
  <c r="M61" i="7" l="1"/>
  <c r="O61" i="7" s="1"/>
  <c r="M62" i="7"/>
  <c r="I73" i="7"/>
  <c r="K73" i="7" s="1"/>
  <c r="I69" i="7"/>
  <c r="K69" i="7" s="1"/>
  <c r="H382" i="2"/>
  <c r="H374" i="2"/>
  <c r="H248" i="2"/>
  <c r="H247" i="2" s="1"/>
  <c r="H235" i="2"/>
  <c r="J235" i="2" s="1"/>
  <c r="H208" i="2"/>
  <c r="J208" i="2" s="1"/>
  <c r="H67" i="2"/>
  <c r="J67" i="2" s="1"/>
  <c r="H49" i="2"/>
  <c r="J49" i="2" s="1"/>
  <c r="J382" i="2" l="1"/>
  <c r="H379" i="2"/>
  <c r="J379" i="2" s="1"/>
  <c r="H373" i="2"/>
  <c r="J373" i="2" s="1"/>
  <c r="J374" i="2"/>
  <c r="Q35" i="7"/>
  <c r="S35" i="7" s="1"/>
  <c r="I36" i="7"/>
  <c r="K36" i="7" s="1"/>
  <c r="I38" i="7"/>
  <c r="K38" i="7" s="1"/>
  <c r="M42" i="7" l="1"/>
  <c r="M34" i="7"/>
  <c r="M29" i="7"/>
  <c r="M27" i="7" s="1"/>
  <c r="I29" i="7"/>
  <c r="H270" i="2"/>
  <c r="J270" i="2" s="1"/>
  <c r="H41" i="2"/>
  <c r="J41" i="2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J31" i="8"/>
  <c r="H424" i="2"/>
  <c r="J424" i="2" s="1"/>
  <c r="H21" i="2"/>
  <c r="H37" i="2"/>
  <c r="M44" i="7"/>
  <c r="Q46" i="7"/>
  <c r="S46" i="7" s="1"/>
  <c r="I70" i="7"/>
  <c r="H48" i="2"/>
  <c r="J48" i="2" s="1"/>
  <c r="J26" i="8"/>
  <c r="M58" i="7"/>
  <c r="O58" i="7" s="1"/>
  <c r="M56" i="7"/>
  <c r="H78" i="2"/>
  <c r="H63" i="2"/>
  <c r="J63" i="2" s="1"/>
  <c r="H31" i="2"/>
  <c r="H307" i="2"/>
  <c r="J307" i="2" s="1"/>
  <c r="H315" i="2"/>
  <c r="H301" i="2"/>
  <c r="H285" i="2"/>
  <c r="H264" i="2"/>
  <c r="H256" i="2"/>
  <c r="J256" i="2" s="1"/>
  <c r="H211" i="2"/>
  <c r="H214" i="2"/>
  <c r="H204" i="2"/>
  <c r="H207" i="2"/>
  <c r="H194" i="2"/>
  <c r="H190" i="2"/>
  <c r="H186" i="2"/>
  <c r="H160" i="2"/>
  <c r="H180" i="2"/>
  <c r="H172" i="2"/>
  <c r="H168" i="2"/>
  <c r="H164" i="2"/>
  <c r="H154" i="2"/>
  <c r="H151" i="2"/>
  <c r="H147" i="2"/>
  <c r="H143" i="2"/>
  <c r="H139" i="2"/>
  <c r="H135" i="2"/>
  <c r="H131" i="2"/>
  <c r="H127" i="2"/>
  <c r="H123" i="2"/>
  <c r="H117" i="2"/>
  <c r="H113" i="2"/>
  <c r="Q40" i="7"/>
  <c r="S40" i="7" s="1"/>
  <c r="Q39" i="7"/>
  <c r="S39" i="7" s="1"/>
  <c r="Q57" i="7"/>
  <c r="S57" i="7" s="1"/>
  <c r="Q59" i="7"/>
  <c r="S59" i="7" s="1"/>
  <c r="Q60" i="7"/>
  <c r="S60" i="7" s="1"/>
  <c r="Q61" i="7"/>
  <c r="S61" i="7" s="1"/>
  <c r="Q62" i="7"/>
  <c r="Q63" i="7"/>
  <c r="Q64" i="7"/>
  <c r="S64" i="7" s="1"/>
  <c r="Q45" i="7"/>
  <c r="S45" i="7" s="1"/>
  <c r="Q43" i="7"/>
  <c r="S43" i="7" s="1"/>
  <c r="I33" i="7"/>
  <c r="M70" i="7"/>
  <c r="M68" i="7" s="1"/>
  <c r="M67" i="7" s="1"/>
  <c r="M49" i="7"/>
  <c r="M48" i="7" s="1"/>
  <c r="Q48" i="7" s="1"/>
  <c r="S48" i="7" s="1"/>
  <c r="I49" i="7"/>
  <c r="K49" i="7" s="1"/>
  <c r="Q54" i="7"/>
  <c r="S54" i="7" s="1"/>
  <c r="M74" i="7"/>
  <c r="M25" i="7"/>
  <c r="M24" i="7" s="1"/>
  <c r="M23" i="7" s="1"/>
  <c r="M22" i="7" s="1"/>
  <c r="M20" i="7"/>
  <c r="M19" i="7" s="1"/>
  <c r="M17" i="7"/>
  <c r="M16" i="7" s="1"/>
  <c r="M10" i="7"/>
  <c r="M9" i="7" s="1"/>
  <c r="I74" i="7"/>
  <c r="K74" i="7" s="1"/>
  <c r="I55" i="7"/>
  <c r="I41" i="7"/>
  <c r="I25" i="7"/>
  <c r="I20" i="7"/>
  <c r="I17" i="7"/>
  <c r="I10" i="7"/>
  <c r="B420" i="2"/>
  <c r="B421" i="2" s="1"/>
  <c r="B433" i="2" s="1"/>
  <c r="H282" i="2"/>
  <c r="H279" i="2"/>
  <c r="H276" i="2"/>
  <c r="H268" i="2"/>
  <c r="H261" i="2"/>
  <c r="H254" i="2"/>
  <c r="H242" i="2"/>
  <c r="H238" i="2"/>
  <c r="H234" i="2"/>
  <c r="H230" i="2"/>
  <c r="H226" i="2"/>
  <c r="H222" i="2"/>
  <c r="H200" i="2"/>
  <c r="H176" i="2"/>
  <c r="H291" i="2"/>
  <c r="J291" i="2" s="1"/>
  <c r="H305" i="2"/>
  <c r="H312" i="2"/>
  <c r="H319" i="2"/>
  <c r="H321" i="2"/>
  <c r="J321" i="2" s="1"/>
  <c r="H327" i="2"/>
  <c r="H330" i="2"/>
  <c r="H334" i="2"/>
  <c r="H336" i="2"/>
  <c r="J336" i="2" s="1"/>
  <c r="H341" i="2"/>
  <c r="H348" i="2"/>
  <c r="H350" i="2"/>
  <c r="J350" i="2" s="1"/>
  <c r="H358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Q75" i="7"/>
  <c r="S75" i="7" s="1"/>
  <c r="Q72" i="7"/>
  <c r="S72" i="7" s="1"/>
  <c r="Q71" i="7"/>
  <c r="S71" i="7" s="1"/>
  <c r="Q69" i="7"/>
  <c r="S69" i="7" s="1"/>
  <c r="Q52" i="7"/>
  <c r="S52" i="7" s="1"/>
  <c r="Q51" i="7"/>
  <c r="S51" i="7" s="1"/>
  <c r="Q50" i="7"/>
  <c r="S50" i="7" s="1"/>
  <c r="Q36" i="7"/>
  <c r="S36" i="7" s="1"/>
  <c r="Q31" i="7"/>
  <c r="S31" i="7" s="1"/>
  <c r="Q30" i="7"/>
  <c r="S30" i="7" s="1"/>
  <c r="Q28" i="7"/>
  <c r="S28" i="7" s="1"/>
  <c r="Q26" i="7"/>
  <c r="S26" i="7" s="1"/>
  <c r="Q21" i="7"/>
  <c r="S21" i="7" s="1"/>
  <c r="Q18" i="7"/>
  <c r="S18" i="7" s="1"/>
  <c r="Q15" i="7"/>
  <c r="S15" i="7" s="1"/>
  <c r="Q14" i="7"/>
  <c r="S14" i="7" s="1"/>
  <c r="Q13" i="7"/>
  <c r="S13" i="7" s="1"/>
  <c r="Q12" i="7"/>
  <c r="S12" i="7" s="1"/>
  <c r="Q11" i="7"/>
  <c r="S11" i="7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H429" i="2"/>
  <c r="H422" i="2"/>
  <c r="H365" i="2"/>
  <c r="H355" i="2"/>
  <c r="H344" i="2"/>
  <c r="H298" i="2"/>
  <c r="H106" i="2"/>
  <c r="H58" i="2"/>
  <c r="H46" i="2"/>
  <c r="H43" i="2"/>
  <c r="J43" i="2" s="1"/>
  <c r="H39" i="2"/>
  <c r="J39" i="2" s="1"/>
  <c r="H11" i="2"/>
  <c r="Q76" i="7"/>
  <c r="S76" i="7" s="1"/>
  <c r="H289" i="2"/>
  <c r="H362" i="2"/>
  <c r="H372" i="2"/>
  <c r="Q53" i="7"/>
  <c r="S53" i="7" s="1"/>
  <c r="I37" i="7"/>
  <c r="K37" i="7" s="1"/>
  <c r="Q38" i="7"/>
  <c r="S38" i="7" s="1"/>
  <c r="J429" i="2" l="1"/>
  <c r="H428" i="2"/>
  <c r="Q56" i="7"/>
  <c r="S56" i="7" s="1"/>
  <c r="O56" i="7"/>
  <c r="I68" i="7"/>
  <c r="K68" i="7" s="1"/>
  <c r="K70" i="7"/>
  <c r="I24" i="7"/>
  <c r="Q24" i="7" s="1"/>
  <c r="S24" i="7" s="1"/>
  <c r="K25" i="7"/>
  <c r="I16" i="7"/>
  <c r="K16" i="7" s="1"/>
  <c r="K17" i="7"/>
  <c r="Q42" i="7"/>
  <c r="S42" i="7" s="1"/>
  <c r="O42" i="7"/>
  <c r="I9" i="7"/>
  <c r="K9" i="7" s="1"/>
  <c r="K10" i="7"/>
  <c r="Q33" i="7"/>
  <c r="S33" i="7" s="1"/>
  <c r="K33" i="7"/>
  <c r="I19" i="7"/>
  <c r="K19" i="7" s="1"/>
  <c r="K20" i="7"/>
  <c r="Q44" i="7"/>
  <c r="S44" i="7" s="1"/>
  <c r="O44" i="7"/>
  <c r="I27" i="7"/>
  <c r="K27" i="7" s="1"/>
  <c r="K29" i="7"/>
  <c r="J22" i="8"/>
  <c r="L22" i="8" s="1"/>
  <c r="L26" i="8"/>
  <c r="J30" i="8"/>
  <c r="L30" i="8" s="1"/>
  <c r="L31" i="8"/>
  <c r="H45" i="2"/>
  <c r="J45" i="2" s="1"/>
  <c r="J46" i="2"/>
  <c r="H288" i="2"/>
  <c r="J288" i="2" s="1"/>
  <c r="J289" i="2"/>
  <c r="H105" i="2"/>
  <c r="J106" i="2"/>
  <c r="H364" i="2"/>
  <c r="J364" i="2" s="1"/>
  <c r="J365" i="2"/>
  <c r="H333" i="2"/>
  <c r="J333" i="2" s="1"/>
  <c r="J334" i="2"/>
  <c r="H318" i="2"/>
  <c r="J318" i="2" s="1"/>
  <c r="J319" i="2"/>
  <c r="H175" i="2"/>
  <c r="J176" i="2"/>
  <c r="H229" i="2"/>
  <c r="J230" i="2"/>
  <c r="H253" i="2"/>
  <c r="J253" i="2" s="1"/>
  <c r="J254" i="2"/>
  <c r="H278" i="2"/>
  <c r="J278" i="2" s="1"/>
  <c r="J279" i="2"/>
  <c r="H116" i="2"/>
  <c r="J117" i="2"/>
  <c r="H134" i="2"/>
  <c r="J135" i="2"/>
  <c r="H150" i="2"/>
  <c r="J151" i="2"/>
  <c r="H171" i="2"/>
  <c r="J172" i="2"/>
  <c r="H189" i="2"/>
  <c r="J189" i="2" s="1"/>
  <c r="J190" i="2"/>
  <c r="H213" i="2"/>
  <c r="J213" i="2" s="1"/>
  <c r="J214" i="2"/>
  <c r="H284" i="2"/>
  <c r="J284" i="2" s="1"/>
  <c r="J285" i="2"/>
  <c r="H29" i="2"/>
  <c r="J31" i="2"/>
  <c r="H361" i="2"/>
  <c r="J361" i="2" s="1"/>
  <c r="J362" i="2"/>
  <c r="H10" i="2"/>
  <c r="J10" i="2" s="1"/>
  <c r="J11" i="2"/>
  <c r="H57" i="2"/>
  <c r="J58" i="2"/>
  <c r="H354" i="2"/>
  <c r="J354" i="2" s="1"/>
  <c r="J355" i="2"/>
  <c r="H357" i="2"/>
  <c r="J357" i="2" s="1"/>
  <c r="J358" i="2"/>
  <c r="H225" i="2"/>
  <c r="J226" i="2"/>
  <c r="H241" i="2"/>
  <c r="J242" i="2"/>
  <c r="H275" i="2"/>
  <c r="J275" i="2" s="1"/>
  <c r="J276" i="2"/>
  <c r="H112" i="2"/>
  <c r="J112" i="2" s="1"/>
  <c r="J113" i="2"/>
  <c r="H130" i="2"/>
  <c r="J131" i="2"/>
  <c r="H146" i="2"/>
  <c r="J147" i="2"/>
  <c r="H167" i="2"/>
  <c r="J168" i="2"/>
  <c r="H185" i="2"/>
  <c r="J186" i="2"/>
  <c r="H203" i="2"/>
  <c r="J203" i="2" s="1"/>
  <c r="J204" i="2"/>
  <c r="H263" i="2"/>
  <c r="J263" i="2" s="1"/>
  <c r="J264" i="2"/>
  <c r="H19" i="2"/>
  <c r="J21" i="2"/>
  <c r="H343" i="2"/>
  <c r="J343" i="2" s="1"/>
  <c r="J344" i="2"/>
  <c r="H340" i="2"/>
  <c r="J340" i="2" s="1"/>
  <c r="J341" i="2"/>
  <c r="H326" i="2"/>
  <c r="J326" i="2" s="1"/>
  <c r="J327" i="2"/>
  <c r="H304" i="2"/>
  <c r="J304" i="2" s="1"/>
  <c r="J305" i="2"/>
  <c r="H221" i="2"/>
  <c r="H217" i="2" s="1"/>
  <c r="J222" i="2"/>
  <c r="H237" i="2"/>
  <c r="J238" i="2"/>
  <c r="H267" i="2"/>
  <c r="J267" i="2" s="1"/>
  <c r="J268" i="2"/>
  <c r="H126" i="2"/>
  <c r="J127" i="2"/>
  <c r="H142" i="2"/>
  <c r="J143" i="2"/>
  <c r="H163" i="2"/>
  <c r="J164" i="2"/>
  <c r="H159" i="2"/>
  <c r="J160" i="2"/>
  <c r="H206" i="2"/>
  <c r="J206" i="2" s="1"/>
  <c r="J207" i="2"/>
  <c r="H314" i="2"/>
  <c r="J314" i="2" s="1"/>
  <c r="J315" i="2"/>
  <c r="H77" i="2"/>
  <c r="J78" i="2"/>
  <c r="H36" i="2"/>
  <c r="J36" i="2" s="1"/>
  <c r="J37" i="2"/>
  <c r="J372" i="2"/>
  <c r="H369" i="2"/>
  <c r="H297" i="2"/>
  <c r="J297" i="2" s="1"/>
  <c r="J298" i="2"/>
  <c r="H13" i="2"/>
  <c r="J13" i="2" s="1"/>
  <c r="J14" i="2"/>
  <c r="H347" i="2"/>
  <c r="J347" i="2" s="1"/>
  <c r="J348" i="2"/>
  <c r="H329" i="2"/>
  <c r="J329" i="2" s="1"/>
  <c r="J330" i="2"/>
  <c r="H311" i="2"/>
  <c r="J311" i="2" s="1"/>
  <c r="J312" i="2"/>
  <c r="H199" i="2"/>
  <c r="J200" i="2"/>
  <c r="H233" i="2"/>
  <c r="J234" i="2"/>
  <c r="H260" i="2"/>
  <c r="J260" i="2" s="1"/>
  <c r="J261" i="2"/>
  <c r="H281" i="2"/>
  <c r="J281" i="2" s="1"/>
  <c r="J282" i="2"/>
  <c r="H122" i="2"/>
  <c r="J123" i="2"/>
  <c r="H138" i="2"/>
  <c r="J139" i="2"/>
  <c r="H153" i="2"/>
  <c r="J153" i="2" s="1"/>
  <c r="J154" i="2"/>
  <c r="H179" i="2"/>
  <c r="J180" i="2"/>
  <c r="H193" i="2"/>
  <c r="J194" i="2"/>
  <c r="H210" i="2"/>
  <c r="J210" i="2" s="1"/>
  <c r="J211" i="2"/>
  <c r="H300" i="2"/>
  <c r="J300" i="2" s="1"/>
  <c r="J301" i="2"/>
  <c r="B58" i="2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34" i="8"/>
  <c r="B35" i="8" s="1"/>
  <c r="B36" i="8" s="1"/>
  <c r="Q20" i="7"/>
  <c r="S20" i="7" s="1"/>
  <c r="I47" i="7"/>
  <c r="K47" i="7" s="1"/>
  <c r="Q17" i="7"/>
  <c r="S17" i="7" s="1"/>
  <c r="I34" i="7"/>
  <c r="H62" i="2"/>
  <c r="B50" i="7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Q25" i="7"/>
  <c r="S25" i="7" s="1"/>
  <c r="Q73" i="7"/>
  <c r="S73" i="7" s="1"/>
  <c r="Q29" i="7"/>
  <c r="S29" i="7" s="1"/>
  <c r="M41" i="7"/>
  <c r="Q74" i="7"/>
  <c r="S74" i="7" s="1"/>
  <c r="Q49" i="7"/>
  <c r="S49" i="7" s="1"/>
  <c r="Q70" i="7"/>
  <c r="S70" i="7" s="1"/>
  <c r="Q37" i="7"/>
  <c r="S37" i="7" s="1"/>
  <c r="Q58" i="7"/>
  <c r="S58" i="7" s="1"/>
  <c r="M55" i="7"/>
  <c r="H421" i="2"/>
  <c r="M8" i="7"/>
  <c r="Q67" i="7"/>
  <c r="M66" i="7"/>
  <c r="Q10" i="7"/>
  <c r="S10" i="7" s="1"/>
  <c r="Q19" i="7" l="1"/>
  <c r="S19" i="7" s="1"/>
  <c r="B91" i="2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I23" i="7"/>
  <c r="K24" i="7"/>
  <c r="Q68" i="7"/>
  <c r="S68" i="7" s="1"/>
  <c r="Q16" i="7"/>
  <c r="S16" i="7" s="1"/>
  <c r="Q9" i="7"/>
  <c r="S9" i="7" s="1"/>
  <c r="Q41" i="7"/>
  <c r="S41" i="7" s="1"/>
  <c r="O41" i="7"/>
  <c r="Q55" i="7"/>
  <c r="S55" i="7" s="1"/>
  <c r="O55" i="7"/>
  <c r="Q34" i="7"/>
  <c r="S34" i="7" s="1"/>
  <c r="K34" i="7"/>
  <c r="Q27" i="7"/>
  <c r="S27" i="7" s="1"/>
  <c r="J116" i="2"/>
  <c r="H266" i="2"/>
  <c r="J266" i="2" s="1"/>
  <c r="H252" i="2"/>
  <c r="H35" i="2"/>
  <c r="J35" i="2" s="1"/>
  <c r="H192" i="2"/>
  <c r="J192" i="2" s="1"/>
  <c r="J193" i="2"/>
  <c r="H74" i="2"/>
  <c r="J74" i="2" s="1"/>
  <c r="J77" i="2"/>
  <c r="H162" i="2"/>
  <c r="J162" i="2" s="1"/>
  <c r="J163" i="2"/>
  <c r="H236" i="2"/>
  <c r="J236" i="2" s="1"/>
  <c r="J237" i="2"/>
  <c r="H18" i="2"/>
  <c r="J19" i="2"/>
  <c r="H166" i="2"/>
  <c r="J166" i="2" s="1"/>
  <c r="J167" i="2"/>
  <c r="H420" i="2"/>
  <c r="J421" i="2"/>
  <c r="H405" i="2"/>
  <c r="J405" i="2" s="1"/>
  <c r="J406" i="2"/>
  <c r="H178" i="2"/>
  <c r="J178" i="2" s="1"/>
  <c r="J179" i="2"/>
  <c r="H137" i="2"/>
  <c r="J137" i="2" s="1"/>
  <c r="J138" i="2"/>
  <c r="H232" i="2"/>
  <c r="J232" i="2" s="1"/>
  <c r="J233" i="2"/>
  <c r="H158" i="2"/>
  <c r="J158" i="2" s="1"/>
  <c r="J159" i="2"/>
  <c r="H141" i="2"/>
  <c r="J141" i="2" s="1"/>
  <c r="J142" i="2"/>
  <c r="J217" i="2"/>
  <c r="J221" i="2"/>
  <c r="H184" i="2"/>
  <c r="J184" i="2" s="1"/>
  <c r="J185" i="2"/>
  <c r="H145" i="2"/>
  <c r="J145" i="2" s="1"/>
  <c r="J146" i="2"/>
  <c r="H240" i="2"/>
  <c r="J240" i="2" s="1"/>
  <c r="J241" i="2"/>
  <c r="H56" i="2"/>
  <c r="J57" i="2"/>
  <c r="H149" i="2"/>
  <c r="J149" i="2" s="1"/>
  <c r="J150" i="2"/>
  <c r="H174" i="2"/>
  <c r="J174" i="2" s="1"/>
  <c r="J175" i="2"/>
  <c r="H104" i="2"/>
  <c r="J104" i="2" s="1"/>
  <c r="J105" i="2"/>
  <c r="H61" i="2"/>
  <c r="J62" i="2"/>
  <c r="H346" i="2"/>
  <c r="J346" i="2" s="1"/>
  <c r="H317" i="2"/>
  <c r="H209" i="2"/>
  <c r="J209" i="2" s="1"/>
  <c r="H202" i="2"/>
  <c r="J202" i="2" s="1"/>
  <c r="H303" i="2"/>
  <c r="H360" i="2"/>
  <c r="H401" i="2"/>
  <c r="J401" i="2" s="1"/>
  <c r="J402" i="2"/>
  <c r="H121" i="2"/>
  <c r="J122" i="2"/>
  <c r="H198" i="2"/>
  <c r="J198" i="2" s="1"/>
  <c r="J199" i="2"/>
  <c r="H125" i="2"/>
  <c r="J125" i="2" s="1"/>
  <c r="J126" i="2"/>
  <c r="H129" i="2"/>
  <c r="J129" i="2" s="1"/>
  <c r="J130" i="2"/>
  <c r="H224" i="2"/>
  <c r="J224" i="2" s="1"/>
  <c r="J225" i="2"/>
  <c r="H27" i="2"/>
  <c r="J29" i="2"/>
  <c r="H170" i="2"/>
  <c r="J170" i="2" s="1"/>
  <c r="J171" i="2"/>
  <c r="H133" i="2"/>
  <c r="J133" i="2" s="1"/>
  <c r="J134" i="2"/>
  <c r="H228" i="2"/>
  <c r="J228" i="2" s="1"/>
  <c r="J229" i="2"/>
  <c r="H427" i="2"/>
  <c r="J427" i="2" s="1"/>
  <c r="J428" i="2"/>
  <c r="H409" i="2"/>
  <c r="J410" i="2"/>
  <c r="H287" i="2"/>
  <c r="J287" i="2" s="1"/>
  <c r="H274" i="2"/>
  <c r="H332" i="2"/>
  <c r="H368" i="2"/>
  <c r="J368" i="2" s="1"/>
  <c r="J369" i="2"/>
  <c r="I32" i="7"/>
  <c r="M47" i="7"/>
  <c r="M32" i="7"/>
  <c r="O32" i="7" s="1"/>
  <c r="Q66" i="7"/>
  <c r="M65" i="7"/>
  <c r="Q65" i="7" s="1"/>
  <c r="J252" i="2" l="1"/>
  <c r="J409" i="2"/>
  <c r="H367" i="2"/>
  <c r="J367" i="2" s="1"/>
  <c r="Q47" i="7"/>
  <c r="S47" i="7" s="1"/>
  <c r="O47" i="7"/>
  <c r="I22" i="7"/>
  <c r="K23" i="7"/>
  <c r="Q23" i="7"/>
  <c r="S23" i="7" s="1"/>
  <c r="K32" i="7"/>
  <c r="H426" i="2"/>
  <c r="J426" i="2" s="1"/>
  <c r="H188" i="2"/>
  <c r="J188" i="2" s="1"/>
  <c r="J332" i="2"/>
  <c r="J121" i="2"/>
  <c r="H111" i="2"/>
  <c r="J303" i="2"/>
  <c r="H26" i="2"/>
  <c r="J27" i="2"/>
  <c r="H60" i="2"/>
  <c r="J61" i="2"/>
  <c r="J56" i="2"/>
  <c r="J274" i="2"/>
  <c r="H419" i="2"/>
  <c r="J420" i="2"/>
  <c r="J18" i="2"/>
  <c r="H9" i="2"/>
  <c r="J360" i="2"/>
  <c r="J317" i="2"/>
  <c r="Q32" i="7"/>
  <c r="S32" i="7" s="1"/>
  <c r="M7" i="7"/>
  <c r="J16" i="8"/>
  <c r="L16" i="8" s="1"/>
  <c r="G5" i="8" l="1"/>
  <c r="I5" i="8" s="1"/>
  <c r="O7" i="7"/>
  <c r="K22" i="7"/>
  <c r="Q22" i="7"/>
  <c r="S22" i="7" s="1"/>
  <c r="I8" i="7"/>
  <c r="H8" i="2"/>
  <c r="J8" i="2" s="1"/>
  <c r="J9" i="2"/>
  <c r="J60" i="2"/>
  <c r="J26" i="2"/>
  <c r="H25" i="2"/>
  <c r="J419" i="2"/>
  <c r="H433" i="2"/>
  <c r="J433" i="2" s="1"/>
  <c r="J111" i="2"/>
  <c r="J13" i="8"/>
  <c r="L13" i="8" s="1"/>
  <c r="B111" i="2" l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K8" i="7"/>
  <c r="Q8" i="7"/>
  <c r="S8" i="7" s="1"/>
  <c r="I7" i="7"/>
  <c r="J25" i="2"/>
  <c r="H24" i="2"/>
  <c r="H440" i="2"/>
  <c r="J440" i="2" s="1"/>
  <c r="G3" i="8"/>
  <c r="I3" i="8" s="1"/>
  <c r="J6" i="8"/>
  <c r="L6" i="8" s="1"/>
  <c r="J8" i="8"/>
  <c r="L8" i="8" s="1"/>
  <c r="J14" i="8"/>
  <c r="L14" i="8" s="1"/>
  <c r="D5" i="8" l="1"/>
  <c r="K7" i="7"/>
  <c r="Q7" i="7"/>
  <c r="S7" i="7" s="1"/>
  <c r="H413" i="2"/>
  <c r="J413" i="2" s="1"/>
  <c r="J24" i="2"/>
  <c r="B260" i="2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J15" i="8"/>
  <c r="L15" i="8" s="1"/>
  <c r="J9" i="8"/>
  <c r="L9" i="8" s="1"/>
  <c r="J10" i="8"/>
  <c r="L10" i="8" s="1"/>
  <c r="J7" i="8"/>
  <c r="L7" i="8" s="1"/>
  <c r="J11" i="8"/>
  <c r="L11" i="8" s="1"/>
  <c r="G4" i="8"/>
  <c r="I4" i="8" s="1"/>
  <c r="F5" i="8" l="1"/>
  <c r="J5" i="8"/>
  <c r="L5" i="8" s="1"/>
  <c r="H441" i="2"/>
  <c r="H439" i="2"/>
  <c r="B293" i="2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J12" i="8"/>
  <c r="L12" i="8" s="1"/>
  <c r="D4" i="8"/>
  <c r="G18" i="8"/>
  <c r="I18" i="8" s="1"/>
  <c r="J4" i="8" l="1"/>
  <c r="L4" i="8" s="1"/>
  <c r="F4" i="8"/>
  <c r="J441" i="2"/>
  <c r="J439" i="2"/>
  <c r="D3" i="8"/>
  <c r="B309" i="2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F3" i="8" l="1"/>
  <c r="J3" i="8"/>
  <c r="D17" i="8"/>
  <c r="F17" i="8" s="1"/>
  <c r="B323" i="2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L3" i="8" l="1"/>
  <c r="J19" i="8"/>
  <c r="B338" i="2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J36" i="8" l="1"/>
  <c r="B352" i="2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l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l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</calcChain>
</file>

<file path=xl/sharedStrings.xml><?xml version="1.0" encoding="utf-8"?>
<sst xmlns="http://schemas.openxmlformats.org/spreadsheetml/2006/main" count="3548" uniqueCount="710">
  <si>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</si>
  <si>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</si>
  <si>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</si>
  <si>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</si>
  <si>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</si>
  <si>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</si>
  <si>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</si>
  <si>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</si>
  <si>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</si>
  <si>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</si>
  <si>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</si>
  <si>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</si>
  <si>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</si>
  <si>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</si>
  <si>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</si>
  <si>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</si>
  <si>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</si>
  <si>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</si>
  <si>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</si>
  <si>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</si>
  <si>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</si>
  <si>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</si>
  <si>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</si>
  <si>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</si>
  <si>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</si>
  <si>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</si>
  <si>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</si>
  <si>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</si>
  <si>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</si>
  <si>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</si>
  <si>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</si>
  <si>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</si>
  <si>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</si>
  <si>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</si>
  <si>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</si>
  <si>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</si>
  <si>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</si>
  <si>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</si>
  <si>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</si>
  <si>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</si>
  <si>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</si>
  <si>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</si>
  <si>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</si>
  <si>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</si>
  <si>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</si>
  <si>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</si>
  <si>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</si>
  <si>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</si>
  <si>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</si>
  <si>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</si>
  <si>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</si>
  <si>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</si>
  <si>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</si>
  <si>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</si>
  <si>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</si>
  <si>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</si>
  <si>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</si>
  <si>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</si>
  <si>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</si>
  <si>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</si>
  <si>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</si>
  <si>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</si>
  <si>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</si>
  <si>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</si>
  <si>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</si>
  <si>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</si>
  <si>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</si>
  <si>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</si>
  <si>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</si>
  <si>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</si>
  <si>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</si>
  <si>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</si>
  <si>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</si>
  <si>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</si>
  <si>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</si>
  <si>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</si>
  <si>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</si>
  <si>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</si>
  <si>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</si>
  <si>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</si>
  <si>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</si>
  <si>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</si>
  <si>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</si>
  <si>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</si>
  <si>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</si>
  <si>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</si>
  <si>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</si>
  <si>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</si>
  <si>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</si>
  <si>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</si>
  <si>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</si>
  <si>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</si>
  <si>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</si>
  <si>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</si>
  <si>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</si>
  <si>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</si>
  <si>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</si>
  <si>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</si>
  <si>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</si>
  <si>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</si>
  <si>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</si>
  <si>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</si>
  <si>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</si>
  <si>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</si>
  <si>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</si>
  <si>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</si>
  <si>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</si>
  <si>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</si>
  <si>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</si>
  <si>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</si>
  <si>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</si>
  <si>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</si>
  <si>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</si>
  <si>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</si>
  <si>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</si>
  <si>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</si>
  <si>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</si>
  <si>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</si>
  <si>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</si>
  <si>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</si>
  <si>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</si>
  <si>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</si>
  <si>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</si>
  <si>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</si>
  <si>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</si>
  <si>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</si>
  <si>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</si>
  <si>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</si>
  <si>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</si>
  <si>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</si>
  <si>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</si>
  <si>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</si>
  <si>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</si>
  <si>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</si>
  <si>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</si>
  <si>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</si>
  <si>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</si>
  <si>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</si>
  <si>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</si>
  <si>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</si>
  <si>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</si>
  <si>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</si>
  <si>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</si>
  <si>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</si>
  <si>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</si>
  <si>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</si>
  <si>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</si>
  <si>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</si>
  <si>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</si>
  <si>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</si>
  <si>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</si>
  <si>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</si>
  <si>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</si>
  <si>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</si>
  <si>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</si>
  <si>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</si>
  <si>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</si>
  <si>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</si>
  <si>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</si>
  <si>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</si>
  <si>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</si>
  <si>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</si>
  <si>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</si>
  <si>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</si>
  <si>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</si>
  <si>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</si>
  <si>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</si>
  <si>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</si>
  <si>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</si>
  <si>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</si>
  <si>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</si>
  <si>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</si>
  <si>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</si>
  <si>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</si>
  <si>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</si>
  <si>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</si>
  <si>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</si>
  <si>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</si>
  <si>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</si>
  <si>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</si>
  <si>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</si>
  <si>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</si>
  <si>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</si>
  <si>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</si>
  <si>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</si>
  <si>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</si>
  <si>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</si>
  <si>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</si>
  <si>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</si>
  <si>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</si>
  <si>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</si>
  <si>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</si>
  <si>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</si>
  <si>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</si>
  <si>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</si>
  <si>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</si>
  <si>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</si>
  <si>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</si>
  <si>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</si>
  <si>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</si>
  <si>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</si>
  <si>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</si>
  <si>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</si>
  <si>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</si>
  <si>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</si>
  <si>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</si>
  <si>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</si>
  <si>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</si>
  <si>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</si>
  <si>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</si>
  <si>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</si>
  <si>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</si>
  <si>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</si>
  <si>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</si>
  <si>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</si>
  <si>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</si>
  <si>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</si>
  <si>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</si>
  <si>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</si>
  <si>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</si>
  <si>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</si>
  <si>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</si>
  <si>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</si>
  <si>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</si>
  <si>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</si>
  <si>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</si>
  <si>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</si>
  <si>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</si>
  <si>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</si>
  <si>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</si>
  <si>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</si>
  <si>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</si>
  <si>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</si>
  <si>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</si>
  <si>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</si>
  <si>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</si>
  <si>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</si>
  <si>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</si>
  <si>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</si>
  <si>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</si>
  <si>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</si>
  <si>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</si>
  <si>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</si>
  <si>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</si>
  <si>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</si>
  <si>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</si>
  <si>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</si>
  <si>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</si>
  <si>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</si>
  <si>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</si>
  <si>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</si>
  <si>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</si>
  <si>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</si>
  <si>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</si>
  <si>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</si>
  <si>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</si>
  <si>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</si>
  <si>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</si>
  <si>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</si>
  <si>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</si>
  <si>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</si>
  <si>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</si>
  <si>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</si>
  <si>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</si>
  <si>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</si>
  <si>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</si>
  <si>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</si>
  <si>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</si>
  <si>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</si>
  <si>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</si>
  <si>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</si>
  <si>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</si>
  <si>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</si>
  <si>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</si>
  <si>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</si>
  <si>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</si>
  <si>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</si>
  <si>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</si>
  <si>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</si>
  <si>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</si>
  <si>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</si>
  <si>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</si>
  <si>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</si>
  <si>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</si>
  <si>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</si>
  <si>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</si>
  <si>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</si>
  <si>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</si>
  <si>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</si>
  <si>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</si>
  <si>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</si>
  <si>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</si>
  <si>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</si>
  <si>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</si>
  <si>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</si>
  <si>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</si>
  <si>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</si>
  <si>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</si>
  <si>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</si>
  <si>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</si>
  <si>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</si>
  <si>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</si>
  <si>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</si>
  <si>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</si>
  <si>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</si>
  <si>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</si>
  <si>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</si>
  <si>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</si>
  <si>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</si>
  <si>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</si>
  <si>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</si>
  <si>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</si>
  <si>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</si>
  <si>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</si>
  <si>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</si>
  <si>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</si>
  <si>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</si>
  <si>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</si>
  <si>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</si>
  <si>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</si>
  <si>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</si>
  <si>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</si>
  <si>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</si>
  <si>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</si>
  <si>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</si>
  <si>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</si>
  <si>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</si>
  <si>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</si>
  <si>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</si>
  <si>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</si>
  <si>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</si>
  <si>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</si>
  <si>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</si>
  <si>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</si>
  <si>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</si>
  <si>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MČ Juh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</si>
  <si>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</si>
  <si>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</si>
  <si>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</si>
  <si>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</si>
  <si>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</si>
  <si>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</si>
  <si>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</si>
  <si>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</si>
  <si>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</si>
  <si>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</si>
  <si>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</si>
  <si>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</si>
  <si>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</si>
  <si>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</si>
  <si>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</si>
  <si>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</si>
  <si>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</si>
  <si>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</si>
  <si>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</si>
  <si>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</si>
  <si>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</si>
  <si>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</si>
  <si>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</si>
  <si>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</si>
  <si>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</si>
  <si>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</si>
  <si>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</si>
  <si>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</si>
  <si>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</si>
  <si>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</si>
  <si>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</si>
  <si>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</si>
  <si>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</si>
  <si>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</si>
  <si>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</si>
  <si>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</si>
  <si>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</si>
  <si>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</si>
  <si>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</si>
  <si>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</si>
  <si>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</si>
  <si>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</si>
  <si>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</si>
  <si>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</si>
  <si>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</si>
  <si>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</si>
  <si>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</si>
  <si>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</si>
  <si>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</si>
  <si>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</si>
  <si>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</si>
  <si>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</si>
  <si>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</si>
  <si>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</si>
  <si>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</si>
  <si>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</si>
  <si>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</si>
  <si>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</si>
  <si>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</si>
  <si>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</si>
  <si>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</si>
  <si>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</si>
  <si>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</si>
  <si>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</si>
  <si>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</si>
  <si>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</si>
  <si>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</si>
  <si>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</si>
  <si>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</si>
  <si>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</si>
  <si>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</si>
  <si>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</si>
  <si>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</si>
  <si>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</si>
  <si>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</si>
  <si>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</si>
  <si>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</si>
  <si>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</si>
  <si>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</si>
  <si>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</si>
  <si>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</si>
  <si>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</si>
  <si>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</si>
  <si>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</si>
  <si>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</si>
  <si>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</si>
  <si>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</si>
  <si>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</si>
  <si>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</si>
  <si>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</si>
  <si>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</si>
  <si>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</si>
  <si>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</si>
  <si>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</si>
  <si>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</si>
  <si>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</si>
  <si>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</si>
  <si>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</si>
  <si>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Trenčianska parkovacia spoločnosť</t>
  </si>
  <si>
    <t>MK J.Zemana</t>
  </si>
  <si>
    <t>Prechod pre chodcov Horné Orechové</t>
  </si>
  <si>
    <t>Chodník Psotného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</si>
  <si>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</si>
  <si>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</si>
  <si>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</si>
  <si>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</si>
  <si>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</si>
  <si>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</si>
  <si>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</si>
  <si>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</si>
  <si>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</si>
  <si>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</si>
  <si>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</si>
  <si>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</si>
  <si>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</si>
  <si>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</si>
  <si>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</si>
  <si>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</si>
  <si>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</si>
  <si>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</si>
  <si>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</si>
  <si>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</si>
  <si>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</si>
  <si>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</si>
  <si>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</si>
  <si>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</si>
  <si>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</si>
  <si>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</si>
  <si>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</si>
  <si>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</si>
  <si>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</si>
  <si>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</si>
  <si>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</si>
  <si>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</si>
  <si>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</si>
  <si>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</si>
  <si>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</si>
  <si>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</si>
  <si>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</si>
  <si>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</si>
  <si>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</si>
  <si>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</si>
  <si>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</si>
  <si>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</si>
  <si>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</si>
  <si>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</si>
  <si>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</si>
  <si>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Stavebná údržba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</si>
  <si>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</si>
  <si>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</si>
  <si>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</si>
  <si>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</si>
  <si>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</si>
  <si>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</si>
  <si>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</si>
  <si>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</si>
  <si>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</si>
  <si>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</si>
  <si>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</si>
  <si>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</si>
  <si>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</si>
  <si>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</si>
  <si>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</si>
  <si>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</si>
  <si>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Rekonštrukcia okien, 1 pavilón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</si>
  <si>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</si>
  <si>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</si>
  <si>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</si>
  <si>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</si>
  <si>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</si>
  <si>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</si>
  <si>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</si>
  <si>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</si>
  <si>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</si>
  <si>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</si>
  <si>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</si>
  <si>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</si>
  <si>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</si>
  <si>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</si>
  <si>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</si>
  <si>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</si>
  <si>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</si>
  <si>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</si>
  <si>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</si>
  <si>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</si>
  <si>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</si>
  <si>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</si>
  <si>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</si>
  <si>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</si>
  <si>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</si>
  <si>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</si>
  <si>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</si>
  <si>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</si>
  <si>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</si>
  <si>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</si>
  <si>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</si>
  <si>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</si>
  <si>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</si>
  <si>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</si>
  <si>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</si>
  <si>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</si>
  <si>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</si>
  <si>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</si>
  <si>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</si>
  <si>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</si>
  <si>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</si>
  <si>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</si>
  <si>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</si>
  <si>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Príjmy z refundácie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</si>
  <si>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</si>
  <si>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</si>
  <si>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</si>
  <si>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</si>
  <si>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</si>
  <si>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</si>
  <si>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</si>
  <si>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</si>
  <si>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Rezerva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</si>
  <si>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</si>
  <si>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</si>
  <si>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</si>
  <si>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</si>
  <si>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</si>
  <si>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</si>
  <si>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</si>
  <si>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</si>
  <si>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</si>
  <si>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</si>
  <si>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</si>
  <si>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</si>
  <si>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</si>
  <si>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</si>
  <si>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</si>
  <si>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</si>
  <si>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</si>
  <si>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</si>
  <si>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</si>
  <si>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</si>
  <si>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</si>
  <si>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</si>
  <si>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Opatová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</si>
  <si>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</si>
  <si>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</si>
  <si>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</si>
  <si>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</si>
  <si>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</si>
  <si>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</si>
  <si>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</si>
  <si>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</si>
  <si>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</si>
  <si>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</si>
  <si>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bežný rozpočet na rok 2016</t>
  </si>
  <si>
    <t>Upravený kapitálový rozpočet na rok 2016</t>
  </si>
  <si>
    <t>Upravený rozpočet na rok 2016</t>
  </si>
  <si>
    <t>Upravený rozpočet na rok 2016 spolu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</si>
  <si>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</si>
  <si>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</si>
  <si>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</si>
  <si>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</si>
  <si>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</si>
  <si>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</si>
  <si>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</si>
  <si>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</si>
  <si>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</si>
  <si>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</si>
  <si>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</si>
  <si>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</si>
  <si>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</si>
  <si>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</si>
  <si>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</si>
  <si>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</si>
  <si>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</si>
  <si>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</si>
  <si>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</si>
  <si>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</si>
  <si>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</si>
  <si>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</si>
  <si>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</si>
  <si>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</si>
  <si>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</si>
  <si>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</si>
  <si>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</si>
  <si>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</si>
  <si>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</si>
  <si>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</si>
  <si>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</si>
  <si>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</si>
  <si>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</si>
  <si>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</si>
  <si>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</si>
  <si>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</si>
  <si>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</si>
  <si>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</si>
  <si>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</si>
  <si>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</si>
  <si>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</si>
  <si>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</si>
  <si>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</si>
  <si>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Sever - komunikácie</t>
  </si>
  <si>
    <t>MČ Juh - PD Jednosmerka Gen.Svobodu č.3-13</t>
  </si>
  <si>
    <t>PD - MK Šoltésovej</t>
  </si>
  <si>
    <t>MŠ Bl.Tarzícia  - dotácia na činnosť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</si>
  <si>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</si>
  <si>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</si>
  <si>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</si>
  <si>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</si>
  <si>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</si>
  <si>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</si>
  <si>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</si>
  <si>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</si>
  <si>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</si>
  <si>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MŠ sv.Andreja - Svorada a Benedikta - dotácia na činnosť</t>
  </si>
  <si>
    <t>ZUŠ - pódium</t>
  </si>
  <si>
    <t>Dokončenie novej letnej plavárne - projekt pripojenia plynu</t>
  </si>
  <si>
    <t>cudzí stravníci</t>
  </si>
  <si>
    <t>Réžia - cudzí stravníci</t>
  </si>
  <si>
    <t>réžia - zamestnanci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</si>
  <si>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</si>
  <si>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</si>
  <si>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</si>
  <si>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</si>
  <si>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</si>
  <si>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</si>
  <si>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</si>
  <si>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</si>
  <si>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</si>
  <si>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</si>
  <si>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</si>
  <si>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PD - KS Hviezda - výmena silnoprúdových rozvodov a osvetlenia</t>
  </si>
  <si>
    <t>Revitalizácia plochy za budovou ZOS</t>
  </si>
  <si>
    <t>Cyklostojany</t>
  </si>
  <si>
    <t>Rozvojové programy na rekonštrukcie telocviční ZŠ</t>
  </si>
  <si>
    <t>rozvojový projekt rekonštrukcia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</si>
  <si>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</si>
  <si>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</si>
  <si>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</si>
  <si>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</si>
  <si>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</si>
  <si>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</si>
  <si>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</si>
  <si>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</si>
  <si>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rekonštrukcia plavárne</t>
  </si>
  <si>
    <t>MČ Juh - ZŠ Novomeského - konvektomat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</si>
  <si>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</si>
  <si>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</si>
  <si>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</si>
  <si>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</si>
  <si>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</si>
  <si>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</si>
  <si>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</si>
  <si>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</si>
  <si>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Plnenie Programového rozpočtu Mesta Trenčín k 30.6.2016</t>
  </si>
  <si>
    <t>% plnenia</t>
  </si>
  <si>
    <t>Plnenie k 30.6.2016</t>
  </si>
  <si>
    <t>Plnenie bežného rozpočtu k 30.6.2016</t>
  </si>
  <si>
    <t xml:space="preserve"> % plnenia</t>
  </si>
  <si>
    <t>Plnenie kapitálového rozpočtu k 30.6.2016</t>
  </si>
  <si>
    <t>Plnenie rozpočtu k 30.6.2016</t>
  </si>
  <si>
    <t>Z refundácie</t>
  </si>
  <si>
    <t>Z náhrad z poistného plnenia</t>
  </si>
  <si>
    <t>Dotácia na lyžiarsky kurz</t>
  </si>
  <si>
    <t>Škola v prírode</t>
  </si>
  <si>
    <t>Čaro Vianoc pod Hradom</t>
  </si>
  <si>
    <t>Príjmy z dobropisov</t>
  </si>
  <si>
    <t>Vratky</t>
  </si>
  <si>
    <t>Z refundácie, z dobropisov</t>
  </si>
  <si>
    <t>ŠJ MŠ Šafárikova</t>
  </si>
  <si>
    <t>ŠJ MŠ Šafárikova- cudzí stravníci</t>
  </si>
  <si>
    <t>za prebytočný hmotný majetok</t>
  </si>
  <si>
    <t>Prepravné - škola v prírode</t>
  </si>
  <si>
    <t xml:space="preserve">Z náhrad z poistného plnenia </t>
  </si>
  <si>
    <t>Rozvojový program vybavenie telocvične</t>
  </si>
  <si>
    <t>Stavebné úpravy spojovacej chodby</t>
  </si>
  <si>
    <t>455: Odplata za postúpenú pohľadávku Tebys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</si>
</sst>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20"/>
      <color indexed="12"/>
      <name val="Tahoma"/>
      <family val="2"/>
      <charset val="238"/>
    </font>
    <font>
      <b/>
      <sz val="11"/>
      <color indexed="9"/>
      <name val="Arial CE"/>
      <charset val="238"/>
    </font>
    <font>
      <i/>
      <sz val="8"/>
      <color indexed="56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9"/>
      <name val="Arial CE"/>
      <charset val="238"/>
    </font>
    <font>
      <b/>
      <i/>
      <sz val="9"/>
      <name val="Arial CE"/>
      <family val="2"/>
      <charset val="238"/>
    </font>
    <font>
      <b/>
      <i/>
      <sz val="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355">
    <xf numFmtId="0" fontId="0" fillId="0" borderId="0" xfId="0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3" fillId="0" borderId="0" xfId="0" applyFont="1"/>
    <xf numFmtId="0" fontId="22" fillId="0" borderId="2" xfId="0" applyFont="1" applyBorder="1" applyAlignment="1"/>
    <xf numFmtId="0" fontId="23" fillId="0" borderId="0" xfId="0" applyFont="1"/>
    <xf numFmtId="0" fontId="3" fillId="5" borderId="2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7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7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4" fillId="14" borderId="10" xfId="0" applyFont="1" applyFill="1" applyBorder="1" applyAlignment="1">
      <alignment wrapText="1"/>
    </xf>
    <xf numFmtId="0" fontId="42" fillId="0" borderId="0" xfId="0" applyFont="1" applyAlignment="1">
      <alignment vertical="center"/>
    </xf>
    <xf numFmtId="0" fontId="7" fillId="0" borderId="7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29" fillId="18" borderId="2" xfId="0" applyFont="1" applyFill="1" applyBorder="1"/>
    <xf numFmtId="0" fontId="7" fillId="0" borderId="2" xfId="0" applyFont="1" applyBorder="1" applyAlignment="1">
      <alignment wrapText="1"/>
    </xf>
    <xf numFmtId="0" fontId="41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19" borderId="2" xfId="0" applyNumberFormat="1" applyFont="1" applyFill="1" applyBorder="1"/>
    <xf numFmtId="0" fontId="7" fillId="19" borderId="2" xfId="0" applyFont="1" applyFill="1" applyBorder="1"/>
    <xf numFmtId="0" fontId="34" fillId="19" borderId="2" xfId="0" applyFont="1" applyFill="1" applyBorder="1" applyAlignment="1">
      <alignment vertical="center" wrapText="1"/>
    </xf>
    <xf numFmtId="3" fontId="7" fillId="19" borderId="2" xfId="0" applyNumberFormat="1" applyFont="1" applyFill="1" applyBorder="1" applyAlignment="1">
      <alignment vertical="center"/>
    </xf>
    <xf numFmtId="0" fontId="11" fillId="19" borderId="2" xfId="0" applyFont="1" applyFill="1" applyBorder="1"/>
    <xf numFmtId="3" fontId="11" fillId="19" borderId="2" xfId="0" applyNumberFormat="1" applyFont="1" applyFill="1" applyBorder="1"/>
    <xf numFmtId="0" fontId="7" fillId="19" borderId="2" xfId="0" applyFont="1" applyFill="1" applyBorder="1" applyAlignment="1">
      <alignment vertical="center" wrapText="1"/>
    </xf>
    <xf numFmtId="0" fontId="11" fillId="14" borderId="4" xfId="0" applyFont="1" applyFill="1" applyBorder="1"/>
    <xf numFmtId="3" fontId="7" fillId="20" borderId="2" xfId="0" applyNumberFormat="1" applyFont="1" applyFill="1" applyBorder="1"/>
    <xf numFmtId="3" fontId="7" fillId="21" borderId="2" xfId="0" applyNumberFormat="1" applyFont="1" applyFill="1" applyBorder="1"/>
    <xf numFmtId="0" fontId="34" fillId="21" borderId="2" xfId="0" applyFont="1" applyFill="1" applyBorder="1"/>
    <xf numFmtId="0" fontId="7" fillId="21" borderId="4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7" fillId="20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1" borderId="2" xfId="0" applyFont="1" applyFill="1" applyBorder="1" applyAlignment="1">
      <alignment vertical="center" wrapText="1"/>
    </xf>
    <xf numFmtId="0" fontId="7" fillId="20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1" xfId="0" applyFont="1" applyBorder="1"/>
    <xf numFmtId="3" fontId="7" fillId="0" borderId="21" xfId="0" applyNumberFormat="1" applyFont="1" applyBorder="1"/>
    <xf numFmtId="0" fontId="10" fillId="0" borderId="1" xfId="0" applyFont="1" applyBorder="1"/>
    <xf numFmtId="0" fontId="11" fillId="0" borderId="9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49" fontId="7" fillId="19" borderId="2" xfId="0" applyNumberFormat="1" applyFont="1" applyFill="1" applyBorder="1" applyAlignment="1">
      <alignment horizontal="center"/>
    </xf>
    <xf numFmtId="0" fontId="7" fillId="19" borderId="2" xfId="0" applyFont="1" applyFill="1" applyBorder="1" applyAlignment="1">
      <alignment wrapText="1"/>
    </xf>
    <xf numFmtId="49" fontId="7" fillId="19" borderId="2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3" fontId="0" fillId="14" borderId="0" xfId="0" applyNumberFormat="1" applyFill="1"/>
    <xf numFmtId="3" fontId="1" fillId="14" borderId="0" xfId="0" applyNumberFormat="1" applyFont="1" applyFill="1"/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5" xfId="0" applyNumberFormat="1" applyFont="1" applyFill="1" applyBorder="1" applyAlignment="1">
      <alignment horizontal="center" vertical="center" wrapText="1"/>
    </xf>
    <xf numFmtId="3" fontId="14" fillId="14" borderId="14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9" fillId="14" borderId="2" xfId="0" applyNumberFormat="1" applyFont="1" applyFill="1" applyBorder="1"/>
    <xf numFmtId="3" fontId="11" fillId="14" borderId="0" xfId="0" applyNumberFormat="1" applyFont="1" applyFill="1" applyBorder="1"/>
    <xf numFmtId="3" fontId="11" fillId="14" borderId="2" xfId="0" applyNumberFormat="1" applyFont="1" applyFill="1" applyBorder="1" applyAlignment="1">
      <alignment vertical="center"/>
    </xf>
    <xf numFmtId="3" fontId="29" fillId="14" borderId="2" xfId="0" applyNumberFormat="1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23" fillId="14" borderId="0" xfId="0" applyFont="1" applyFill="1" applyAlignment="1">
      <alignment vertical="center"/>
    </xf>
    <xf numFmtId="49" fontId="12" fillId="12" borderId="12" xfId="0" applyNumberFormat="1" applyFont="1" applyFill="1" applyBorder="1" applyAlignment="1">
      <alignment horizontal="center"/>
    </xf>
    <xf numFmtId="49" fontId="12" fillId="14" borderId="12" xfId="0" applyNumberFormat="1" applyFont="1" applyFill="1" applyBorder="1" applyAlignment="1">
      <alignment horizontal="center"/>
    </xf>
    <xf numFmtId="0" fontId="27" fillId="9" borderId="9" xfId="0" applyFont="1" applyFill="1" applyBorder="1" applyAlignment="1">
      <alignment horizontal="left"/>
    </xf>
    <xf numFmtId="0" fontId="16" fillId="8" borderId="9" xfId="0" applyFont="1" applyFill="1" applyBorder="1" applyAlignment="1">
      <alignment horizontal="left"/>
    </xf>
    <xf numFmtId="3" fontId="28" fillId="2" borderId="19" xfId="0" applyNumberFormat="1" applyFont="1" applyFill="1" applyBorder="1" applyAlignment="1">
      <alignment horizontal="left"/>
    </xf>
    <xf numFmtId="3" fontId="49" fillId="14" borderId="2" xfId="0" applyNumberFormat="1" applyFont="1" applyFill="1" applyBorder="1" applyAlignment="1">
      <alignment horizontal="center" vertical="center" wrapText="1"/>
    </xf>
    <xf numFmtId="3" fontId="0" fillId="23" borderId="7" xfId="0" applyNumberFormat="1" applyFill="1" applyBorder="1"/>
    <xf numFmtId="2" fontId="35" fillId="14" borderId="2" xfId="0" applyNumberFormat="1" applyFont="1" applyFill="1" applyBorder="1" applyAlignment="1">
      <alignment wrapText="1"/>
    </xf>
    <xf numFmtId="2" fontId="35" fillId="14" borderId="2" xfId="0" applyNumberFormat="1" applyFont="1" applyFill="1" applyBorder="1"/>
    <xf numFmtId="49" fontId="50" fillId="0" borderId="2" xfId="0" applyNumberFormat="1" applyFont="1" applyBorder="1" applyAlignment="1">
      <alignment horizontal="center"/>
    </xf>
    <xf numFmtId="0" fontId="50" fillId="0" borderId="2" xfId="0" applyFont="1" applyBorder="1"/>
    <xf numFmtId="4" fontId="51" fillId="0" borderId="2" xfId="0" applyNumberFormat="1" applyFont="1" applyBorder="1"/>
    <xf numFmtId="4" fontId="34" fillId="0" borderId="2" xfId="0" applyNumberFormat="1" applyFont="1" applyBorder="1"/>
    <xf numFmtId="3" fontId="52" fillId="0" borderId="2" xfId="0" applyNumberFormat="1" applyFont="1" applyFill="1" applyBorder="1" applyProtection="1">
      <protection locked="0"/>
    </xf>
    <xf numFmtId="3" fontId="51" fillId="0" borderId="2" xfId="0" applyNumberFormat="1" applyFont="1" applyFill="1" applyBorder="1"/>
    <xf numFmtId="3" fontId="7" fillId="0" borderId="2" xfId="0" applyNumberFormat="1" applyFont="1" applyFill="1" applyBorder="1" applyProtection="1">
      <protection locked="0"/>
    </xf>
    <xf numFmtId="0" fontId="11" fillId="0" borderId="7" xfId="0" applyFont="1" applyBorder="1"/>
    <xf numFmtId="0" fontId="10" fillId="0" borderId="7" xfId="0" applyFont="1" applyBorder="1"/>
    <xf numFmtId="0" fontId="5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4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14" borderId="2" xfId="0" applyFont="1" applyFill="1" applyBorder="1"/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164" fontId="1" fillId="14" borderId="5" xfId="0" applyNumberFormat="1" applyFont="1" applyFill="1" applyBorder="1" applyAlignment="1"/>
    <xf numFmtId="0" fontId="9" fillId="2" borderId="3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0" fontId="24" fillId="6" borderId="32" xfId="0" applyFont="1" applyFill="1" applyBorder="1" applyAlignment="1">
      <alignment horizontal="center"/>
    </xf>
    <xf numFmtId="0" fontId="24" fillId="6" borderId="21" xfId="0" applyFont="1" applyFill="1" applyBorder="1"/>
    <xf numFmtId="3" fontId="24" fillId="6" borderId="21" xfId="0" applyNumberFormat="1" applyFont="1" applyFill="1" applyBorder="1"/>
    <xf numFmtId="0" fontId="30" fillId="0" borderId="31" xfId="0" applyFont="1" applyFill="1" applyBorder="1" applyAlignment="1">
      <alignment horizontal="center"/>
    </xf>
    <xf numFmtId="164" fontId="1" fillId="14" borderId="40" xfId="0" applyNumberFormat="1" applyFont="1" applyFill="1" applyBorder="1"/>
    <xf numFmtId="164" fontId="1" fillId="14" borderId="26" xfId="0" applyNumberFormat="1" applyFont="1" applyFill="1" applyBorder="1"/>
    <xf numFmtId="164" fontId="10" fillId="14" borderId="26" xfId="0" applyNumberFormat="1" applyFont="1" applyFill="1" applyBorder="1"/>
    <xf numFmtId="0" fontId="30" fillId="0" borderId="32" xfId="0" applyFont="1" applyFill="1" applyBorder="1" applyAlignment="1">
      <alignment horizontal="center"/>
    </xf>
    <xf numFmtId="0" fontId="9" fillId="2" borderId="21" xfId="0" applyFont="1" applyFill="1" applyBorder="1" applyAlignment="1">
      <alignment vertical="center"/>
    </xf>
    <xf numFmtId="3" fontId="9" fillId="2" borderId="21" xfId="0" applyNumberFormat="1" applyFont="1" applyFill="1" applyBorder="1" applyAlignment="1">
      <alignment vertical="center"/>
    </xf>
    <xf numFmtId="164" fontId="10" fillId="14" borderId="27" xfId="0" applyNumberFormat="1" applyFont="1" applyFill="1" applyBorder="1"/>
    <xf numFmtId="0" fontId="41" fillId="0" borderId="0" xfId="0" applyFont="1" applyBorder="1" applyAlignment="1">
      <alignment wrapText="1"/>
    </xf>
    <xf numFmtId="0" fontId="30" fillId="0" borderId="41" xfId="0" applyFont="1" applyFill="1" applyBorder="1" applyAlignment="1">
      <alignment horizontal="center"/>
    </xf>
    <xf numFmtId="164" fontId="1" fillId="14" borderId="27" xfId="0" applyNumberFormat="1" applyFont="1" applyFill="1" applyBorder="1"/>
    <xf numFmtId="164" fontId="31" fillId="0" borderId="26" xfId="0" applyNumberFormat="1" applyFont="1" applyFill="1" applyBorder="1" applyAlignment="1">
      <alignment horizontal="right"/>
    </xf>
    <xf numFmtId="164" fontId="35" fillId="14" borderId="2" xfId="0" applyNumberFormat="1" applyFont="1" applyFill="1" applyBorder="1" applyAlignment="1">
      <alignment vertical="center"/>
    </xf>
    <xf numFmtId="49" fontId="12" fillId="12" borderId="29" xfId="0" applyNumberFormat="1" applyFont="1" applyFill="1" applyBorder="1" applyAlignment="1">
      <alignment horizontal="center"/>
    </xf>
    <xf numFmtId="49" fontId="12" fillId="14" borderId="29" xfId="0" applyNumberFormat="1" applyFont="1" applyFill="1" applyBorder="1" applyAlignment="1">
      <alignment horizontal="center"/>
    </xf>
    <xf numFmtId="3" fontId="14" fillId="14" borderId="2" xfId="0" applyNumberFormat="1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164" fontId="35" fillId="14" borderId="26" xfId="0" applyNumberFormat="1" applyFont="1" applyFill="1" applyBorder="1" applyAlignment="1"/>
    <xf numFmtId="0" fontId="35" fillId="0" borderId="31" xfId="0" applyFont="1" applyFill="1" applyBorder="1" applyAlignment="1">
      <alignment horizontal="center"/>
    </xf>
    <xf numFmtId="164" fontId="1" fillId="14" borderId="26" xfId="0" applyNumberFormat="1" applyFont="1" applyFill="1" applyBorder="1" applyAlignment="1">
      <alignment vertical="center"/>
    </xf>
    <xf numFmtId="0" fontId="30" fillId="17" borderId="2" xfId="0" applyFont="1" applyFill="1" applyBorder="1"/>
    <xf numFmtId="0" fontId="30" fillId="20" borderId="2" xfId="0" applyFont="1" applyFill="1" applyBorder="1"/>
    <xf numFmtId="0" fontId="30" fillId="21" borderId="2" xfId="0" applyFont="1" applyFill="1" applyBorder="1"/>
    <xf numFmtId="0" fontId="30" fillId="19" borderId="2" xfId="0" applyFont="1" applyFill="1" applyBorder="1"/>
    <xf numFmtId="0" fontId="30" fillId="0" borderId="2" xfId="0" applyFont="1" applyBorder="1"/>
    <xf numFmtId="0" fontId="35" fillId="0" borderId="32" xfId="0" applyFont="1" applyFill="1" applyBorder="1" applyAlignment="1">
      <alignment horizontal="center"/>
    </xf>
    <xf numFmtId="0" fontId="18" fillId="4" borderId="21" xfId="0" applyFont="1" applyFill="1" applyBorder="1" applyAlignment="1"/>
    <xf numFmtId="3" fontId="18" fillId="4" borderId="21" xfId="0" applyNumberFormat="1" applyFont="1" applyFill="1" applyBorder="1" applyAlignment="1"/>
    <xf numFmtId="164" fontId="35" fillId="14" borderId="21" xfId="0" applyNumberFormat="1" applyFont="1" applyFill="1" applyBorder="1" applyAlignment="1">
      <alignment vertical="center"/>
    </xf>
    <xf numFmtId="3" fontId="18" fillId="14" borderId="21" xfId="0" applyNumberFormat="1" applyFont="1" applyFill="1" applyBorder="1" applyAlignment="1"/>
    <xf numFmtId="164" fontId="35" fillId="14" borderId="27" xfId="0" applyNumberFormat="1" applyFont="1" applyFill="1" applyBorder="1" applyAlignment="1"/>
    <xf numFmtId="164" fontId="1" fillId="14" borderId="2" xfId="0" applyNumberFormat="1" applyFont="1" applyFill="1" applyBorder="1"/>
    <xf numFmtId="164" fontId="11" fillId="14" borderId="2" xfId="0" applyNumberFormat="1" applyFont="1" applyFill="1" applyBorder="1"/>
    <xf numFmtId="164" fontId="7" fillId="14" borderId="2" xfId="0" applyNumberFormat="1" applyFont="1" applyFill="1" applyBorder="1"/>
    <xf numFmtId="164" fontId="7" fillId="14" borderId="2" xfId="0" applyNumberFormat="1" applyFont="1" applyFill="1" applyBorder="1" applyAlignment="1">
      <alignment vertical="center"/>
    </xf>
    <xf numFmtId="164" fontId="1" fillId="14" borderId="2" xfId="0" applyNumberFormat="1" applyFont="1" applyFill="1" applyBorder="1" applyAlignment="1">
      <alignment vertical="center"/>
    </xf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164" fontId="49" fillId="14" borderId="2" xfId="0" applyNumberFormat="1" applyFont="1" applyFill="1" applyBorder="1"/>
    <xf numFmtId="164" fontId="35" fillId="14" borderId="2" xfId="0" applyNumberFormat="1" applyFont="1" applyFill="1" applyBorder="1" applyAlignment="1">
      <alignment wrapText="1"/>
    </xf>
    <xf numFmtId="164" fontId="32" fillId="14" borderId="4" xfId="0" applyNumberFormat="1" applyFont="1" applyFill="1" applyBorder="1"/>
    <xf numFmtId="164" fontId="0" fillId="0" borderId="0" xfId="0" applyNumberFormat="1"/>
    <xf numFmtId="164" fontId="0" fillId="23" borderId="4" xfId="0" applyNumberFormat="1" applyFill="1" applyBorder="1"/>
    <xf numFmtId="164" fontId="47" fillId="14" borderId="26" xfId="0" applyNumberFormat="1" applyFont="1" applyFill="1" applyBorder="1" applyAlignment="1">
      <alignment vertical="center"/>
    </xf>
    <xf numFmtId="164" fontId="46" fillId="14" borderId="27" xfId="0" applyNumberFormat="1" applyFont="1" applyFill="1" applyBorder="1"/>
    <xf numFmtId="0" fontId="41" fillId="0" borderId="0" xfId="0" applyFont="1" applyAlignment="1">
      <alignment horizontal="center" vertical="center" wrapText="1"/>
    </xf>
    <xf numFmtId="49" fontId="4" fillId="10" borderId="28" xfId="0" applyNumberFormat="1" applyFont="1" applyFill="1" applyBorder="1" applyAlignment="1">
      <alignment horizontal="center" vertical="center"/>
    </xf>
    <xf numFmtId="49" fontId="4" fillId="10" borderId="29" xfId="0" applyNumberFormat="1" applyFont="1" applyFill="1" applyBorder="1" applyAlignment="1">
      <alignment horizontal="center" vertical="center"/>
    </xf>
    <xf numFmtId="49" fontId="4" fillId="10" borderId="31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/>
    </xf>
    <xf numFmtId="49" fontId="6" fillId="10" borderId="2" xfId="0" applyNumberFormat="1" applyFont="1" applyFill="1" applyBorder="1" applyAlignment="1">
      <alignment horizontal="center" vertical="center" wrapText="1"/>
    </xf>
    <xf numFmtId="49" fontId="6" fillId="1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8" fillId="10" borderId="2" xfId="0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4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49" fontId="44" fillId="14" borderId="22" xfId="0" applyNumberFormat="1" applyFont="1" applyFill="1" applyBorder="1" applyAlignment="1">
      <alignment horizontal="center" vertical="center" wrapText="1"/>
    </xf>
    <xf numFmtId="0" fontId="45" fillId="22" borderId="23" xfId="0" applyFont="1" applyFill="1" applyBorder="1" applyAlignment="1">
      <alignment horizontal="center" vertical="center" wrapText="1"/>
    </xf>
    <xf numFmtId="0" fontId="45" fillId="22" borderId="24" xfId="0" applyFont="1" applyFill="1" applyBorder="1" applyAlignment="1">
      <alignment horizontal="center" vertical="center" wrapText="1"/>
    </xf>
    <xf numFmtId="0" fontId="45" fillId="22" borderId="2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3" fontId="25" fillId="13" borderId="29" xfId="0" applyNumberFormat="1" applyFont="1" applyFill="1" applyBorder="1" applyAlignment="1">
      <alignment horizontal="center" vertical="center" wrapText="1"/>
    </xf>
    <xf numFmtId="3" fontId="25" fillId="13" borderId="2" xfId="0" applyNumberFormat="1" applyFont="1" applyFill="1" applyBorder="1" applyAlignment="1">
      <alignment horizontal="center" vertical="center" wrapText="1"/>
    </xf>
    <xf numFmtId="3" fontId="25" fillId="13" borderId="36" xfId="0" applyNumberFormat="1" applyFont="1" applyFill="1" applyBorder="1" applyAlignment="1">
      <alignment horizontal="center" vertical="center" wrapText="1"/>
    </xf>
    <xf numFmtId="3" fontId="25" fillId="13" borderId="15" xfId="0" applyNumberFormat="1" applyFont="1" applyFill="1" applyBorder="1" applyAlignment="1">
      <alignment horizontal="center" vertical="center" wrapText="1"/>
    </xf>
    <xf numFmtId="3" fontId="25" fillId="13" borderId="14" xfId="0" applyNumberFormat="1" applyFont="1" applyFill="1" applyBorder="1" applyAlignment="1">
      <alignment horizontal="center" vertical="center" wrapText="1"/>
    </xf>
    <xf numFmtId="49" fontId="4" fillId="10" borderId="33" xfId="0" applyNumberFormat="1" applyFont="1" applyFill="1" applyBorder="1" applyAlignment="1">
      <alignment horizontal="center" vertical="center"/>
    </xf>
    <xf numFmtId="49" fontId="4" fillId="10" borderId="34" xfId="0" applyNumberFormat="1" applyFont="1" applyFill="1" applyBorder="1" applyAlignment="1">
      <alignment horizontal="center" vertical="center"/>
    </xf>
    <xf numFmtId="49" fontId="4" fillId="10" borderId="35" xfId="0" applyNumberFormat="1" applyFont="1" applyFill="1" applyBorder="1" applyAlignment="1">
      <alignment horizontal="center" vertical="center"/>
    </xf>
    <xf numFmtId="49" fontId="4" fillId="10" borderId="37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4" xfId="0" applyNumberFormat="1" applyFont="1" applyFill="1" applyBorder="1" applyAlignment="1">
      <alignment horizontal="center" vertical="center" wrapText="1"/>
    </xf>
    <xf numFmtId="0" fontId="45" fillId="22" borderId="29" xfId="0" applyFont="1" applyFill="1" applyBorder="1" applyAlignment="1">
      <alignment horizontal="center" vertical="center" wrapText="1"/>
    </xf>
    <xf numFmtId="0" fontId="45" fillId="22" borderId="2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8" xfId="0" applyFont="1" applyBorder="1" applyAlignment="1">
      <alignment horizontal="center" wrapText="1"/>
    </xf>
    <xf numFmtId="0" fontId="18" fillId="4" borderId="2" xfId="0" applyFont="1" applyFill="1" applyBorder="1" applyAlignment="1"/>
    <xf numFmtId="0" fontId="0" fillId="0" borderId="2" xfId="0" applyBorder="1" applyAlignment="1"/>
    <xf numFmtId="0" fontId="18" fillId="4" borderId="21" xfId="0" applyFont="1" applyFill="1" applyBorder="1" applyAlignment="1"/>
    <xf numFmtId="0" fontId="0" fillId="0" borderId="21" xfId="0" applyBorder="1" applyAlignment="1"/>
    <xf numFmtId="0" fontId="15" fillId="0" borderId="0" xfId="0" applyFont="1" applyFill="1" applyBorder="1" applyAlignment="1"/>
    <xf numFmtId="0" fontId="0" fillId="0" borderId="0" xfId="0" applyAlignment="1"/>
    <xf numFmtId="49" fontId="12" fillId="12" borderId="7" xfId="0" applyNumberFormat="1" applyFont="1" applyFill="1" applyBorder="1" applyAlignment="1">
      <alignment horizontal="center"/>
    </xf>
    <xf numFmtId="49" fontId="12" fillId="12" borderId="9" xfId="0" applyNumberFormat="1" applyFont="1" applyFill="1" applyBorder="1" applyAlignment="1">
      <alignment horizontal="center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5" xfId="0" applyNumberFormat="1" applyFont="1" applyFill="1" applyBorder="1" applyAlignment="1">
      <alignment horizontal="center" vertical="center" wrapText="1"/>
    </xf>
    <xf numFmtId="3" fontId="14" fillId="13" borderId="14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17" xfId="0" applyFont="1" applyFill="1" applyBorder="1" applyAlignment="1">
      <alignment horizontal="center" vertical="center" textRotation="180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4" borderId="7" xfId="0" applyFont="1" applyFill="1" applyBorder="1" applyAlignment="1"/>
    <xf numFmtId="0" fontId="0" fillId="0" borderId="9" xfId="0" applyBorder="1" applyAlignment="1"/>
    <xf numFmtId="0" fontId="0" fillId="0" borderId="4" xfId="0" applyBorder="1" applyAlignment="1"/>
    <xf numFmtId="0" fontId="1" fillId="11" borderId="31" xfId="0" applyFont="1" applyFill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14" fillId="13" borderId="29" xfId="0" applyNumberFormat="1" applyFont="1" applyFill="1" applyBorder="1" applyAlignment="1">
      <alignment horizontal="center" vertical="center" wrapText="1"/>
    </xf>
    <xf numFmtId="3" fontId="14" fillId="13" borderId="2" xfId="0" applyNumberFormat="1" applyFont="1" applyFill="1" applyBorder="1" applyAlignment="1">
      <alignment horizontal="center" vertical="center" wrapText="1"/>
    </xf>
    <xf numFmtId="49" fontId="12" fillId="12" borderId="28" xfId="0" applyNumberFormat="1" applyFont="1" applyFill="1" applyBorder="1" applyAlignment="1">
      <alignment horizontal="center"/>
    </xf>
    <xf numFmtId="49" fontId="12" fillId="12" borderId="29" xfId="0" applyNumberFormat="1" applyFont="1" applyFill="1" applyBorder="1" applyAlignment="1">
      <alignment horizontal="center"/>
    </xf>
    <xf numFmtId="3" fontId="48" fillId="14" borderId="2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3" fontId="48" fillId="14" borderId="1" xfId="0" applyNumberFormat="1" applyFont="1" applyFill="1" applyBorder="1" applyAlignment="1">
      <alignment horizontal="center" vertical="center" wrapText="1"/>
    </xf>
    <xf numFmtId="3" fontId="48" fillId="14" borderId="15" xfId="0" applyNumberFormat="1" applyFont="1" applyFill="1" applyBorder="1" applyAlignment="1">
      <alignment horizontal="center" vertical="center" wrapText="1"/>
    </xf>
    <xf numFmtId="3" fontId="48" fillId="14" borderId="14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/>
    <xf numFmtId="0" fontId="17" fillId="3" borderId="7" xfId="0" applyFont="1" applyFill="1" applyBorder="1" applyAlignment="1"/>
    <xf numFmtId="3" fontId="48" fillId="14" borderId="30" xfId="0" applyNumberFormat="1" applyFont="1" applyFill="1" applyBorder="1" applyAlignment="1">
      <alignment horizontal="center" vertical="center" wrapText="1"/>
    </xf>
    <xf numFmtId="3" fontId="48" fillId="14" borderId="26" xfId="0" applyNumberFormat="1" applyFont="1" applyFill="1" applyBorder="1" applyAlignment="1">
      <alignment horizontal="center" vertical="center" wrapText="1"/>
    </xf>
    <xf numFmtId="0" fontId="43" fillId="14" borderId="0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left"/>
    </xf>
    <xf numFmtId="0" fontId="16" fillId="8" borderId="9" xfId="0" applyFont="1" applyFill="1" applyBorder="1" applyAlignment="1">
      <alignment horizontal="left"/>
    </xf>
    <xf numFmtId="3" fontId="28" fillId="2" borderId="18" xfId="0" applyNumberFormat="1" applyFont="1" applyFill="1" applyBorder="1" applyAlignment="1">
      <alignment horizontal="left"/>
    </xf>
    <xf numFmtId="3" fontId="28" fillId="2" borderId="19" xfId="0" applyNumberFormat="1" applyFont="1" applyFill="1" applyBorder="1" applyAlignment="1">
      <alignment horizontal="left"/>
    </xf>
    <xf numFmtId="0" fontId="33" fillId="14" borderId="0" xfId="0" applyFont="1" applyFill="1" applyBorder="1" applyAlignment="1">
      <alignment horizontal="center" vertical="center" wrapText="1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J441"/>
  <sheetViews>
    <sheetView tabSelected="1" zoomScale="90" zoomScaleNormal="90" workbookViewId="0"/>
  </sheetViews>
  <sheetFormatPr defaultRowHeight="12.75" x14ac:dyDescent="0.2"/>
  <cols>
    <col min="1" max="1" width="6.140625" style="16" customWidth="1"/>
    <col min="2" max="2" width="4" style="15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17" customWidth="1"/>
    <col min="9" max="9" width="14" customWidth="1"/>
    <col min="10" max="10" width="6.42578125" customWidth="1"/>
  </cols>
  <sheetData>
    <row r="1" spans="1:10" ht="7.5" customHeight="1" x14ac:dyDescent="0.2"/>
    <row r="2" spans="1:10" hidden="1" x14ac:dyDescent="0.2"/>
    <row r="3" spans="1:10" ht="54" customHeight="1" thickBot="1" x14ac:dyDescent="0.25">
      <c r="B3" s="274" t="s">
        <v>687</v>
      </c>
      <c r="C3" s="274"/>
      <c r="D3" s="274"/>
      <c r="E3" s="274"/>
      <c r="F3" s="274"/>
      <c r="G3" s="274"/>
      <c r="H3" s="274"/>
      <c r="I3" s="274"/>
      <c r="J3" s="274"/>
    </row>
    <row r="4" spans="1:10" ht="20.25" customHeight="1" x14ac:dyDescent="0.2">
      <c r="B4" s="286" t="s">
        <v>283</v>
      </c>
      <c r="C4" s="287"/>
      <c r="D4" s="287"/>
      <c r="E4" s="287"/>
      <c r="F4" s="287"/>
      <c r="G4" s="288"/>
      <c r="H4" s="283" t="s">
        <v>589</v>
      </c>
      <c r="I4" s="275" t="s">
        <v>689</v>
      </c>
      <c r="J4" s="278" t="s">
        <v>688</v>
      </c>
    </row>
    <row r="5" spans="1:10" ht="15" customHeight="1" x14ac:dyDescent="0.2">
      <c r="B5" s="289"/>
      <c r="C5" s="290"/>
      <c r="D5" s="290"/>
      <c r="E5" s="290"/>
      <c r="F5" s="290"/>
      <c r="G5" s="291"/>
      <c r="H5" s="284"/>
      <c r="I5" s="276"/>
      <c r="J5" s="279"/>
    </row>
    <row r="6" spans="1:10" ht="12.75" customHeight="1" x14ac:dyDescent="0.2">
      <c r="B6" s="292" t="s">
        <v>111</v>
      </c>
      <c r="C6" s="294" t="s">
        <v>113</v>
      </c>
      <c r="D6" s="270" t="s">
        <v>114</v>
      </c>
      <c r="E6" s="270" t="s">
        <v>116</v>
      </c>
      <c r="F6" s="270" t="s">
        <v>117</v>
      </c>
      <c r="G6" s="272" t="s">
        <v>115</v>
      </c>
      <c r="H6" s="284"/>
      <c r="I6" s="276"/>
      <c r="J6" s="279"/>
    </row>
    <row r="7" spans="1:10" ht="13.5" customHeight="1" thickBot="1" x14ac:dyDescent="0.25">
      <c r="A7" s="258"/>
      <c r="B7" s="293"/>
      <c r="C7" s="295"/>
      <c r="D7" s="271"/>
      <c r="E7" s="271"/>
      <c r="F7" s="271"/>
      <c r="G7" s="273"/>
      <c r="H7" s="285"/>
      <c r="I7" s="277"/>
      <c r="J7" s="280"/>
    </row>
    <row r="8" spans="1:10" ht="17.25" thickTop="1" thickBot="1" x14ac:dyDescent="0.3">
      <c r="A8" s="258"/>
      <c r="B8" s="222">
        <v>1</v>
      </c>
      <c r="C8" s="12">
        <v>100</v>
      </c>
      <c r="D8" s="12"/>
      <c r="E8" s="12"/>
      <c r="F8" s="12"/>
      <c r="G8" s="12" t="s">
        <v>43</v>
      </c>
      <c r="H8" s="18">
        <f>H9</f>
        <v>23369634</v>
      </c>
      <c r="I8" s="18">
        <f t="shared" ref="I8" si="0">I9</f>
        <v>13717665</v>
      </c>
      <c r="J8" s="214">
        <f>I8/H8*100</f>
        <v>58.698672816185315</v>
      </c>
    </row>
    <row r="9" spans="1:10" ht="15.75" thickBot="1" x14ac:dyDescent="0.3">
      <c r="A9" s="258"/>
      <c r="B9" s="213">
        <f>B8+1</f>
        <v>2</v>
      </c>
      <c r="C9" s="26"/>
      <c r="D9" s="13"/>
      <c r="E9" s="13"/>
      <c r="F9" s="13"/>
      <c r="G9" s="13" t="s">
        <v>280</v>
      </c>
      <c r="H9" s="19">
        <f>H18+H13+H10</f>
        <v>23369634</v>
      </c>
      <c r="I9" s="19">
        <f t="shared" ref="I9" si="1">I18+I13+I10</f>
        <v>13717665</v>
      </c>
      <c r="J9" s="206">
        <f t="shared" ref="J9:J73" si="2">I9/H9*100</f>
        <v>58.698672816185315</v>
      </c>
    </row>
    <row r="10" spans="1:10" x14ac:dyDescent="0.2">
      <c r="A10" s="258"/>
      <c r="B10" s="213">
        <f>B9+1</f>
        <v>3</v>
      </c>
      <c r="C10" s="27">
        <v>110</v>
      </c>
      <c r="D10" s="8"/>
      <c r="E10" s="8"/>
      <c r="F10" s="8"/>
      <c r="G10" s="8" t="s">
        <v>44</v>
      </c>
      <c r="H10" s="20">
        <f>H11</f>
        <v>15333634</v>
      </c>
      <c r="I10" s="20">
        <f t="shared" ref="I10:I11" si="3">I11</f>
        <v>8747896</v>
      </c>
      <c r="J10" s="215">
        <f t="shared" si="2"/>
        <v>57.05037696869509</v>
      </c>
    </row>
    <row r="11" spans="1:10" x14ac:dyDescent="0.2">
      <c r="A11" s="258"/>
      <c r="B11" s="213">
        <f t="shared" ref="B11:B98" si="4">B10+1</f>
        <v>4</v>
      </c>
      <c r="C11" s="28"/>
      <c r="D11" s="1">
        <v>111</v>
      </c>
      <c r="E11" s="1"/>
      <c r="F11" s="1"/>
      <c r="G11" s="1" t="s">
        <v>45</v>
      </c>
      <c r="H11" s="21">
        <f>H12</f>
        <v>15333634</v>
      </c>
      <c r="I11" s="21">
        <f t="shared" si="3"/>
        <v>8747896</v>
      </c>
      <c r="J11" s="215">
        <f t="shared" si="2"/>
        <v>57.05037696869509</v>
      </c>
    </row>
    <row r="12" spans="1:10" x14ac:dyDescent="0.2">
      <c r="A12" s="258"/>
      <c r="B12" s="213">
        <f t="shared" si="4"/>
        <v>5</v>
      </c>
      <c r="C12" s="29"/>
      <c r="D12" s="2"/>
      <c r="E12" s="2">
        <v>111003</v>
      </c>
      <c r="F12" s="2"/>
      <c r="G12" s="2" t="s">
        <v>42</v>
      </c>
      <c r="H12" s="22">
        <f>15150000+102328+55306+26000</f>
        <v>15333634</v>
      </c>
      <c r="I12" s="22">
        <v>8747896</v>
      </c>
      <c r="J12" s="215">
        <f t="shared" si="2"/>
        <v>57.05037696869509</v>
      </c>
    </row>
    <row r="13" spans="1:10" x14ac:dyDescent="0.2">
      <c r="A13" s="258"/>
      <c r="B13" s="213">
        <f t="shared" si="4"/>
        <v>6</v>
      </c>
      <c r="C13" s="8">
        <v>120</v>
      </c>
      <c r="D13" s="8"/>
      <c r="E13" s="8"/>
      <c r="F13" s="8"/>
      <c r="G13" s="8" t="s">
        <v>47</v>
      </c>
      <c r="H13" s="20">
        <f>H14</f>
        <v>5450000</v>
      </c>
      <c r="I13" s="20">
        <f t="shared" ref="I13" si="5">I14</f>
        <v>3145625</v>
      </c>
      <c r="J13" s="215">
        <f t="shared" si="2"/>
        <v>57.717889908256879</v>
      </c>
    </row>
    <row r="14" spans="1:10" x14ac:dyDescent="0.2">
      <c r="A14" s="258"/>
      <c r="B14" s="213">
        <f t="shared" si="4"/>
        <v>7</v>
      </c>
      <c r="C14" s="1"/>
      <c r="D14" s="1">
        <v>121</v>
      </c>
      <c r="E14" s="1"/>
      <c r="F14" s="1"/>
      <c r="G14" s="1" t="s">
        <v>48</v>
      </c>
      <c r="H14" s="21">
        <f>H17+H16+H15</f>
        <v>5450000</v>
      </c>
      <c r="I14" s="21">
        <f t="shared" ref="I14" si="6">I17+I16+I15</f>
        <v>3145625</v>
      </c>
      <c r="J14" s="215">
        <f t="shared" si="2"/>
        <v>57.717889908256879</v>
      </c>
    </row>
    <row r="15" spans="1:10" x14ac:dyDescent="0.2">
      <c r="A15" s="258"/>
      <c r="B15" s="213">
        <f t="shared" si="4"/>
        <v>8</v>
      </c>
      <c r="C15" s="2"/>
      <c r="D15" s="2"/>
      <c r="E15" s="2">
        <v>121001</v>
      </c>
      <c r="F15" s="2"/>
      <c r="G15" s="2" t="s">
        <v>46</v>
      </c>
      <c r="H15" s="22">
        <v>565000</v>
      </c>
      <c r="I15" s="51">
        <v>342907</v>
      </c>
      <c r="J15" s="215">
        <f t="shared" si="2"/>
        <v>60.691504424778763</v>
      </c>
    </row>
    <row r="16" spans="1:10" x14ac:dyDescent="0.2">
      <c r="B16" s="213">
        <f t="shared" si="4"/>
        <v>9</v>
      </c>
      <c r="C16" s="2"/>
      <c r="D16" s="2"/>
      <c r="E16" s="2">
        <v>121002</v>
      </c>
      <c r="F16" s="2"/>
      <c r="G16" s="2" t="s">
        <v>49</v>
      </c>
      <c r="H16" s="51">
        <v>4500000</v>
      </c>
      <c r="I16" s="51">
        <v>2504017</v>
      </c>
      <c r="J16" s="215">
        <f t="shared" si="2"/>
        <v>55.644822222222224</v>
      </c>
    </row>
    <row r="17" spans="2:10" x14ac:dyDescent="0.2">
      <c r="B17" s="213">
        <f t="shared" si="4"/>
        <v>10</v>
      </c>
      <c r="C17" s="2"/>
      <c r="D17" s="2"/>
      <c r="E17" s="2">
        <v>121003</v>
      </c>
      <c r="F17" s="2"/>
      <c r="G17" s="2" t="s">
        <v>50</v>
      </c>
      <c r="H17" s="51">
        <v>385000</v>
      </c>
      <c r="I17" s="51">
        <v>298701</v>
      </c>
      <c r="J17" s="215">
        <f t="shared" si="2"/>
        <v>77.584675324675317</v>
      </c>
    </row>
    <row r="18" spans="2:10" x14ac:dyDescent="0.2">
      <c r="B18" s="213">
        <f t="shared" si="4"/>
        <v>11</v>
      </c>
      <c r="C18" s="8">
        <v>130</v>
      </c>
      <c r="D18" s="8"/>
      <c r="E18" s="8"/>
      <c r="F18" s="8"/>
      <c r="G18" s="8" t="s">
        <v>52</v>
      </c>
      <c r="H18" s="20">
        <f>H19</f>
        <v>2586000</v>
      </c>
      <c r="I18" s="20">
        <f t="shared" ref="I18" si="7">I19</f>
        <v>1824144</v>
      </c>
      <c r="J18" s="215">
        <f t="shared" si="2"/>
        <v>70.539211136890955</v>
      </c>
    </row>
    <row r="19" spans="2:10" x14ac:dyDescent="0.2">
      <c r="B19" s="213">
        <f t="shared" si="4"/>
        <v>12</v>
      </c>
      <c r="C19" s="1"/>
      <c r="D19" s="1">
        <v>133</v>
      </c>
      <c r="E19" s="1"/>
      <c r="F19" s="1"/>
      <c r="G19" s="1" t="s">
        <v>53</v>
      </c>
      <c r="H19" s="21">
        <f>H23+H22+H21+H20</f>
        <v>2586000</v>
      </c>
      <c r="I19" s="21">
        <f t="shared" ref="I19" si="8">I23+I22+I21+I20</f>
        <v>1824144</v>
      </c>
      <c r="J19" s="215">
        <f t="shared" si="2"/>
        <v>70.539211136890955</v>
      </c>
    </row>
    <row r="20" spans="2:10" x14ac:dyDescent="0.2">
      <c r="B20" s="213">
        <f t="shared" si="4"/>
        <v>13</v>
      </c>
      <c r="C20" s="2"/>
      <c r="D20" s="2"/>
      <c r="E20" s="2">
        <v>133001</v>
      </c>
      <c r="F20" s="2"/>
      <c r="G20" s="2" t="s">
        <v>51</v>
      </c>
      <c r="H20" s="22">
        <v>53000</v>
      </c>
      <c r="I20" s="22">
        <v>39587</v>
      </c>
      <c r="J20" s="215">
        <f t="shared" si="2"/>
        <v>74.692452830188685</v>
      </c>
    </row>
    <row r="21" spans="2:10" x14ac:dyDescent="0.2">
      <c r="B21" s="213">
        <f t="shared" si="4"/>
        <v>14</v>
      </c>
      <c r="C21" s="2"/>
      <c r="D21" s="2"/>
      <c r="E21" s="2">
        <v>133006</v>
      </c>
      <c r="F21" s="2"/>
      <c r="G21" s="2" t="s">
        <v>54</v>
      </c>
      <c r="H21" s="22">
        <f>38000+30000</f>
        <v>68000</v>
      </c>
      <c r="I21" s="22">
        <v>19392</v>
      </c>
      <c r="J21" s="215">
        <f t="shared" si="2"/>
        <v>28.517647058823531</v>
      </c>
    </row>
    <row r="22" spans="2:10" x14ac:dyDescent="0.2">
      <c r="B22" s="213">
        <f t="shared" si="4"/>
        <v>15</v>
      </c>
      <c r="C22" s="2"/>
      <c r="D22" s="2"/>
      <c r="E22" s="2">
        <v>133012</v>
      </c>
      <c r="F22" s="2"/>
      <c r="G22" s="2" t="s">
        <v>55</v>
      </c>
      <c r="H22" s="22">
        <v>65000</v>
      </c>
      <c r="I22" s="22">
        <v>16781</v>
      </c>
      <c r="J22" s="215">
        <f t="shared" si="2"/>
        <v>25.816923076923075</v>
      </c>
    </row>
    <row r="23" spans="2:10" x14ac:dyDescent="0.2">
      <c r="B23" s="213">
        <f>B22+1</f>
        <v>16</v>
      </c>
      <c r="C23" s="2"/>
      <c r="D23" s="2"/>
      <c r="E23" s="2">
        <v>133013</v>
      </c>
      <c r="F23" s="2"/>
      <c r="G23" s="2" t="s">
        <v>56</v>
      </c>
      <c r="H23" s="22">
        <v>2400000</v>
      </c>
      <c r="I23" s="22">
        <f>1729750+3010+15624</f>
        <v>1748384</v>
      </c>
      <c r="J23" s="215">
        <f t="shared" si="2"/>
        <v>72.849333333333334</v>
      </c>
    </row>
    <row r="24" spans="2:10" ht="16.5" thickBot="1" x14ac:dyDescent="0.3">
      <c r="B24" s="213">
        <f t="shared" si="4"/>
        <v>17</v>
      </c>
      <c r="C24" s="12">
        <v>200</v>
      </c>
      <c r="D24" s="12"/>
      <c r="E24" s="12"/>
      <c r="F24" s="12"/>
      <c r="G24" s="12" t="s">
        <v>168</v>
      </c>
      <c r="H24" s="18">
        <f>H360+H346+H332+H317+H303+H287+H274+H266+H252+H188+H111+H104+H60+H56+H25</f>
        <v>3202539</v>
      </c>
      <c r="I24" s="18">
        <f>I360+I346+I332+I317+I303+I287+I274+I266+I252+I188+I111+I104+I60+I56+I25</f>
        <v>1664114</v>
      </c>
      <c r="J24" s="214">
        <f t="shared" si="2"/>
        <v>51.962333635905765</v>
      </c>
    </row>
    <row r="25" spans="2:10" ht="15.75" thickBot="1" x14ac:dyDescent="0.3">
      <c r="B25" s="213">
        <f t="shared" si="4"/>
        <v>18</v>
      </c>
      <c r="C25" s="13"/>
      <c r="D25" s="13"/>
      <c r="E25" s="13"/>
      <c r="F25" s="13"/>
      <c r="G25" s="13" t="s">
        <v>280</v>
      </c>
      <c r="H25" s="19">
        <f>H48+H45+H35+H26</f>
        <v>1465801</v>
      </c>
      <c r="I25" s="19">
        <f t="shared" ref="I25" si="9">I48+I45+I35+I26</f>
        <v>762081</v>
      </c>
      <c r="J25" s="206">
        <f t="shared" si="2"/>
        <v>51.990754543079177</v>
      </c>
    </row>
    <row r="26" spans="2:10" x14ac:dyDescent="0.2">
      <c r="B26" s="213">
        <f t="shared" si="4"/>
        <v>19</v>
      </c>
      <c r="C26" s="8">
        <v>210</v>
      </c>
      <c r="D26" s="8"/>
      <c r="E26" s="8"/>
      <c r="F26" s="8"/>
      <c r="G26" s="8" t="s">
        <v>21</v>
      </c>
      <c r="H26" s="20">
        <f>H27</f>
        <v>463020</v>
      </c>
      <c r="I26" s="20">
        <f t="shared" ref="I26" si="10">I27</f>
        <v>196371</v>
      </c>
      <c r="J26" s="215">
        <f t="shared" si="2"/>
        <v>42.410910975767784</v>
      </c>
    </row>
    <row r="27" spans="2:10" x14ac:dyDescent="0.2">
      <c r="B27" s="213">
        <f t="shared" si="4"/>
        <v>20</v>
      </c>
      <c r="C27" s="1"/>
      <c r="D27" s="1">
        <v>212</v>
      </c>
      <c r="E27" s="1"/>
      <c r="F27" s="1"/>
      <c r="G27" s="1" t="s">
        <v>22</v>
      </c>
      <c r="H27" s="21">
        <f>H29+H28</f>
        <v>463020</v>
      </c>
      <c r="I27" s="21">
        <f t="shared" ref="I27" si="11">I29+I28</f>
        <v>196371</v>
      </c>
      <c r="J27" s="215">
        <f t="shared" si="2"/>
        <v>42.410910975767784</v>
      </c>
    </row>
    <row r="28" spans="2:10" x14ac:dyDescent="0.2">
      <c r="B28" s="213">
        <f t="shared" si="4"/>
        <v>21</v>
      </c>
      <c r="C28" s="2"/>
      <c r="D28" s="2"/>
      <c r="E28" s="2">
        <v>212002</v>
      </c>
      <c r="F28" s="2"/>
      <c r="G28" s="2" t="s">
        <v>57</v>
      </c>
      <c r="H28" s="22">
        <v>89090</v>
      </c>
      <c r="I28" s="22">
        <v>69077</v>
      </c>
      <c r="J28" s="215">
        <f t="shared" si="2"/>
        <v>77.536199348972943</v>
      </c>
    </row>
    <row r="29" spans="2:10" x14ac:dyDescent="0.2">
      <c r="B29" s="213">
        <f t="shared" si="4"/>
        <v>22</v>
      </c>
      <c r="C29" s="2"/>
      <c r="D29" s="2"/>
      <c r="E29" s="2">
        <v>212003</v>
      </c>
      <c r="F29" s="2"/>
      <c r="G29" s="2" t="s">
        <v>23</v>
      </c>
      <c r="H29" s="22">
        <f>SUM(H30:H34)</f>
        <v>373930</v>
      </c>
      <c r="I29" s="22">
        <f t="shared" ref="I29" si="12">SUM(I30:I34)</f>
        <v>127294</v>
      </c>
      <c r="J29" s="215">
        <f t="shared" si="2"/>
        <v>34.04220041184179</v>
      </c>
    </row>
    <row r="30" spans="2:10" x14ac:dyDescent="0.2">
      <c r="B30" s="213">
        <f t="shared" si="4"/>
        <v>23</v>
      </c>
      <c r="C30" s="2"/>
      <c r="D30" s="2"/>
      <c r="E30" s="2"/>
      <c r="F30" s="2"/>
      <c r="G30" s="24" t="s">
        <v>321</v>
      </c>
      <c r="H30" s="68">
        <v>30230</v>
      </c>
      <c r="I30" s="68">
        <v>9531</v>
      </c>
      <c r="J30" s="215">
        <f t="shared" si="2"/>
        <v>31.528283162421435</v>
      </c>
    </row>
    <row r="31" spans="2:10" x14ac:dyDescent="0.2">
      <c r="B31" s="213">
        <f t="shared" si="4"/>
        <v>24</v>
      </c>
      <c r="C31" s="2"/>
      <c r="D31" s="2"/>
      <c r="E31" s="2"/>
      <c r="F31" s="2"/>
      <c r="G31" s="24" t="s">
        <v>322</v>
      </c>
      <c r="H31" s="68">
        <f>235450+1500-13850</f>
        <v>223100</v>
      </c>
      <c r="I31" s="68">
        <f>87943+837</f>
        <v>88780</v>
      </c>
      <c r="J31" s="215">
        <f t="shared" si="2"/>
        <v>39.793814432989691</v>
      </c>
    </row>
    <row r="32" spans="2:10" x14ac:dyDescent="0.2">
      <c r="B32" s="213">
        <f t="shared" si="4"/>
        <v>25</v>
      </c>
      <c r="C32" s="2"/>
      <c r="D32" s="2"/>
      <c r="E32" s="2"/>
      <c r="F32" s="2"/>
      <c r="G32" s="24" t="s">
        <v>323</v>
      </c>
      <c r="H32" s="68">
        <v>29200</v>
      </c>
      <c r="I32" s="68">
        <f>1426+409+329</f>
        <v>2164</v>
      </c>
      <c r="J32" s="215">
        <f t="shared" si="2"/>
        <v>7.4109589041095898</v>
      </c>
    </row>
    <row r="33" spans="1:10" x14ac:dyDescent="0.2">
      <c r="B33" s="213">
        <f t="shared" si="4"/>
        <v>26</v>
      </c>
      <c r="C33" s="2"/>
      <c r="D33" s="2"/>
      <c r="E33" s="2"/>
      <c r="F33" s="2"/>
      <c r="G33" s="24" t="s">
        <v>324</v>
      </c>
      <c r="H33" s="68">
        <v>81400</v>
      </c>
      <c r="I33" s="68">
        <v>21574</v>
      </c>
      <c r="J33" s="215">
        <f t="shared" si="2"/>
        <v>26.503685503685503</v>
      </c>
    </row>
    <row r="34" spans="1:10" x14ac:dyDescent="0.2">
      <c r="B34" s="213">
        <f t="shared" si="4"/>
        <v>27</v>
      </c>
      <c r="C34" s="2"/>
      <c r="D34" s="2"/>
      <c r="E34" s="2"/>
      <c r="F34" s="2"/>
      <c r="G34" s="24" t="s">
        <v>325</v>
      </c>
      <c r="H34" s="68">
        <v>10000</v>
      </c>
      <c r="I34" s="68">
        <f>666+374+280+3925</f>
        <v>5245</v>
      </c>
      <c r="J34" s="215">
        <f t="shared" si="2"/>
        <v>52.449999999999996</v>
      </c>
    </row>
    <row r="35" spans="1:10" x14ac:dyDescent="0.2">
      <c r="B35" s="213">
        <f t="shared" si="4"/>
        <v>28</v>
      </c>
      <c r="C35" s="8">
        <v>220</v>
      </c>
      <c r="D35" s="8"/>
      <c r="E35" s="8"/>
      <c r="F35" s="8"/>
      <c r="G35" s="8" t="s">
        <v>223</v>
      </c>
      <c r="H35" s="20">
        <f>H43+H41+H39+H36</f>
        <v>460600</v>
      </c>
      <c r="I35" s="20">
        <f t="shared" ref="I35" si="13">I43+I41+I39+I36</f>
        <v>169778</v>
      </c>
      <c r="J35" s="215">
        <f t="shared" si="2"/>
        <v>36.860182370820674</v>
      </c>
    </row>
    <row r="36" spans="1:10" x14ac:dyDescent="0.2">
      <c r="B36" s="213">
        <f t="shared" si="4"/>
        <v>29</v>
      </c>
      <c r="C36" s="1"/>
      <c r="D36" s="1">
        <v>221</v>
      </c>
      <c r="E36" s="1"/>
      <c r="F36" s="1"/>
      <c r="G36" s="1" t="s">
        <v>224</v>
      </c>
      <c r="H36" s="21">
        <f>H38+H37</f>
        <v>289000</v>
      </c>
      <c r="I36" s="21">
        <f t="shared" ref="I36" si="14">I38+I37</f>
        <v>96425</v>
      </c>
      <c r="J36" s="215">
        <f t="shared" si="2"/>
        <v>33.365051903114185</v>
      </c>
    </row>
    <row r="37" spans="1:10" x14ac:dyDescent="0.2">
      <c r="B37" s="213">
        <f t="shared" si="4"/>
        <v>30</v>
      </c>
      <c r="C37" s="2"/>
      <c r="D37" s="2"/>
      <c r="E37" s="2">
        <v>221004</v>
      </c>
      <c r="F37" s="2"/>
      <c r="G37" s="2" t="s">
        <v>225</v>
      </c>
      <c r="H37" s="22">
        <f>180000-25000+8500+10000</f>
        <v>173500</v>
      </c>
      <c r="I37" s="22">
        <v>93425</v>
      </c>
      <c r="J37" s="215">
        <f t="shared" si="2"/>
        <v>53.847262247838614</v>
      </c>
    </row>
    <row r="38" spans="1:10" x14ac:dyDescent="0.2">
      <c r="B38" s="213">
        <f t="shared" si="4"/>
        <v>31</v>
      </c>
      <c r="C38" s="2"/>
      <c r="D38" s="2"/>
      <c r="E38" s="2">
        <v>221005</v>
      </c>
      <c r="F38" s="2"/>
      <c r="G38" s="25" t="s">
        <v>240</v>
      </c>
      <c r="H38" s="68">
        <v>115500</v>
      </c>
      <c r="I38" s="68">
        <v>3000</v>
      </c>
      <c r="J38" s="215">
        <f t="shared" si="2"/>
        <v>2.5974025974025974</v>
      </c>
    </row>
    <row r="39" spans="1:10" x14ac:dyDescent="0.2">
      <c r="B39" s="213">
        <f t="shared" si="4"/>
        <v>32</v>
      </c>
      <c r="C39" s="1"/>
      <c r="D39" s="1">
        <v>222</v>
      </c>
      <c r="E39" s="1"/>
      <c r="F39" s="1"/>
      <c r="G39" s="1" t="s">
        <v>239</v>
      </c>
      <c r="H39" s="21">
        <f>H40</f>
        <v>90000</v>
      </c>
      <c r="I39" s="21">
        <f t="shared" ref="I39" si="15">I40</f>
        <v>32404</v>
      </c>
      <c r="J39" s="215">
        <f t="shared" si="2"/>
        <v>36.004444444444445</v>
      </c>
    </row>
    <row r="40" spans="1:10" x14ac:dyDescent="0.2">
      <c r="B40" s="213">
        <f t="shared" si="4"/>
        <v>33</v>
      </c>
      <c r="C40" s="2"/>
      <c r="D40" s="2"/>
      <c r="E40" s="2">
        <v>222003</v>
      </c>
      <c r="F40" s="2"/>
      <c r="G40" s="2" t="s">
        <v>238</v>
      </c>
      <c r="H40" s="22">
        <v>90000</v>
      </c>
      <c r="I40" s="22">
        <v>32404</v>
      </c>
      <c r="J40" s="215">
        <f t="shared" si="2"/>
        <v>36.004444444444445</v>
      </c>
    </row>
    <row r="41" spans="1:10" x14ac:dyDescent="0.2">
      <c r="B41" s="213">
        <f t="shared" si="4"/>
        <v>34</v>
      </c>
      <c r="C41" s="1"/>
      <c r="D41" s="1">
        <v>223</v>
      </c>
      <c r="E41" s="1"/>
      <c r="F41" s="1"/>
      <c r="G41" s="1" t="s">
        <v>25</v>
      </c>
      <c r="H41" s="21">
        <f>H42</f>
        <v>80000</v>
      </c>
      <c r="I41" s="21">
        <f t="shared" ref="I41" si="16">I42</f>
        <v>39602</v>
      </c>
      <c r="J41" s="215">
        <f t="shared" si="2"/>
        <v>49.502499999999998</v>
      </c>
    </row>
    <row r="42" spans="1:10" x14ac:dyDescent="0.2">
      <c r="B42" s="213">
        <f t="shared" si="4"/>
        <v>35</v>
      </c>
      <c r="C42" s="2"/>
      <c r="D42" s="2"/>
      <c r="E42" s="2">
        <v>223001</v>
      </c>
      <c r="F42" s="2"/>
      <c r="G42" s="2" t="s">
        <v>26</v>
      </c>
      <c r="H42" s="22">
        <v>80000</v>
      </c>
      <c r="I42" s="22">
        <v>39602</v>
      </c>
      <c r="J42" s="215">
        <f t="shared" si="2"/>
        <v>49.502499999999998</v>
      </c>
    </row>
    <row r="43" spans="1:10" x14ac:dyDescent="0.2">
      <c r="B43" s="213">
        <f t="shared" si="4"/>
        <v>36</v>
      </c>
      <c r="C43" s="1"/>
      <c r="D43" s="1">
        <v>229</v>
      </c>
      <c r="E43" s="1"/>
      <c r="F43" s="1"/>
      <c r="G43" s="1" t="s">
        <v>39</v>
      </c>
      <c r="H43" s="21">
        <f>H44</f>
        <v>1600</v>
      </c>
      <c r="I43" s="21">
        <f t="shared" ref="I43" si="17">I44</f>
        <v>1347</v>
      </c>
      <c r="J43" s="215">
        <f t="shared" si="2"/>
        <v>84.1875</v>
      </c>
    </row>
    <row r="44" spans="1:10" x14ac:dyDescent="0.2">
      <c r="B44" s="213">
        <f t="shared" si="4"/>
        <v>37</v>
      </c>
      <c r="C44" s="2"/>
      <c r="D44" s="2"/>
      <c r="E44" s="2">
        <v>229005</v>
      </c>
      <c r="F44" s="2"/>
      <c r="G44" s="2" t="s">
        <v>40</v>
      </c>
      <c r="H44" s="22">
        <v>1600</v>
      </c>
      <c r="I44" s="22">
        <v>1347</v>
      </c>
      <c r="J44" s="215">
        <f t="shared" si="2"/>
        <v>84.1875</v>
      </c>
    </row>
    <row r="45" spans="1:10" x14ac:dyDescent="0.2">
      <c r="B45" s="213">
        <f t="shared" si="4"/>
        <v>38</v>
      </c>
      <c r="C45" s="8">
        <v>240</v>
      </c>
      <c r="D45" s="8"/>
      <c r="E45" s="8"/>
      <c r="F45" s="8"/>
      <c r="G45" s="8" t="s">
        <v>173</v>
      </c>
      <c r="H45" s="20">
        <f>H46</f>
        <v>2000</v>
      </c>
      <c r="I45" s="20">
        <f t="shared" ref="I45:I46" si="18">I46</f>
        <v>2398</v>
      </c>
      <c r="J45" s="215">
        <f t="shared" si="2"/>
        <v>119.9</v>
      </c>
    </row>
    <row r="46" spans="1:10" x14ac:dyDescent="0.2">
      <c r="A46" s="300"/>
      <c r="B46" s="213">
        <f t="shared" si="4"/>
        <v>39</v>
      </c>
      <c r="C46" s="1"/>
      <c r="D46" s="1">
        <v>242</v>
      </c>
      <c r="E46" s="1"/>
      <c r="F46" s="1"/>
      <c r="G46" s="1" t="s">
        <v>172</v>
      </c>
      <c r="H46" s="21">
        <f>H47</f>
        <v>2000</v>
      </c>
      <c r="I46" s="21">
        <f t="shared" si="18"/>
        <v>2398</v>
      </c>
      <c r="J46" s="215">
        <f t="shared" si="2"/>
        <v>119.9</v>
      </c>
    </row>
    <row r="47" spans="1:10" x14ac:dyDescent="0.2">
      <c r="A47" s="300"/>
      <c r="B47" s="213">
        <f t="shared" si="4"/>
        <v>40</v>
      </c>
      <c r="C47" s="2"/>
      <c r="D47" s="2"/>
      <c r="E47" s="2">
        <v>242</v>
      </c>
      <c r="F47" s="2"/>
      <c r="G47" s="2" t="s">
        <v>172</v>
      </c>
      <c r="H47" s="22">
        <v>2000</v>
      </c>
      <c r="I47" s="22">
        <v>2398</v>
      </c>
      <c r="J47" s="215">
        <f t="shared" si="2"/>
        <v>119.9</v>
      </c>
    </row>
    <row r="48" spans="1:10" x14ac:dyDescent="0.2">
      <c r="B48" s="213">
        <f t="shared" si="4"/>
        <v>41</v>
      </c>
      <c r="C48" s="8">
        <v>290</v>
      </c>
      <c r="D48" s="8"/>
      <c r="E48" s="8"/>
      <c r="F48" s="8"/>
      <c r="G48" s="8" t="s">
        <v>174</v>
      </c>
      <c r="H48" s="20">
        <f>H49</f>
        <v>540181</v>
      </c>
      <c r="I48" s="20">
        <f t="shared" ref="I48" si="19">I49</f>
        <v>393534</v>
      </c>
      <c r="J48" s="215">
        <f t="shared" si="2"/>
        <v>72.852247672539391</v>
      </c>
    </row>
    <row r="49" spans="1:10" x14ac:dyDescent="0.2">
      <c r="A49" s="221"/>
      <c r="B49" s="213">
        <f t="shared" si="4"/>
        <v>42</v>
      </c>
      <c r="C49" s="1"/>
      <c r="D49" s="1">
        <v>292</v>
      </c>
      <c r="E49" s="1"/>
      <c r="F49" s="1"/>
      <c r="G49" s="1" t="s">
        <v>175</v>
      </c>
      <c r="H49" s="21">
        <f>H51+H55+H53</f>
        <v>540181</v>
      </c>
      <c r="I49" s="21">
        <f>I51+I55+I53+I52+I54+I50</f>
        <v>393534</v>
      </c>
      <c r="J49" s="215">
        <f t="shared" si="2"/>
        <v>72.852247672539391</v>
      </c>
    </row>
    <row r="50" spans="1:10" x14ac:dyDescent="0.2">
      <c r="A50" s="221"/>
      <c r="B50" s="213">
        <f t="shared" si="4"/>
        <v>43</v>
      </c>
      <c r="C50" s="1"/>
      <c r="D50" s="1"/>
      <c r="E50" s="2">
        <v>292006</v>
      </c>
      <c r="F50" s="2"/>
      <c r="G50" s="2" t="s">
        <v>695</v>
      </c>
      <c r="H50" s="22">
        <v>0</v>
      </c>
      <c r="I50" s="22">
        <v>1559</v>
      </c>
      <c r="J50" s="215">
        <v>0</v>
      </c>
    </row>
    <row r="51" spans="1:10" x14ac:dyDescent="0.2">
      <c r="A51" s="221"/>
      <c r="B51" s="213">
        <f t="shared" si="4"/>
        <v>44</v>
      </c>
      <c r="C51" s="2"/>
      <c r="D51" s="2"/>
      <c r="E51" s="2">
        <v>292008</v>
      </c>
      <c r="F51" s="2"/>
      <c r="G51" s="2" t="s">
        <v>176</v>
      </c>
      <c r="H51" s="51">
        <v>300000</v>
      </c>
      <c r="I51" s="51">
        <v>163668</v>
      </c>
      <c r="J51" s="215">
        <f t="shared" si="2"/>
        <v>54.556000000000004</v>
      </c>
    </row>
    <row r="52" spans="1:10" x14ac:dyDescent="0.2">
      <c r="A52" s="221"/>
      <c r="B52" s="213">
        <f t="shared" si="4"/>
        <v>45</v>
      </c>
      <c r="C52" s="2"/>
      <c r="D52" s="2"/>
      <c r="E52" s="2">
        <v>292012</v>
      </c>
      <c r="F52" s="2"/>
      <c r="G52" s="2" t="s">
        <v>7</v>
      </c>
      <c r="H52" s="51">
        <v>0</v>
      </c>
      <c r="I52" s="51">
        <v>26658</v>
      </c>
      <c r="J52" s="215">
        <v>0</v>
      </c>
    </row>
    <row r="53" spans="1:10" x14ac:dyDescent="0.2">
      <c r="A53" s="221"/>
      <c r="B53" s="213">
        <f t="shared" si="4"/>
        <v>46</v>
      </c>
      <c r="C53" s="2"/>
      <c r="D53" s="2"/>
      <c r="E53" s="2">
        <v>292017</v>
      </c>
      <c r="F53" s="2"/>
      <c r="G53" s="2" t="s">
        <v>543</v>
      </c>
      <c r="H53" s="51">
        <f>102786+19268</f>
        <v>122054</v>
      </c>
      <c r="I53" s="51">
        <v>134110</v>
      </c>
      <c r="J53" s="215">
        <f t="shared" si="2"/>
        <v>109.87759516279681</v>
      </c>
    </row>
    <row r="54" spans="1:10" x14ac:dyDescent="0.2">
      <c r="A54" s="221"/>
      <c r="B54" s="213">
        <f t="shared" si="4"/>
        <v>47</v>
      </c>
      <c r="C54" s="2"/>
      <c r="D54" s="2"/>
      <c r="E54" s="2">
        <v>292019</v>
      </c>
      <c r="F54" s="2"/>
      <c r="G54" s="2" t="s">
        <v>694</v>
      </c>
      <c r="H54" s="51">
        <v>0</v>
      </c>
      <c r="I54" s="51">
        <v>4165</v>
      </c>
      <c r="J54" s="215">
        <v>0</v>
      </c>
    </row>
    <row r="55" spans="1:10" ht="13.5" thickBot="1" x14ac:dyDescent="0.25">
      <c r="A55" s="221"/>
      <c r="B55" s="213">
        <f t="shared" si="4"/>
        <v>48</v>
      </c>
      <c r="C55" s="2"/>
      <c r="D55" s="2"/>
      <c r="E55" s="2">
        <v>292027</v>
      </c>
      <c r="F55" s="2"/>
      <c r="G55" s="2" t="s">
        <v>38</v>
      </c>
      <c r="H55" s="51">
        <f>100000-7173+25300</f>
        <v>118127</v>
      </c>
      <c r="I55" s="51">
        <v>63374</v>
      </c>
      <c r="J55" s="215">
        <f t="shared" si="2"/>
        <v>53.649038746433916</v>
      </c>
    </row>
    <row r="56" spans="1:10" ht="15.75" thickBot="1" x14ac:dyDescent="0.3">
      <c r="B56" s="213">
        <f t="shared" si="4"/>
        <v>49</v>
      </c>
      <c r="C56" s="13">
        <v>1</v>
      </c>
      <c r="D56" s="13"/>
      <c r="E56" s="13"/>
      <c r="F56" s="13"/>
      <c r="G56" s="13" t="s">
        <v>313</v>
      </c>
      <c r="H56" s="19">
        <f>H57</f>
        <v>2370</v>
      </c>
      <c r="I56" s="19">
        <f t="shared" ref="I56:I58" si="20">I57</f>
        <v>3704</v>
      </c>
      <c r="J56" s="206">
        <f t="shared" si="2"/>
        <v>156.28691983122363</v>
      </c>
    </row>
    <row r="57" spans="1:10" x14ac:dyDescent="0.2">
      <c r="B57" s="213">
        <f t="shared" si="4"/>
        <v>50</v>
      </c>
      <c r="C57" s="8">
        <v>220</v>
      </c>
      <c r="D57" s="8"/>
      <c r="E57" s="8"/>
      <c r="F57" s="8"/>
      <c r="G57" s="8" t="s">
        <v>223</v>
      </c>
      <c r="H57" s="20">
        <f>H58</f>
        <v>2370</v>
      </c>
      <c r="I57" s="20">
        <f t="shared" si="20"/>
        <v>3704</v>
      </c>
      <c r="J57" s="215">
        <f t="shared" si="2"/>
        <v>156.28691983122363</v>
      </c>
    </row>
    <row r="58" spans="1:10" x14ac:dyDescent="0.2">
      <c r="B58" s="213">
        <f t="shared" si="4"/>
        <v>51</v>
      </c>
      <c r="C58" s="1"/>
      <c r="D58" s="1">
        <v>223</v>
      </c>
      <c r="E58" s="1"/>
      <c r="F58" s="1"/>
      <c r="G58" s="1" t="s">
        <v>25</v>
      </c>
      <c r="H58" s="21">
        <f>H59</f>
        <v>2370</v>
      </c>
      <c r="I58" s="21">
        <f t="shared" si="20"/>
        <v>3704</v>
      </c>
      <c r="J58" s="215">
        <f t="shared" si="2"/>
        <v>156.28691983122363</v>
      </c>
    </row>
    <row r="59" spans="1:10" ht="13.5" thickBot="1" x14ac:dyDescent="0.25">
      <c r="B59" s="213">
        <f t="shared" si="4"/>
        <v>52</v>
      </c>
      <c r="C59" s="2"/>
      <c r="D59" s="2"/>
      <c r="E59" s="2">
        <v>223002</v>
      </c>
      <c r="F59" s="2"/>
      <c r="G59" s="2" t="s">
        <v>67</v>
      </c>
      <c r="H59" s="22">
        <v>2370</v>
      </c>
      <c r="I59" s="22">
        <v>3704</v>
      </c>
      <c r="J59" s="215">
        <f t="shared" si="2"/>
        <v>156.28691983122363</v>
      </c>
    </row>
    <row r="60" spans="1:10" ht="15.75" thickBot="1" x14ac:dyDescent="0.3">
      <c r="B60" s="213">
        <f t="shared" si="4"/>
        <v>53</v>
      </c>
      <c r="C60" s="13">
        <v>2</v>
      </c>
      <c r="D60" s="13"/>
      <c r="E60" s="13"/>
      <c r="F60" s="13"/>
      <c r="G60" s="13" t="s">
        <v>255</v>
      </c>
      <c r="H60" s="19">
        <f>H61+H74</f>
        <v>564040</v>
      </c>
      <c r="I60" s="19">
        <f>I61+I74+I99+I100</f>
        <v>250147</v>
      </c>
      <c r="J60" s="206">
        <f t="shared" si="2"/>
        <v>44.349159634068506</v>
      </c>
    </row>
    <row r="61" spans="1:10" x14ac:dyDescent="0.2">
      <c r="B61" s="213">
        <f t="shared" si="4"/>
        <v>54</v>
      </c>
      <c r="C61" s="1">
        <v>210</v>
      </c>
      <c r="D61" s="1"/>
      <c r="E61" s="1"/>
      <c r="F61" s="1"/>
      <c r="G61" s="1" t="s">
        <v>21</v>
      </c>
      <c r="H61" s="21">
        <f>H62</f>
        <v>94140</v>
      </c>
      <c r="I61" s="21">
        <f t="shared" ref="I61" si="21">I62</f>
        <v>48676</v>
      </c>
      <c r="J61" s="215">
        <f t="shared" si="2"/>
        <v>51.705969832164854</v>
      </c>
    </row>
    <row r="62" spans="1:10" x14ac:dyDescent="0.2">
      <c r="B62" s="213">
        <f t="shared" si="4"/>
        <v>55</v>
      </c>
      <c r="C62" s="2"/>
      <c r="D62" s="2">
        <v>212</v>
      </c>
      <c r="E62" s="2"/>
      <c r="F62" s="2"/>
      <c r="G62" s="2" t="s">
        <v>22</v>
      </c>
      <c r="H62" s="22">
        <f>H63+H67</f>
        <v>94140</v>
      </c>
      <c r="I62" s="22">
        <f>I63+I67</f>
        <v>48676</v>
      </c>
      <c r="J62" s="215">
        <f t="shared" si="2"/>
        <v>51.705969832164854</v>
      </c>
    </row>
    <row r="63" spans="1:10" x14ac:dyDescent="0.2">
      <c r="B63" s="213">
        <f t="shared" si="4"/>
        <v>56</v>
      </c>
      <c r="C63" s="3"/>
      <c r="D63" s="3"/>
      <c r="E63" s="82">
        <v>212002</v>
      </c>
      <c r="F63" s="82"/>
      <c r="G63" s="95" t="s">
        <v>57</v>
      </c>
      <c r="H63" s="83">
        <f>SUM(H64:H66)</f>
        <v>1000</v>
      </c>
      <c r="I63" s="83">
        <f t="shared" ref="I63" si="22">SUM(I64:I66)</f>
        <v>563</v>
      </c>
      <c r="J63" s="216">
        <f t="shared" si="2"/>
        <v>56.3</v>
      </c>
    </row>
    <row r="64" spans="1:10" x14ac:dyDescent="0.2">
      <c r="B64" s="213">
        <f t="shared" si="4"/>
        <v>57</v>
      </c>
      <c r="C64" s="3"/>
      <c r="D64" s="3"/>
      <c r="E64" s="3"/>
      <c r="F64" s="3"/>
      <c r="G64" s="96" t="s">
        <v>312</v>
      </c>
      <c r="H64" s="23">
        <v>500</v>
      </c>
      <c r="I64" s="23">
        <v>0</v>
      </c>
      <c r="J64" s="216">
        <f t="shared" si="2"/>
        <v>0</v>
      </c>
    </row>
    <row r="65" spans="2:10" x14ac:dyDescent="0.2">
      <c r="B65" s="213">
        <f t="shared" si="4"/>
        <v>58</v>
      </c>
      <c r="C65" s="3"/>
      <c r="D65" s="3"/>
      <c r="E65" s="3"/>
      <c r="F65" s="3"/>
      <c r="G65" s="96" t="s">
        <v>258</v>
      </c>
      <c r="H65" s="23">
        <v>200</v>
      </c>
      <c r="I65" s="23">
        <v>163</v>
      </c>
      <c r="J65" s="216">
        <f t="shared" si="2"/>
        <v>81.5</v>
      </c>
    </row>
    <row r="66" spans="2:10" x14ac:dyDescent="0.2">
      <c r="B66" s="213">
        <f t="shared" si="4"/>
        <v>59</v>
      </c>
      <c r="C66" s="3"/>
      <c r="D66" s="3"/>
      <c r="E66" s="3"/>
      <c r="F66" s="3"/>
      <c r="G66" s="96" t="s">
        <v>262</v>
      </c>
      <c r="H66" s="23">
        <v>300</v>
      </c>
      <c r="I66" s="23">
        <v>400</v>
      </c>
      <c r="J66" s="216">
        <f t="shared" si="2"/>
        <v>133.33333333333331</v>
      </c>
    </row>
    <row r="67" spans="2:10" x14ac:dyDescent="0.2">
      <c r="B67" s="213">
        <f t="shared" si="4"/>
        <v>60</v>
      </c>
      <c r="C67" s="3"/>
      <c r="D67" s="3"/>
      <c r="E67" s="82">
        <v>212003</v>
      </c>
      <c r="F67" s="82"/>
      <c r="G67" s="95" t="s">
        <v>23</v>
      </c>
      <c r="H67" s="83">
        <f>SUM(H68:H73)</f>
        <v>93140</v>
      </c>
      <c r="I67" s="83">
        <f>SUM(I68:I73)</f>
        <v>48113</v>
      </c>
      <c r="J67" s="216">
        <f t="shared" si="2"/>
        <v>51.656645909383727</v>
      </c>
    </row>
    <row r="68" spans="2:10" x14ac:dyDescent="0.2">
      <c r="B68" s="213">
        <f t="shared" si="4"/>
        <v>61</v>
      </c>
      <c r="C68" s="3"/>
      <c r="D68" s="3"/>
      <c r="E68" s="3"/>
      <c r="F68" s="3"/>
      <c r="G68" s="96" t="s">
        <v>385</v>
      </c>
      <c r="H68" s="23">
        <v>20500</v>
      </c>
      <c r="I68" s="23">
        <v>12550</v>
      </c>
      <c r="J68" s="216">
        <f t="shared" si="2"/>
        <v>61.219512195121951</v>
      </c>
    </row>
    <row r="69" spans="2:10" x14ac:dyDescent="0.2">
      <c r="B69" s="213">
        <f t="shared" si="4"/>
        <v>62</v>
      </c>
      <c r="C69" s="3"/>
      <c r="D69" s="3"/>
      <c r="E69" s="3"/>
      <c r="F69" s="3"/>
      <c r="G69" s="96" t="s">
        <v>259</v>
      </c>
      <c r="H69" s="23">
        <v>15500</v>
      </c>
      <c r="I69" s="23">
        <v>6384</v>
      </c>
      <c r="J69" s="216">
        <f t="shared" si="2"/>
        <v>41.187096774193549</v>
      </c>
    </row>
    <row r="70" spans="2:10" x14ac:dyDescent="0.2">
      <c r="B70" s="213">
        <f t="shared" si="4"/>
        <v>63</v>
      </c>
      <c r="C70" s="3"/>
      <c r="D70" s="3"/>
      <c r="E70" s="3"/>
      <c r="F70" s="3"/>
      <c r="G70" s="96" t="s">
        <v>312</v>
      </c>
      <c r="H70" s="23">
        <v>2000</v>
      </c>
      <c r="I70" s="23">
        <v>2005</v>
      </c>
      <c r="J70" s="216">
        <f t="shared" si="2"/>
        <v>100.25</v>
      </c>
    </row>
    <row r="71" spans="2:10" x14ac:dyDescent="0.2">
      <c r="B71" s="213">
        <f t="shared" si="4"/>
        <v>64</v>
      </c>
      <c r="C71" s="3"/>
      <c r="D71" s="3"/>
      <c r="E71" s="3"/>
      <c r="F71" s="3"/>
      <c r="G71" s="96" t="s">
        <v>212</v>
      </c>
      <c r="H71" s="23">
        <v>50000</v>
      </c>
      <c r="I71" s="23">
        <v>25118</v>
      </c>
      <c r="J71" s="216">
        <f t="shared" si="2"/>
        <v>50.236000000000004</v>
      </c>
    </row>
    <row r="72" spans="2:10" x14ac:dyDescent="0.2">
      <c r="B72" s="213">
        <f t="shared" si="4"/>
        <v>65</v>
      </c>
      <c r="C72" s="3"/>
      <c r="D72" s="3"/>
      <c r="E72" s="3"/>
      <c r="F72" s="3"/>
      <c r="G72" s="96" t="s">
        <v>257</v>
      </c>
      <c r="H72" s="23">
        <v>40</v>
      </c>
      <c r="I72" s="23">
        <v>27</v>
      </c>
      <c r="J72" s="216">
        <f t="shared" si="2"/>
        <v>67.5</v>
      </c>
    </row>
    <row r="73" spans="2:10" x14ac:dyDescent="0.2">
      <c r="B73" s="213">
        <f t="shared" si="4"/>
        <v>66</v>
      </c>
      <c r="C73" s="3"/>
      <c r="D73" s="3"/>
      <c r="E73" s="3"/>
      <c r="F73" s="3"/>
      <c r="G73" s="96" t="s">
        <v>389</v>
      </c>
      <c r="H73" s="23">
        <v>5100</v>
      </c>
      <c r="I73" s="23">
        <v>2029</v>
      </c>
      <c r="J73" s="216">
        <f t="shared" si="2"/>
        <v>39.784313725490193</v>
      </c>
    </row>
    <row r="74" spans="2:10" x14ac:dyDescent="0.2">
      <c r="B74" s="213">
        <f t="shared" si="4"/>
        <v>67</v>
      </c>
      <c r="C74" s="1">
        <v>220</v>
      </c>
      <c r="D74" s="1"/>
      <c r="E74" s="1"/>
      <c r="F74" s="1"/>
      <c r="G74" s="1" t="s">
        <v>223</v>
      </c>
      <c r="H74" s="21">
        <f>H77</f>
        <v>469900</v>
      </c>
      <c r="I74" s="21">
        <f>I77+I75</f>
        <v>183008</v>
      </c>
      <c r="J74" s="215">
        <f t="shared" ref="J74:J144" si="23">I74/H74*100</f>
        <v>38.946158757182381</v>
      </c>
    </row>
    <row r="75" spans="2:10" x14ac:dyDescent="0.2">
      <c r="B75" s="213">
        <f t="shared" si="4"/>
        <v>68</v>
      </c>
      <c r="C75" s="1"/>
      <c r="D75" s="2">
        <v>222</v>
      </c>
      <c r="E75" s="2"/>
      <c r="F75" s="2"/>
      <c r="G75" s="2" t="s">
        <v>239</v>
      </c>
      <c r="H75" s="22">
        <f>H76</f>
        <v>0</v>
      </c>
      <c r="I75" s="22">
        <f t="shared" ref="I75" si="24">I76</f>
        <v>284</v>
      </c>
      <c r="J75" s="215">
        <v>0</v>
      </c>
    </row>
    <row r="76" spans="2:10" x14ac:dyDescent="0.2">
      <c r="B76" s="213">
        <f t="shared" si="4"/>
        <v>69</v>
      </c>
      <c r="C76" s="1"/>
      <c r="D76" s="2"/>
      <c r="E76" s="2">
        <v>222003</v>
      </c>
      <c r="F76" s="2"/>
      <c r="G76" s="2" t="s">
        <v>238</v>
      </c>
      <c r="H76" s="22">
        <v>0</v>
      </c>
      <c r="I76" s="22">
        <v>284</v>
      </c>
      <c r="J76" s="215">
        <v>0</v>
      </c>
    </row>
    <row r="77" spans="2:10" x14ac:dyDescent="0.2">
      <c r="B77" s="213">
        <f t="shared" si="4"/>
        <v>70</v>
      </c>
      <c r="C77" s="2"/>
      <c r="D77" s="2">
        <v>223</v>
      </c>
      <c r="E77" s="2"/>
      <c r="F77" s="2"/>
      <c r="G77" s="2" t="s">
        <v>25</v>
      </c>
      <c r="H77" s="22">
        <f>H78</f>
        <v>469900</v>
      </c>
      <c r="I77" s="22">
        <f t="shared" ref="I77" si="25">I78</f>
        <v>182724</v>
      </c>
      <c r="J77" s="215">
        <f t="shared" si="23"/>
        <v>38.885720366035329</v>
      </c>
    </row>
    <row r="78" spans="2:10" x14ac:dyDescent="0.2">
      <c r="B78" s="213">
        <f t="shared" si="4"/>
        <v>71</v>
      </c>
      <c r="C78" s="3"/>
      <c r="D78" s="3"/>
      <c r="E78" s="82">
        <v>223001</v>
      </c>
      <c r="F78" s="82"/>
      <c r="G78" s="95" t="s">
        <v>26</v>
      </c>
      <c r="H78" s="83">
        <f>SUM(H79:H98)</f>
        <v>469900</v>
      </c>
      <c r="I78" s="83">
        <f>SUM(I79:I98)</f>
        <v>182724</v>
      </c>
      <c r="J78" s="216">
        <f t="shared" si="23"/>
        <v>38.885720366035329</v>
      </c>
    </row>
    <row r="79" spans="2:10" ht="12.75" customHeight="1" x14ac:dyDescent="0.2">
      <c r="B79" s="213">
        <f t="shared" si="4"/>
        <v>72</v>
      </c>
      <c r="C79" s="3"/>
      <c r="D79" s="3"/>
      <c r="E79" s="3"/>
      <c r="F79" s="266" t="s">
        <v>414</v>
      </c>
      <c r="G79" s="96" t="s">
        <v>386</v>
      </c>
      <c r="H79" s="23">
        <v>3000</v>
      </c>
      <c r="I79" s="23">
        <v>604</v>
      </c>
      <c r="J79" s="216">
        <f t="shared" si="23"/>
        <v>20.133333333333333</v>
      </c>
    </row>
    <row r="80" spans="2:10" x14ac:dyDescent="0.2">
      <c r="B80" s="213">
        <f t="shared" si="4"/>
        <v>73</v>
      </c>
      <c r="C80" s="3"/>
      <c r="D80" s="3"/>
      <c r="E80" s="3"/>
      <c r="F80" s="267"/>
      <c r="G80" s="96" t="s">
        <v>387</v>
      </c>
      <c r="H80" s="23">
        <v>500</v>
      </c>
      <c r="I80" s="23">
        <v>633</v>
      </c>
      <c r="J80" s="216">
        <f t="shared" si="23"/>
        <v>126.6</v>
      </c>
    </row>
    <row r="81" spans="2:10" x14ac:dyDescent="0.2">
      <c r="B81" s="213">
        <f t="shared" si="4"/>
        <v>74</v>
      </c>
      <c r="C81" s="3"/>
      <c r="D81" s="3"/>
      <c r="E81" s="3"/>
      <c r="F81" s="267"/>
      <c r="G81" s="96" t="s">
        <v>388</v>
      </c>
      <c r="H81" s="23">
        <v>8000</v>
      </c>
      <c r="I81" s="23">
        <v>5091</v>
      </c>
      <c r="J81" s="216">
        <f t="shared" si="23"/>
        <v>63.637500000000003</v>
      </c>
    </row>
    <row r="82" spans="2:10" x14ac:dyDescent="0.2">
      <c r="B82" s="213">
        <f t="shared" si="4"/>
        <v>75</v>
      </c>
      <c r="C82" s="3"/>
      <c r="D82" s="3"/>
      <c r="E82" s="3"/>
      <c r="F82" s="267"/>
      <c r="G82" s="96" t="s">
        <v>389</v>
      </c>
      <c r="H82" s="23">
        <v>1350</v>
      </c>
      <c r="I82" s="23">
        <v>911</v>
      </c>
      <c r="J82" s="216">
        <f t="shared" si="23"/>
        <v>67.481481481481481</v>
      </c>
    </row>
    <row r="83" spans="2:10" x14ac:dyDescent="0.2">
      <c r="B83" s="213">
        <f t="shared" si="4"/>
        <v>76</v>
      </c>
      <c r="C83" s="3"/>
      <c r="D83" s="3"/>
      <c r="E83" s="3"/>
      <c r="F83" s="267"/>
      <c r="G83" s="96" t="s">
        <v>202</v>
      </c>
      <c r="H83" s="23">
        <v>1000</v>
      </c>
      <c r="I83" s="23">
        <v>1131</v>
      </c>
      <c r="J83" s="216">
        <f t="shared" si="23"/>
        <v>113.1</v>
      </c>
    </row>
    <row r="84" spans="2:10" x14ac:dyDescent="0.2">
      <c r="B84" s="213">
        <f t="shared" si="4"/>
        <v>77</v>
      </c>
      <c r="C84" s="3"/>
      <c r="D84" s="3"/>
      <c r="E84" s="3"/>
      <c r="F84" s="267"/>
      <c r="G84" s="96" t="s">
        <v>260</v>
      </c>
      <c r="H84" s="23">
        <v>55200</v>
      </c>
      <c r="I84" s="23">
        <v>11088</v>
      </c>
      <c r="J84" s="216">
        <f t="shared" si="23"/>
        <v>20.086956521739129</v>
      </c>
    </row>
    <row r="85" spans="2:10" x14ac:dyDescent="0.2">
      <c r="B85" s="213">
        <f t="shared" si="4"/>
        <v>78</v>
      </c>
      <c r="C85" s="3"/>
      <c r="D85" s="3"/>
      <c r="E85" s="3"/>
      <c r="F85" s="267"/>
      <c r="G85" s="96" t="s">
        <v>385</v>
      </c>
      <c r="H85" s="23">
        <v>1000</v>
      </c>
      <c r="I85" s="23">
        <v>455</v>
      </c>
      <c r="J85" s="216">
        <f t="shared" si="23"/>
        <v>45.5</v>
      </c>
    </row>
    <row r="86" spans="2:10" x14ac:dyDescent="0.2">
      <c r="B86" s="213">
        <f t="shared" si="4"/>
        <v>79</v>
      </c>
      <c r="C86" s="3"/>
      <c r="D86" s="3"/>
      <c r="E86" s="3"/>
      <c r="F86" s="267"/>
      <c r="G86" s="96" t="s">
        <v>261</v>
      </c>
      <c r="H86" s="23">
        <v>3000</v>
      </c>
      <c r="I86" s="23">
        <v>1979</v>
      </c>
      <c r="J86" s="216">
        <f t="shared" si="23"/>
        <v>65.966666666666669</v>
      </c>
    </row>
    <row r="87" spans="2:10" x14ac:dyDescent="0.2">
      <c r="B87" s="213">
        <f t="shared" si="4"/>
        <v>80</v>
      </c>
      <c r="C87" s="3"/>
      <c r="D87" s="3"/>
      <c r="E87" s="3"/>
      <c r="F87" s="267"/>
      <c r="G87" s="96" t="s">
        <v>412</v>
      </c>
      <c r="H87" s="23">
        <v>1000</v>
      </c>
      <c r="I87" s="23">
        <v>546</v>
      </c>
      <c r="J87" s="216">
        <f t="shared" si="23"/>
        <v>54.6</v>
      </c>
    </row>
    <row r="88" spans="2:10" x14ac:dyDescent="0.2">
      <c r="B88" s="213">
        <f t="shared" si="4"/>
        <v>81</v>
      </c>
      <c r="C88" s="3"/>
      <c r="D88" s="3"/>
      <c r="E88" s="3"/>
      <c r="F88" s="267"/>
      <c r="G88" s="96" t="s">
        <v>212</v>
      </c>
      <c r="H88" s="23">
        <v>5000</v>
      </c>
      <c r="I88" s="23">
        <v>2390</v>
      </c>
      <c r="J88" s="216">
        <f t="shared" si="23"/>
        <v>47.8</v>
      </c>
    </row>
    <row r="89" spans="2:10" x14ac:dyDescent="0.2">
      <c r="B89" s="213">
        <f t="shared" si="4"/>
        <v>82</v>
      </c>
      <c r="C89" s="3"/>
      <c r="D89" s="3"/>
      <c r="E89" s="3"/>
      <c r="F89" s="268"/>
      <c r="G89" s="96" t="s">
        <v>413</v>
      </c>
      <c r="H89" s="23">
        <v>10300</v>
      </c>
      <c r="I89" s="23">
        <v>7649</v>
      </c>
      <c r="J89" s="216">
        <f t="shared" si="23"/>
        <v>74.262135922330103</v>
      </c>
    </row>
    <row r="90" spans="2:10" x14ac:dyDescent="0.2">
      <c r="B90" s="213">
        <f t="shared" si="4"/>
        <v>83</v>
      </c>
      <c r="C90" s="3"/>
      <c r="D90" s="3"/>
      <c r="E90" s="3"/>
      <c r="F90" s="3"/>
      <c r="G90" s="96" t="s">
        <v>259</v>
      </c>
      <c r="H90" s="23">
        <v>144000</v>
      </c>
      <c r="I90" s="23">
        <v>76892</v>
      </c>
      <c r="J90" s="216">
        <f t="shared" si="23"/>
        <v>53.397222222222219</v>
      </c>
    </row>
    <row r="91" spans="2:10" x14ac:dyDescent="0.2">
      <c r="B91" s="213">
        <f t="shared" si="4"/>
        <v>84</v>
      </c>
      <c r="C91" s="3"/>
      <c r="D91" s="3"/>
      <c r="E91" s="3"/>
      <c r="F91" s="3"/>
      <c r="G91" s="96" t="s">
        <v>312</v>
      </c>
      <c r="H91" s="23">
        <v>95000</v>
      </c>
      <c r="I91" s="23">
        <v>0</v>
      </c>
      <c r="J91" s="216">
        <f t="shared" si="23"/>
        <v>0</v>
      </c>
    </row>
    <row r="92" spans="2:10" x14ac:dyDescent="0.2">
      <c r="B92" s="213">
        <f t="shared" si="4"/>
        <v>85</v>
      </c>
      <c r="C92" s="3"/>
      <c r="D92" s="3"/>
      <c r="E92" s="3"/>
      <c r="F92" s="3"/>
      <c r="G92" s="96" t="s">
        <v>212</v>
      </c>
      <c r="H92" s="23">
        <v>17000</v>
      </c>
      <c r="I92" s="23">
        <v>6700</v>
      </c>
      <c r="J92" s="216">
        <f t="shared" si="23"/>
        <v>39.411764705882355</v>
      </c>
    </row>
    <row r="93" spans="2:10" x14ac:dyDescent="0.2">
      <c r="B93" s="213">
        <f t="shared" si="4"/>
        <v>86</v>
      </c>
      <c r="C93" s="3"/>
      <c r="D93" s="3"/>
      <c r="E93" s="3"/>
      <c r="F93" s="3"/>
      <c r="G93" s="96" t="s">
        <v>1</v>
      </c>
      <c r="H93" s="23">
        <v>65000</v>
      </c>
      <c r="I93" s="23">
        <v>16036</v>
      </c>
      <c r="J93" s="216">
        <f t="shared" si="23"/>
        <v>24.670769230769231</v>
      </c>
    </row>
    <row r="94" spans="2:10" x14ac:dyDescent="0.2">
      <c r="B94" s="213">
        <f t="shared" si="4"/>
        <v>87</v>
      </c>
      <c r="C94" s="3"/>
      <c r="D94" s="3"/>
      <c r="E94" s="3"/>
      <c r="F94" s="3"/>
      <c r="G94" s="96" t="s">
        <v>257</v>
      </c>
      <c r="H94" s="23">
        <v>12500</v>
      </c>
      <c r="I94" s="23">
        <v>4471</v>
      </c>
      <c r="J94" s="216">
        <f t="shared" si="23"/>
        <v>35.768000000000001</v>
      </c>
    </row>
    <row r="95" spans="2:10" x14ac:dyDescent="0.2">
      <c r="B95" s="213">
        <f t="shared" si="4"/>
        <v>88</v>
      </c>
      <c r="C95" s="3"/>
      <c r="D95" s="3"/>
      <c r="E95" s="3"/>
      <c r="F95" s="3"/>
      <c r="G95" s="96" t="s">
        <v>258</v>
      </c>
      <c r="H95" s="23">
        <v>40000</v>
      </c>
      <c r="I95" s="23">
        <v>24737</v>
      </c>
      <c r="J95" s="216">
        <f t="shared" si="23"/>
        <v>61.842500000000001</v>
      </c>
    </row>
    <row r="96" spans="2:10" x14ac:dyDescent="0.2">
      <c r="B96" s="213">
        <f t="shared" si="4"/>
        <v>89</v>
      </c>
      <c r="C96" s="3"/>
      <c r="D96" s="3"/>
      <c r="E96" s="3"/>
      <c r="F96" s="3"/>
      <c r="G96" s="96" t="s">
        <v>262</v>
      </c>
      <c r="H96" s="23">
        <v>5000</v>
      </c>
      <c r="I96" s="23">
        <v>20000</v>
      </c>
      <c r="J96" s="216">
        <f t="shared" si="23"/>
        <v>400</v>
      </c>
    </row>
    <row r="97" spans="2:10" x14ac:dyDescent="0.2">
      <c r="B97" s="213">
        <f t="shared" si="4"/>
        <v>90</v>
      </c>
      <c r="C97" s="3"/>
      <c r="D97" s="3"/>
      <c r="E97" s="3"/>
      <c r="F97" s="3"/>
      <c r="G97" s="97"/>
      <c r="H97" s="23"/>
      <c r="I97" s="23"/>
      <c r="J97" s="216"/>
    </row>
    <row r="98" spans="2:10" x14ac:dyDescent="0.2">
      <c r="B98" s="213">
        <f t="shared" si="4"/>
        <v>91</v>
      </c>
      <c r="C98" s="3"/>
      <c r="D98" s="3"/>
      <c r="E98" s="3"/>
      <c r="F98" s="3"/>
      <c r="G98" s="97" t="s">
        <v>326</v>
      </c>
      <c r="H98" s="23">
        <v>2050</v>
      </c>
      <c r="I98" s="23">
        <v>1411</v>
      </c>
      <c r="J98" s="216">
        <f t="shared" si="23"/>
        <v>68.829268292682926</v>
      </c>
    </row>
    <row r="99" spans="2:10" x14ac:dyDescent="0.2">
      <c r="B99" s="213">
        <f t="shared" ref="B99:B110" si="26">B98+1</f>
        <v>92</v>
      </c>
      <c r="C99" s="197">
        <v>240</v>
      </c>
      <c r="D99" s="201"/>
      <c r="E99" s="199"/>
      <c r="F99" s="190"/>
      <c r="G99" s="191" t="s">
        <v>172</v>
      </c>
      <c r="H99" s="192">
        <v>0</v>
      </c>
      <c r="I99" s="194">
        <v>10</v>
      </c>
      <c r="J99" s="216">
        <v>0</v>
      </c>
    </row>
    <row r="100" spans="2:10" x14ac:dyDescent="0.2">
      <c r="B100" s="213">
        <f t="shared" si="26"/>
        <v>93</v>
      </c>
      <c r="C100" s="197">
        <v>290</v>
      </c>
      <c r="D100" s="201"/>
      <c r="E100" s="199"/>
      <c r="F100" s="190"/>
      <c r="G100" s="191" t="s">
        <v>175</v>
      </c>
      <c r="H100" s="192">
        <f>SUM(H101:H103)</f>
        <v>0</v>
      </c>
      <c r="I100" s="195">
        <f>SUM(I101:I103)</f>
        <v>18453</v>
      </c>
      <c r="J100" s="216">
        <v>0</v>
      </c>
    </row>
    <row r="101" spans="2:10" x14ac:dyDescent="0.2">
      <c r="B101" s="213">
        <f t="shared" si="26"/>
        <v>94</v>
      </c>
      <c r="C101" s="198"/>
      <c r="D101" s="202"/>
      <c r="E101" s="200">
        <v>292006</v>
      </c>
      <c r="F101" s="46"/>
      <c r="G101" s="2" t="s">
        <v>706</v>
      </c>
      <c r="H101" s="193">
        <v>0</v>
      </c>
      <c r="I101" s="196">
        <v>2196</v>
      </c>
      <c r="J101" s="216">
        <v>0</v>
      </c>
    </row>
    <row r="102" spans="2:10" x14ac:dyDescent="0.2">
      <c r="B102" s="213">
        <f t="shared" si="26"/>
        <v>95</v>
      </c>
      <c r="C102" s="198"/>
      <c r="D102" s="202"/>
      <c r="E102" s="200">
        <v>292012</v>
      </c>
      <c r="F102" s="46"/>
      <c r="G102" s="2" t="s">
        <v>7</v>
      </c>
      <c r="H102" s="193">
        <v>0</v>
      </c>
      <c r="I102" s="196">
        <v>10704</v>
      </c>
      <c r="J102" s="216">
        <v>0</v>
      </c>
    </row>
    <row r="103" spans="2:10" ht="13.5" thickBot="1" x14ac:dyDescent="0.25">
      <c r="B103" s="213">
        <f t="shared" si="26"/>
        <v>96</v>
      </c>
      <c r="C103" s="198"/>
      <c r="D103" s="202"/>
      <c r="E103" s="200">
        <v>292017</v>
      </c>
      <c r="F103" s="46"/>
      <c r="G103" s="2" t="s">
        <v>700</v>
      </c>
      <c r="H103" s="193">
        <v>0</v>
      </c>
      <c r="I103" s="196">
        <v>5553</v>
      </c>
      <c r="J103" s="224">
        <v>0</v>
      </c>
    </row>
    <row r="104" spans="2:10" ht="15.75" thickBot="1" x14ac:dyDescent="0.3">
      <c r="B104" s="213">
        <f t="shared" si="26"/>
        <v>97</v>
      </c>
      <c r="C104" s="13">
        <v>3</v>
      </c>
      <c r="D104" s="13"/>
      <c r="E104" s="13"/>
      <c r="F104" s="13"/>
      <c r="G104" s="13" t="s">
        <v>267</v>
      </c>
      <c r="H104" s="19">
        <f>H105</f>
        <v>20500</v>
      </c>
      <c r="I104" s="19">
        <f>I105+I108</f>
        <v>11680</v>
      </c>
      <c r="J104" s="206">
        <f t="shared" si="23"/>
        <v>56.975609756097555</v>
      </c>
    </row>
    <row r="105" spans="2:10" x14ac:dyDescent="0.2">
      <c r="B105" s="213">
        <f t="shared" si="26"/>
        <v>98</v>
      </c>
      <c r="C105" s="113">
        <v>220</v>
      </c>
      <c r="D105" s="203"/>
      <c r="E105" s="203"/>
      <c r="F105" s="203"/>
      <c r="G105" s="113" t="s">
        <v>223</v>
      </c>
      <c r="H105" s="114">
        <f>H106</f>
        <v>20500</v>
      </c>
      <c r="I105" s="114">
        <f t="shared" ref="I105:I106" si="27">I106</f>
        <v>11679</v>
      </c>
      <c r="J105" s="215">
        <f t="shared" si="23"/>
        <v>56.970731707317071</v>
      </c>
    </row>
    <row r="106" spans="2:10" x14ac:dyDescent="0.2">
      <c r="B106" s="213">
        <f t="shared" si="26"/>
        <v>99</v>
      </c>
      <c r="C106" s="1"/>
      <c r="D106" s="1">
        <v>223</v>
      </c>
      <c r="E106" s="1"/>
      <c r="F106" s="1"/>
      <c r="G106" s="1" t="s">
        <v>25</v>
      </c>
      <c r="H106" s="21">
        <f>H107</f>
        <v>20500</v>
      </c>
      <c r="I106" s="21">
        <f t="shared" si="27"/>
        <v>11679</v>
      </c>
      <c r="J106" s="215">
        <f t="shared" si="23"/>
        <v>56.970731707317071</v>
      </c>
    </row>
    <row r="107" spans="2:10" x14ac:dyDescent="0.2">
      <c r="B107" s="213">
        <f t="shared" si="26"/>
        <v>100</v>
      </c>
      <c r="C107" s="2"/>
      <c r="D107" s="2"/>
      <c r="E107" s="2">
        <v>223002</v>
      </c>
      <c r="F107" s="2"/>
      <c r="G107" s="2" t="s">
        <v>67</v>
      </c>
      <c r="H107" s="22">
        <v>20500</v>
      </c>
      <c r="I107" s="22">
        <v>11679</v>
      </c>
      <c r="J107" s="215">
        <f t="shared" si="23"/>
        <v>56.970731707317071</v>
      </c>
    </row>
    <row r="108" spans="2:10" x14ac:dyDescent="0.2">
      <c r="B108" s="213">
        <f t="shared" si="26"/>
        <v>101</v>
      </c>
      <c r="C108" s="1">
        <v>240</v>
      </c>
      <c r="D108" s="1"/>
      <c r="E108" s="1"/>
      <c r="F108" s="1"/>
      <c r="G108" s="1" t="s">
        <v>173</v>
      </c>
      <c r="H108" s="21">
        <f>H109</f>
        <v>0</v>
      </c>
      <c r="I108" s="21">
        <f t="shared" ref="I108:I109" si="28">I109</f>
        <v>1</v>
      </c>
      <c r="J108" s="215">
        <v>0</v>
      </c>
    </row>
    <row r="109" spans="2:10" x14ac:dyDescent="0.2">
      <c r="B109" s="213">
        <f t="shared" si="26"/>
        <v>102</v>
      </c>
      <c r="C109" s="2"/>
      <c r="D109" s="2">
        <v>242</v>
      </c>
      <c r="E109" s="2"/>
      <c r="F109" s="2"/>
      <c r="G109" s="2" t="s">
        <v>172</v>
      </c>
      <c r="H109" s="22">
        <f>H110</f>
        <v>0</v>
      </c>
      <c r="I109" s="22">
        <f t="shared" si="28"/>
        <v>1</v>
      </c>
      <c r="J109" s="215">
        <v>0</v>
      </c>
    </row>
    <row r="110" spans="2:10" ht="13.5" thickBot="1" x14ac:dyDescent="0.25">
      <c r="B110" s="213">
        <f t="shared" si="26"/>
        <v>103</v>
      </c>
      <c r="C110" s="3"/>
      <c r="D110" s="3"/>
      <c r="E110" s="3">
        <v>242</v>
      </c>
      <c r="F110" s="3"/>
      <c r="G110" s="3" t="s">
        <v>172</v>
      </c>
      <c r="H110" s="23">
        <v>0</v>
      </c>
      <c r="I110" s="23">
        <v>1</v>
      </c>
      <c r="J110" s="216">
        <v>0</v>
      </c>
    </row>
    <row r="111" spans="2:10" ht="15.75" thickBot="1" x14ac:dyDescent="0.3">
      <c r="B111" s="213">
        <f t="shared" ref="B111:B133" si="29">B110+1</f>
        <v>104</v>
      </c>
      <c r="C111" s="13">
        <v>4</v>
      </c>
      <c r="D111" s="13"/>
      <c r="E111" s="13"/>
      <c r="F111" s="13"/>
      <c r="G111" s="13" t="s">
        <v>84</v>
      </c>
      <c r="H111" s="19">
        <f>H112+H116+H121+H125+H129+H133+H137+H141+H145+H149+H153+H158+H162+H166+H170+H174+H178+H184</f>
        <v>135000</v>
      </c>
      <c r="I111" s="19">
        <f>I112+I116+I121+I125+I129+I133+I137+I141+I145+I149+I153+I158+I162+I166+I170+I174+I178+I184+I119+I182</f>
        <v>75216</v>
      </c>
      <c r="J111" s="206">
        <f t="shared" si="23"/>
        <v>55.715555555555554</v>
      </c>
    </row>
    <row r="112" spans="2:10" x14ac:dyDescent="0.2">
      <c r="B112" s="213">
        <f t="shared" si="29"/>
        <v>105</v>
      </c>
      <c r="C112" s="1">
        <v>210</v>
      </c>
      <c r="D112" s="1"/>
      <c r="E112" s="1"/>
      <c r="F112" s="1"/>
      <c r="G112" s="1" t="s">
        <v>21</v>
      </c>
      <c r="H112" s="21">
        <f>H113</f>
        <v>8000</v>
      </c>
      <c r="I112" s="21">
        <f t="shared" ref="I112" si="30">I113</f>
        <v>1217</v>
      </c>
      <c r="J112" s="215">
        <f t="shared" si="23"/>
        <v>15.2125</v>
      </c>
    </row>
    <row r="113" spans="2:10" x14ac:dyDescent="0.2">
      <c r="B113" s="213">
        <f t="shared" si="29"/>
        <v>106</v>
      </c>
      <c r="C113" s="2"/>
      <c r="D113" s="2">
        <v>212</v>
      </c>
      <c r="E113" s="2"/>
      <c r="F113" s="2"/>
      <c r="G113" s="2" t="s">
        <v>22</v>
      </c>
      <c r="H113" s="22">
        <f>H114</f>
        <v>8000</v>
      </c>
      <c r="I113" s="22">
        <f>I114+I115</f>
        <v>1217</v>
      </c>
      <c r="J113" s="215">
        <f t="shared" si="23"/>
        <v>15.2125</v>
      </c>
    </row>
    <row r="114" spans="2:10" x14ac:dyDescent="0.2">
      <c r="B114" s="213">
        <f t="shared" si="29"/>
        <v>107</v>
      </c>
      <c r="C114" s="3"/>
      <c r="D114" s="3"/>
      <c r="E114" s="3">
        <v>212003</v>
      </c>
      <c r="F114" s="3"/>
      <c r="G114" s="3" t="s">
        <v>23</v>
      </c>
      <c r="H114" s="23">
        <v>8000</v>
      </c>
      <c r="I114" s="23">
        <v>1191</v>
      </c>
      <c r="J114" s="216">
        <f t="shared" si="23"/>
        <v>14.887500000000001</v>
      </c>
    </row>
    <row r="115" spans="2:10" x14ac:dyDescent="0.2">
      <c r="B115" s="213">
        <f t="shared" si="29"/>
        <v>108</v>
      </c>
      <c r="C115" s="2"/>
      <c r="D115" s="2"/>
      <c r="E115" s="3">
        <v>212004</v>
      </c>
      <c r="F115" s="2"/>
      <c r="G115" s="3" t="s">
        <v>704</v>
      </c>
      <c r="H115" s="22">
        <v>0</v>
      </c>
      <c r="I115" s="22">
        <v>26</v>
      </c>
      <c r="J115" s="216">
        <v>0</v>
      </c>
    </row>
    <row r="116" spans="2:10" x14ac:dyDescent="0.2">
      <c r="B116" s="213">
        <f t="shared" si="29"/>
        <v>109</v>
      </c>
      <c r="C116" s="1">
        <v>240</v>
      </c>
      <c r="D116" s="1"/>
      <c r="E116" s="1"/>
      <c r="F116" s="1"/>
      <c r="G116" s="1" t="s">
        <v>173</v>
      </c>
      <c r="H116" s="21">
        <f>H117</f>
        <v>15</v>
      </c>
      <c r="I116" s="21">
        <f t="shared" ref="I116:I119" si="31">I117</f>
        <v>9</v>
      </c>
      <c r="J116" s="215">
        <f t="shared" si="23"/>
        <v>60</v>
      </c>
    </row>
    <row r="117" spans="2:10" x14ac:dyDescent="0.2">
      <c r="B117" s="213">
        <f t="shared" si="29"/>
        <v>110</v>
      </c>
      <c r="C117" s="2"/>
      <c r="D117" s="2">
        <v>242</v>
      </c>
      <c r="E117" s="2"/>
      <c r="F117" s="2"/>
      <c r="G117" s="2" t="s">
        <v>172</v>
      </c>
      <c r="H117" s="22">
        <f>H118</f>
        <v>15</v>
      </c>
      <c r="I117" s="22">
        <f t="shared" si="31"/>
        <v>9</v>
      </c>
      <c r="J117" s="215">
        <f t="shared" si="23"/>
        <v>60</v>
      </c>
    </row>
    <row r="118" spans="2:10" x14ac:dyDescent="0.2">
      <c r="B118" s="213">
        <f t="shared" si="29"/>
        <v>111</v>
      </c>
      <c r="C118" s="3"/>
      <c r="D118" s="3"/>
      <c r="E118" s="3">
        <v>242</v>
      </c>
      <c r="F118" s="3"/>
      <c r="G118" s="3" t="s">
        <v>172</v>
      </c>
      <c r="H118" s="23">
        <v>15</v>
      </c>
      <c r="I118" s="23">
        <v>9</v>
      </c>
      <c r="J118" s="216">
        <f t="shared" si="23"/>
        <v>60</v>
      </c>
    </row>
    <row r="119" spans="2:10" x14ac:dyDescent="0.2">
      <c r="B119" s="213">
        <f t="shared" si="29"/>
        <v>112</v>
      </c>
      <c r="C119" s="1">
        <v>290</v>
      </c>
      <c r="D119" s="1"/>
      <c r="E119" s="1"/>
      <c r="F119" s="1"/>
      <c r="G119" s="1" t="s">
        <v>694</v>
      </c>
      <c r="H119" s="21">
        <f>H120</f>
        <v>0</v>
      </c>
      <c r="I119" s="21">
        <f t="shared" si="31"/>
        <v>2657</v>
      </c>
      <c r="J119" s="215">
        <v>0</v>
      </c>
    </row>
    <row r="120" spans="2:10" x14ac:dyDescent="0.2">
      <c r="B120" s="213">
        <f t="shared" si="29"/>
        <v>113</v>
      </c>
      <c r="C120" s="2"/>
      <c r="D120" s="2">
        <v>292</v>
      </c>
      <c r="E120" s="2"/>
      <c r="F120" s="2"/>
      <c r="G120" s="2" t="s">
        <v>701</v>
      </c>
      <c r="H120" s="22">
        <v>0</v>
      </c>
      <c r="I120" s="22">
        <v>2657</v>
      </c>
      <c r="J120" s="215">
        <v>0</v>
      </c>
    </row>
    <row r="121" spans="2:10" x14ac:dyDescent="0.2">
      <c r="B121" s="213">
        <f t="shared" si="29"/>
        <v>114</v>
      </c>
      <c r="C121" s="8"/>
      <c r="D121" s="8"/>
      <c r="E121" s="8"/>
      <c r="F121" s="8"/>
      <c r="G121" s="8" t="s">
        <v>63</v>
      </c>
      <c r="H121" s="20">
        <f>H122</f>
        <v>6690</v>
      </c>
      <c r="I121" s="20">
        <f t="shared" ref="I121:I123" si="32">I122</f>
        <v>4041</v>
      </c>
      <c r="J121" s="215">
        <f t="shared" si="23"/>
        <v>60.403587443946179</v>
      </c>
    </row>
    <row r="122" spans="2:10" x14ac:dyDescent="0.2">
      <c r="B122" s="213">
        <f t="shared" si="29"/>
        <v>115</v>
      </c>
      <c r="C122" s="1">
        <v>220</v>
      </c>
      <c r="D122" s="1"/>
      <c r="E122" s="1"/>
      <c r="F122" s="1"/>
      <c r="G122" s="1" t="s">
        <v>223</v>
      </c>
      <c r="H122" s="21">
        <f>H123</f>
        <v>6690</v>
      </c>
      <c r="I122" s="21">
        <f t="shared" si="32"/>
        <v>4041</v>
      </c>
      <c r="J122" s="215">
        <f t="shared" si="23"/>
        <v>60.403587443946179</v>
      </c>
    </row>
    <row r="123" spans="2:10" x14ac:dyDescent="0.2">
      <c r="B123" s="213">
        <f t="shared" si="29"/>
        <v>116</v>
      </c>
      <c r="C123" s="2"/>
      <c r="D123" s="2">
        <v>223</v>
      </c>
      <c r="E123" s="2"/>
      <c r="F123" s="2"/>
      <c r="G123" s="2" t="s">
        <v>25</v>
      </c>
      <c r="H123" s="22">
        <f>H124</f>
        <v>6690</v>
      </c>
      <c r="I123" s="22">
        <f t="shared" si="32"/>
        <v>4041</v>
      </c>
      <c r="J123" s="215">
        <f t="shared" si="23"/>
        <v>60.403587443946179</v>
      </c>
    </row>
    <row r="124" spans="2:10" x14ac:dyDescent="0.2">
      <c r="B124" s="213">
        <f t="shared" si="29"/>
        <v>117</v>
      </c>
      <c r="C124" s="3"/>
      <c r="D124" s="3"/>
      <c r="E124" s="3">
        <v>223002</v>
      </c>
      <c r="F124" s="3"/>
      <c r="G124" s="3" t="s">
        <v>67</v>
      </c>
      <c r="H124" s="23">
        <v>6690</v>
      </c>
      <c r="I124" s="23">
        <v>4041</v>
      </c>
      <c r="J124" s="216">
        <f t="shared" si="23"/>
        <v>60.403587443946179</v>
      </c>
    </row>
    <row r="125" spans="2:10" x14ac:dyDescent="0.2">
      <c r="B125" s="213">
        <f t="shared" si="29"/>
        <v>118</v>
      </c>
      <c r="C125" s="8"/>
      <c r="D125" s="8"/>
      <c r="E125" s="8"/>
      <c r="F125" s="8"/>
      <c r="G125" s="8" t="s">
        <v>11</v>
      </c>
      <c r="H125" s="20">
        <f>H126</f>
        <v>8400</v>
      </c>
      <c r="I125" s="20">
        <f t="shared" ref="I125:I127" si="33">I126</f>
        <v>4508</v>
      </c>
      <c r="J125" s="215">
        <f t="shared" si="23"/>
        <v>53.666666666666664</v>
      </c>
    </row>
    <row r="126" spans="2:10" x14ac:dyDescent="0.2">
      <c r="B126" s="213">
        <f t="shared" si="29"/>
        <v>119</v>
      </c>
      <c r="C126" s="1">
        <v>220</v>
      </c>
      <c r="D126" s="1"/>
      <c r="E126" s="1"/>
      <c r="F126" s="1"/>
      <c r="G126" s="1" t="s">
        <v>223</v>
      </c>
      <c r="H126" s="21">
        <f>H127</f>
        <v>8400</v>
      </c>
      <c r="I126" s="21">
        <f t="shared" si="33"/>
        <v>4508</v>
      </c>
      <c r="J126" s="215">
        <f t="shared" si="23"/>
        <v>53.666666666666664</v>
      </c>
    </row>
    <row r="127" spans="2:10" x14ac:dyDescent="0.2">
      <c r="B127" s="213">
        <f t="shared" si="29"/>
        <v>120</v>
      </c>
      <c r="C127" s="2"/>
      <c r="D127" s="2">
        <v>223</v>
      </c>
      <c r="E127" s="2"/>
      <c r="F127" s="2"/>
      <c r="G127" s="2" t="s">
        <v>25</v>
      </c>
      <c r="H127" s="22">
        <f>H128</f>
        <v>8400</v>
      </c>
      <c r="I127" s="22">
        <f t="shared" si="33"/>
        <v>4508</v>
      </c>
      <c r="J127" s="215">
        <f t="shared" si="23"/>
        <v>53.666666666666664</v>
      </c>
    </row>
    <row r="128" spans="2:10" x14ac:dyDescent="0.2">
      <c r="B128" s="213">
        <f t="shared" si="29"/>
        <v>121</v>
      </c>
      <c r="C128" s="3"/>
      <c r="D128" s="3"/>
      <c r="E128" s="3">
        <v>223002</v>
      </c>
      <c r="F128" s="3"/>
      <c r="G128" s="3" t="s">
        <v>67</v>
      </c>
      <c r="H128" s="23">
        <v>8400</v>
      </c>
      <c r="I128" s="23">
        <v>4508</v>
      </c>
      <c r="J128" s="216">
        <f t="shared" si="23"/>
        <v>53.666666666666664</v>
      </c>
    </row>
    <row r="129" spans="2:10" x14ac:dyDescent="0.2">
      <c r="B129" s="213">
        <f t="shared" si="29"/>
        <v>122</v>
      </c>
      <c r="C129" s="8"/>
      <c r="D129" s="8"/>
      <c r="E129" s="8"/>
      <c r="F129" s="8"/>
      <c r="G129" s="8" t="s">
        <v>62</v>
      </c>
      <c r="H129" s="20">
        <f>H130</f>
        <v>6690</v>
      </c>
      <c r="I129" s="20">
        <f t="shared" ref="I129:I131" si="34">I130</f>
        <v>2569</v>
      </c>
      <c r="J129" s="215">
        <f t="shared" si="23"/>
        <v>38.400597907324361</v>
      </c>
    </row>
    <row r="130" spans="2:10" x14ac:dyDescent="0.2">
      <c r="B130" s="213">
        <f t="shared" si="29"/>
        <v>123</v>
      </c>
      <c r="C130" s="1">
        <v>220</v>
      </c>
      <c r="D130" s="1"/>
      <c r="E130" s="1"/>
      <c r="F130" s="1"/>
      <c r="G130" s="1" t="s">
        <v>223</v>
      </c>
      <c r="H130" s="21">
        <f>H131</f>
        <v>6690</v>
      </c>
      <c r="I130" s="21">
        <f t="shared" si="34"/>
        <v>2569</v>
      </c>
      <c r="J130" s="215">
        <f t="shared" si="23"/>
        <v>38.400597907324361</v>
      </c>
    </row>
    <row r="131" spans="2:10" x14ac:dyDescent="0.2">
      <c r="B131" s="213">
        <f t="shared" si="29"/>
        <v>124</v>
      </c>
      <c r="C131" s="2"/>
      <c r="D131" s="2">
        <v>223</v>
      </c>
      <c r="E131" s="2"/>
      <c r="F131" s="2"/>
      <c r="G131" s="2" t="s">
        <v>25</v>
      </c>
      <c r="H131" s="22">
        <f>H132</f>
        <v>6690</v>
      </c>
      <c r="I131" s="22">
        <f t="shared" si="34"/>
        <v>2569</v>
      </c>
      <c r="J131" s="215">
        <f t="shared" si="23"/>
        <v>38.400597907324361</v>
      </c>
    </row>
    <row r="132" spans="2:10" x14ac:dyDescent="0.2">
      <c r="B132" s="213">
        <f t="shared" si="29"/>
        <v>125</v>
      </c>
      <c r="C132" s="3"/>
      <c r="D132" s="3"/>
      <c r="E132" s="3">
        <v>223002</v>
      </c>
      <c r="F132" s="3"/>
      <c r="G132" s="3" t="s">
        <v>67</v>
      </c>
      <c r="H132" s="23">
        <v>6690</v>
      </c>
      <c r="I132" s="23">
        <v>2569</v>
      </c>
      <c r="J132" s="216">
        <f t="shared" si="23"/>
        <v>38.400597907324361</v>
      </c>
    </row>
    <row r="133" spans="2:10" x14ac:dyDescent="0.2">
      <c r="B133" s="213">
        <f t="shared" si="29"/>
        <v>126</v>
      </c>
      <c r="C133" s="8"/>
      <c r="D133" s="8"/>
      <c r="E133" s="8"/>
      <c r="F133" s="8"/>
      <c r="G133" s="8" t="s">
        <v>98</v>
      </c>
      <c r="H133" s="20">
        <f>H134</f>
        <v>8400</v>
      </c>
      <c r="I133" s="20">
        <f t="shared" ref="I133:I135" si="35">I134</f>
        <v>5024</v>
      </c>
      <c r="J133" s="215">
        <f t="shared" si="23"/>
        <v>59.80952380952381</v>
      </c>
    </row>
    <row r="134" spans="2:10" x14ac:dyDescent="0.2">
      <c r="B134" s="213">
        <f t="shared" ref="B134:B161" si="36">B133+1</f>
        <v>127</v>
      </c>
      <c r="C134" s="1">
        <v>220</v>
      </c>
      <c r="D134" s="1"/>
      <c r="E134" s="1"/>
      <c r="F134" s="1"/>
      <c r="G134" s="1" t="s">
        <v>223</v>
      </c>
      <c r="H134" s="21">
        <f>H135</f>
        <v>8400</v>
      </c>
      <c r="I134" s="21">
        <f t="shared" si="35"/>
        <v>5024</v>
      </c>
      <c r="J134" s="215">
        <f t="shared" si="23"/>
        <v>59.80952380952381</v>
      </c>
    </row>
    <row r="135" spans="2:10" x14ac:dyDescent="0.2">
      <c r="B135" s="213">
        <f t="shared" si="36"/>
        <v>128</v>
      </c>
      <c r="C135" s="2"/>
      <c r="D135" s="2">
        <v>223</v>
      </c>
      <c r="E135" s="2"/>
      <c r="F135" s="2"/>
      <c r="G135" s="2" t="s">
        <v>25</v>
      </c>
      <c r="H135" s="22">
        <f>H136</f>
        <v>8400</v>
      </c>
      <c r="I135" s="22">
        <f t="shared" si="35"/>
        <v>5024</v>
      </c>
      <c r="J135" s="215">
        <f t="shared" si="23"/>
        <v>59.80952380952381</v>
      </c>
    </row>
    <row r="136" spans="2:10" x14ac:dyDescent="0.2">
      <c r="B136" s="213">
        <f t="shared" si="36"/>
        <v>129</v>
      </c>
      <c r="C136" s="3"/>
      <c r="D136" s="3"/>
      <c r="E136" s="3">
        <v>223002</v>
      </c>
      <c r="F136" s="3"/>
      <c r="G136" s="3" t="s">
        <v>67</v>
      </c>
      <c r="H136" s="23">
        <v>8400</v>
      </c>
      <c r="I136" s="23">
        <v>5024</v>
      </c>
      <c r="J136" s="216">
        <f t="shared" si="23"/>
        <v>59.80952380952381</v>
      </c>
    </row>
    <row r="137" spans="2:10" x14ac:dyDescent="0.2">
      <c r="B137" s="213">
        <f t="shared" si="36"/>
        <v>130</v>
      </c>
      <c r="C137" s="8"/>
      <c r="D137" s="8"/>
      <c r="E137" s="8"/>
      <c r="F137" s="8"/>
      <c r="G137" s="8" t="s">
        <v>101</v>
      </c>
      <c r="H137" s="20">
        <f>H138</f>
        <v>8120</v>
      </c>
      <c r="I137" s="20">
        <f t="shared" ref="I137:I139" si="37">I138</f>
        <v>4434</v>
      </c>
      <c r="J137" s="215">
        <f t="shared" si="23"/>
        <v>54.60591133004926</v>
      </c>
    </row>
    <row r="138" spans="2:10" x14ac:dyDescent="0.2">
      <c r="B138" s="213">
        <f t="shared" si="36"/>
        <v>131</v>
      </c>
      <c r="C138" s="1">
        <v>220</v>
      </c>
      <c r="D138" s="1"/>
      <c r="E138" s="1"/>
      <c r="F138" s="1"/>
      <c r="G138" s="1" t="s">
        <v>223</v>
      </c>
      <c r="H138" s="21">
        <f>H139</f>
        <v>8120</v>
      </c>
      <c r="I138" s="21">
        <f t="shared" si="37"/>
        <v>4434</v>
      </c>
      <c r="J138" s="215">
        <f t="shared" si="23"/>
        <v>54.60591133004926</v>
      </c>
    </row>
    <row r="139" spans="2:10" x14ac:dyDescent="0.2">
      <c r="B139" s="213">
        <f t="shared" si="36"/>
        <v>132</v>
      </c>
      <c r="C139" s="2"/>
      <c r="D139" s="2">
        <v>223</v>
      </c>
      <c r="E139" s="2"/>
      <c r="F139" s="2"/>
      <c r="G139" s="2" t="s">
        <v>25</v>
      </c>
      <c r="H139" s="22">
        <f>H140</f>
        <v>8120</v>
      </c>
      <c r="I139" s="22">
        <f t="shared" si="37"/>
        <v>4434</v>
      </c>
      <c r="J139" s="215">
        <f t="shared" si="23"/>
        <v>54.60591133004926</v>
      </c>
    </row>
    <row r="140" spans="2:10" x14ac:dyDescent="0.2">
      <c r="B140" s="213">
        <f t="shared" si="36"/>
        <v>133</v>
      </c>
      <c r="C140" s="3"/>
      <c r="D140" s="3"/>
      <c r="E140" s="3">
        <v>223002</v>
      </c>
      <c r="F140" s="3"/>
      <c r="G140" s="3" t="s">
        <v>67</v>
      </c>
      <c r="H140" s="23">
        <v>8120</v>
      </c>
      <c r="I140" s="23">
        <v>4434</v>
      </c>
      <c r="J140" s="216">
        <f t="shared" si="23"/>
        <v>54.60591133004926</v>
      </c>
    </row>
    <row r="141" spans="2:10" x14ac:dyDescent="0.2">
      <c r="B141" s="213">
        <f t="shared" si="36"/>
        <v>134</v>
      </c>
      <c r="C141" s="8"/>
      <c r="D141" s="8"/>
      <c r="E141" s="8"/>
      <c r="F141" s="8"/>
      <c r="G141" s="8" t="s">
        <v>86</v>
      </c>
      <c r="H141" s="20">
        <f>H142</f>
        <v>12530</v>
      </c>
      <c r="I141" s="20">
        <f t="shared" ref="I141:I143" si="38">I142</f>
        <v>7570</v>
      </c>
      <c r="J141" s="215">
        <f t="shared" si="23"/>
        <v>60.415003990422989</v>
      </c>
    </row>
    <row r="142" spans="2:10" x14ac:dyDescent="0.2">
      <c r="B142" s="213">
        <f t="shared" si="36"/>
        <v>135</v>
      </c>
      <c r="C142" s="1">
        <v>220</v>
      </c>
      <c r="D142" s="1"/>
      <c r="E142" s="1"/>
      <c r="F142" s="1"/>
      <c r="G142" s="1" t="s">
        <v>223</v>
      </c>
      <c r="H142" s="21">
        <f>H143</f>
        <v>12530</v>
      </c>
      <c r="I142" s="21">
        <f t="shared" si="38"/>
        <v>7570</v>
      </c>
      <c r="J142" s="215">
        <f t="shared" si="23"/>
        <v>60.415003990422989</v>
      </c>
    </row>
    <row r="143" spans="2:10" x14ac:dyDescent="0.2">
      <c r="B143" s="213">
        <f t="shared" si="36"/>
        <v>136</v>
      </c>
      <c r="C143" s="2"/>
      <c r="D143" s="2">
        <v>223</v>
      </c>
      <c r="E143" s="2"/>
      <c r="F143" s="2"/>
      <c r="G143" s="2" t="s">
        <v>25</v>
      </c>
      <c r="H143" s="22">
        <f>H144</f>
        <v>12530</v>
      </c>
      <c r="I143" s="22">
        <f t="shared" si="38"/>
        <v>7570</v>
      </c>
      <c r="J143" s="215">
        <f t="shared" si="23"/>
        <v>60.415003990422989</v>
      </c>
    </row>
    <row r="144" spans="2:10" x14ac:dyDescent="0.2">
      <c r="B144" s="213">
        <f t="shared" si="36"/>
        <v>137</v>
      </c>
      <c r="C144" s="3"/>
      <c r="D144" s="3"/>
      <c r="E144" s="3">
        <v>223002</v>
      </c>
      <c r="F144" s="3"/>
      <c r="G144" s="3" t="s">
        <v>67</v>
      </c>
      <c r="H144" s="23">
        <v>12530</v>
      </c>
      <c r="I144" s="23">
        <v>7570</v>
      </c>
      <c r="J144" s="216">
        <f t="shared" si="23"/>
        <v>60.415003990422989</v>
      </c>
    </row>
    <row r="145" spans="2:10" x14ac:dyDescent="0.2">
      <c r="B145" s="213">
        <f t="shared" si="36"/>
        <v>138</v>
      </c>
      <c r="C145" s="8"/>
      <c r="D145" s="8"/>
      <c r="E145" s="8"/>
      <c r="F145" s="8"/>
      <c r="G145" s="8" t="s">
        <v>83</v>
      </c>
      <c r="H145" s="20">
        <f>H146</f>
        <v>12815</v>
      </c>
      <c r="I145" s="20">
        <f t="shared" ref="I145:I147" si="39">I146</f>
        <v>7556</v>
      </c>
      <c r="J145" s="215">
        <f t="shared" ref="J145:J210" si="40">I145/H145*100</f>
        <v>58.96215372610223</v>
      </c>
    </row>
    <row r="146" spans="2:10" x14ac:dyDescent="0.2">
      <c r="B146" s="213">
        <f t="shared" si="36"/>
        <v>139</v>
      </c>
      <c r="C146" s="1">
        <v>220</v>
      </c>
      <c r="D146" s="1"/>
      <c r="E146" s="1"/>
      <c r="F146" s="1"/>
      <c r="G146" s="1" t="s">
        <v>223</v>
      </c>
      <c r="H146" s="21">
        <f>H147</f>
        <v>12815</v>
      </c>
      <c r="I146" s="21">
        <f t="shared" si="39"/>
        <v>7556</v>
      </c>
      <c r="J146" s="215">
        <f t="shared" si="40"/>
        <v>58.96215372610223</v>
      </c>
    </row>
    <row r="147" spans="2:10" x14ac:dyDescent="0.2">
      <c r="B147" s="213">
        <f t="shared" si="36"/>
        <v>140</v>
      </c>
      <c r="C147" s="2"/>
      <c r="D147" s="2">
        <v>223</v>
      </c>
      <c r="E147" s="2"/>
      <c r="F147" s="2"/>
      <c r="G147" s="2" t="s">
        <v>25</v>
      </c>
      <c r="H147" s="22">
        <f>H148</f>
        <v>12815</v>
      </c>
      <c r="I147" s="22">
        <f t="shared" si="39"/>
        <v>7556</v>
      </c>
      <c r="J147" s="215">
        <f t="shared" si="40"/>
        <v>58.96215372610223</v>
      </c>
    </row>
    <row r="148" spans="2:10" x14ac:dyDescent="0.2">
      <c r="B148" s="213">
        <f t="shared" si="36"/>
        <v>141</v>
      </c>
      <c r="C148" s="3"/>
      <c r="D148" s="3"/>
      <c r="E148" s="3">
        <v>223002</v>
      </c>
      <c r="F148" s="3"/>
      <c r="G148" s="3" t="s">
        <v>67</v>
      </c>
      <c r="H148" s="23">
        <v>12815</v>
      </c>
      <c r="I148" s="23">
        <v>7556</v>
      </c>
      <c r="J148" s="216">
        <f t="shared" si="40"/>
        <v>58.96215372610223</v>
      </c>
    </row>
    <row r="149" spans="2:10" x14ac:dyDescent="0.2">
      <c r="B149" s="213">
        <f t="shared" si="36"/>
        <v>142</v>
      </c>
      <c r="C149" s="8"/>
      <c r="D149" s="8"/>
      <c r="E149" s="8"/>
      <c r="F149" s="8"/>
      <c r="G149" s="8" t="s">
        <v>105</v>
      </c>
      <c r="H149" s="20">
        <f>H150</f>
        <v>6980</v>
      </c>
      <c r="I149" s="20">
        <f t="shared" ref="I149:I151" si="41">I150</f>
        <v>3998</v>
      </c>
      <c r="J149" s="215">
        <f t="shared" si="40"/>
        <v>57.277936962750722</v>
      </c>
    </row>
    <row r="150" spans="2:10" x14ac:dyDescent="0.2">
      <c r="B150" s="213">
        <f t="shared" si="36"/>
        <v>143</v>
      </c>
      <c r="C150" s="1">
        <v>220</v>
      </c>
      <c r="D150" s="1"/>
      <c r="E150" s="1"/>
      <c r="F150" s="1"/>
      <c r="G150" s="1" t="s">
        <v>223</v>
      </c>
      <c r="H150" s="21">
        <f>H151</f>
        <v>6980</v>
      </c>
      <c r="I150" s="21">
        <f t="shared" si="41"/>
        <v>3998</v>
      </c>
      <c r="J150" s="215">
        <f t="shared" si="40"/>
        <v>57.277936962750722</v>
      </c>
    </row>
    <row r="151" spans="2:10" x14ac:dyDescent="0.2">
      <c r="B151" s="213">
        <f t="shared" si="36"/>
        <v>144</v>
      </c>
      <c r="C151" s="2"/>
      <c r="D151" s="2">
        <v>223</v>
      </c>
      <c r="E151" s="2"/>
      <c r="F151" s="2"/>
      <c r="G151" s="2" t="s">
        <v>25</v>
      </c>
      <c r="H151" s="22">
        <f>H152</f>
        <v>6980</v>
      </c>
      <c r="I151" s="22">
        <f t="shared" si="41"/>
        <v>3998</v>
      </c>
      <c r="J151" s="215">
        <f t="shared" si="40"/>
        <v>57.277936962750722</v>
      </c>
    </row>
    <row r="152" spans="2:10" x14ac:dyDescent="0.2">
      <c r="B152" s="213">
        <f t="shared" si="36"/>
        <v>145</v>
      </c>
      <c r="C152" s="3"/>
      <c r="D152" s="3"/>
      <c r="E152" s="3">
        <v>223002</v>
      </c>
      <c r="F152" s="3"/>
      <c r="G152" s="3" t="s">
        <v>67</v>
      </c>
      <c r="H152" s="23">
        <v>6980</v>
      </c>
      <c r="I152" s="23">
        <v>3998</v>
      </c>
      <c r="J152" s="216">
        <f t="shared" si="40"/>
        <v>57.277936962750722</v>
      </c>
    </row>
    <row r="153" spans="2:10" x14ac:dyDescent="0.2">
      <c r="B153" s="213">
        <f t="shared" si="36"/>
        <v>146</v>
      </c>
      <c r="C153" s="8"/>
      <c r="D153" s="8"/>
      <c r="E153" s="8"/>
      <c r="F153" s="8"/>
      <c r="G153" s="8" t="s">
        <v>249</v>
      </c>
      <c r="H153" s="20">
        <f>H154</f>
        <v>10880</v>
      </c>
      <c r="I153" s="20">
        <f t="shared" ref="I153:I154" si="42">I154</f>
        <v>6185</v>
      </c>
      <c r="J153" s="215">
        <f t="shared" si="40"/>
        <v>56.847426470588239</v>
      </c>
    </row>
    <row r="154" spans="2:10" x14ac:dyDescent="0.2">
      <c r="B154" s="213">
        <f t="shared" si="36"/>
        <v>147</v>
      </c>
      <c r="C154" s="1">
        <v>220</v>
      </c>
      <c r="D154" s="1"/>
      <c r="E154" s="1"/>
      <c r="F154" s="1"/>
      <c r="G154" s="1" t="s">
        <v>223</v>
      </c>
      <c r="H154" s="21">
        <f>H155</f>
        <v>10880</v>
      </c>
      <c r="I154" s="21">
        <f t="shared" si="42"/>
        <v>6185</v>
      </c>
      <c r="J154" s="215">
        <f t="shared" si="40"/>
        <v>56.847426470588239</v>
      </c>
    </row>
    <row r="155" spans="2:10" x14ac:dyDescent="0.2">
      <c r="B155" s="213">
        <f t="shared" si="36"/>
        <v>148</v>
      </c>
      <c r="C155" s="2"/>
      <c r="D155" s="2">
        <v>223</v>
      </c>
      <c r="E155" s="2"/>
      <c r="F155" s="2"/>
      <c r="G155" s="2" t="s">
        <v>25</v>
      </c>
      <c r="H155" s="22">
        <f>SUM(H156:H157)</f>
        <v>10880</v>
      </c>
      <c r="I155" s="22">
        <f t="shared" ref="I155" si="43">SUM(I156:I157)</f>
        <v>6185</v>
      </c>
      <c r="J155" s="215">
        <f t="shared" si="40"/>
        <v>56.847426470588239</v>
      </c>
    </row>
    <row r="156" spans="2:10" x14ac:dyDescent="0.2">
      <c r="B156" s="213">
        <f t="shared" si="36"/>
        <v>149</v>
      </c>
      <c r="C156" s="2"/>
      <c r="D156" s="2"/>
      <c r="E156" s="3">
        <v>223001</v>
      </c>
      <c r="F156" s="3"/>
      <c r="G156" s="3" t="s">
        <v>650</v>
      </c>
      <c r="H156" s="23">
        <v>350</v>
      </c>
      <c r="I156" s="23">
        <v>210</v>
      </c>
      <c r="J156" s="216">
        <f t="shared" si="40"/>
        <v>60</v>
      </c>
    </row>
    <row r="157" spans="2:10" x14ac:dyDescent="0.2">
      <c r="B157" s="213">
        <f t="shared" si="36"/>
        <v>150</v>
      </c>
      <c r="C157" s="3"/>
      <c r="D157" s="3"/>
      <c r="E157" s="3">
        <v>223002</v>
      </c>
      <c r="F157" s="3"/>
      <c r="G157" s="3" t="s">
        <v>67</v>
      </c>
      <c r="H157" s="23">
        <v>10530</v>
      </c>
      <c r="I157" s="23">
        <v>5975</v>
      </c>
      <c r="J157" s="216">
        <f t="shared" si="40"/>
        <v>56.742640075973405</v>
      </c>
    </row>
    <row r="158" spans="2:10" x14ac:dyDescent="0.2">
      <c r="B158" s="213">
        <f t="shared" si="36"/>
        <v>151</v>
      </c>
      <c r="C158" s="8"/>
      <c r="D158" s="8"/>
      <c r="E158" s="8"/>
      <c r="F158" s="8"/>
      <c r="G158" s="8" t="s">
        <v>64</v>
      </c>
      <c r="H158" s="20">
        <f>H159</f>
        <v>12390</v>
      </c>
      <c r="I158" s="20">
        <f t="shared" ref="I158:I160" si="44">I159</f>
        <v>6902</v>
      </c>
      <c r="J158" s="215">
        <f t="shared" si="40"/>
        <v>55.706214689265529</v>
      </c>
    </row>
    <row r="159" spans="2:10" x14ac:dyDescent="0.2">
      <c r="B159" s="213">
        <f t="shared" si="36"/>
        <v>152</v>
      </c>
      <c r="C159" s="1">
        <v>220</v>
      </c>
      <c r="D159" s="1"/>
      <c r="E159" s="1"/>
      <c r="F159" s="1"/>
      <c r="G159" s="1" t="s">
        <v>223</v>
      </c>
      <c r="H159" s="21">
        <f>H160</f>
        <v>12390</v>
      </c>
      <c r="I159" s="21">
        <f t="shared" si="44"/>
        <v>6902</v>
      </c>
      <c r="J159" s="215">
        <f t="shared" si="40"/>
        <v>55.706214689265529</v>
      </c>
    </row>
    <row r="160" spans="2:10" x14ac:dyDescent="0.2">
      <c r="B160" s="213">
        <f t="shared" si="36"/>
        <v>153</v>
      </c>
      <c r="C160" s="2"/>
      <c r="D160" s="2">
        <v>223</v>
      </c>
      <c r="E160" s="2"/>
      <c r="F160" s="2"/>
      <c r="G160" s="2" t="s">
        <v>25</v>
      </c>
      <c r="H160" s="22">
        <f>H161</f>
        <v>12390</v>
      </c>
      <c r="I160" s="22">
        <f t="shared" si="44"/>
        <v>6902</v>
      </c>
      <c r="J160" s="215">
        <f t="shared" si="40"/>
        <v>55.706214689265529</v>
      </c>
    </row>
    <row r="161" spans="2:10" x14ac:dyDescent="0.2">
      <c r="B161" s="213">
        <f t="shared" si="36"/>
        <v>154</v>
      </c>
      <c r="C161" s="3"/>
      <c r="D161" s="3"/>
      <c r="E161" s="3">
        <v>223002</v>
      </c>
      <c r="F161" s="3"/>
      <c r="G161" s="3" t="s">
        <v>67</v>
      </c>
      <c r="H161" s="23">
        <v>12390</v>
      </c>
      <c r="I161" s="23">
        <v>6902</v>
      </c>
      <c r="J161" s="216">
        <f t="shared" si="40"/>
        <v>55.706214689265529</v>
      </c>
    </row>
    <row r="162" spans="2:10" x14ac:dyDescent="0.2">
      <c r="B162" s="213">
        <f t="shared" ref="B162:B227" si="45">B161+1</f>
        <v>155</v>
      </c>
      <c r="C162" s="8"/>
      <c r="D162" s="8"/>
      <c r="E162" s="8"/>
      <c r="F162" s="8"/>
      <c r="G162" s="8" t="s">
        <v>65</v>
      </c>
      <c r="H162" s="20">
        <f>H163</f>
        <v>6550</v>
      </c>
      <c r="I162" s="20">
        <f t="shared" ref="I162:I164" si="46">I163</f>
        <v>3306</v>
      </c>
      <c r="J162" s="215">
        <f t="shared" si="40"/>
        <v>50.473282442748094</v>
      </c>
    </row>
    <row r="163" spans="2:10" x14ac:dyDescent="0.2">
      <c r="B163" s="213">
        <f t="shared" si="45"/>
        <v>156</v>
      </c>
      <c r="C163" s="1">
        <v>220</v>
      </c>
      <c r="D163" s="1"/>
      <c r="E163" s="1"/>
      <c r="F163" s="1"/>
      <c r="G163" s="1" t="s">
        <v>223</v>
      </c>
      <c r="H163" s="21">
        <f>H164</f>
        <v>6550</v>
      </c>
      <c r="I163" s="21">
        <f t="shared" si="46"/>
        <v>3306</v>
      </c>
      <c r="J163" s="215">
        <f t="shared" si="40"/>
        <v>50.473282442748094</v>
      </c>
    </row>
    <row r="164" spans="2:10" x14ac:dyDescent="0.2">
      <c r="B164" s="213">
        <f t="shared" si="45"/>
        <v>157</v>
      </c>
      <c r="C164" s="2"/>
      <c r="D164" s="2">
        <v>223</v>
      </c>
      <c r="E164" s="2"/>
      <c r="F164" s="2"/>
      <c r="G164" s="2" t="s">
        <v>25</v>
      </c>
      <c r="H164" s="22">
        <f>H165</f>
        <v>6550</v>
      </c>
      <c r="I164" s="22">
        <f t="shared" si="46"/>
        <v>3306</v>
      </c>
      <c r="J164" s="215">
        <f t="shared" si="40"/>
        <v>50.473282442748094</v>
      </c>
    </row>
    <row r="165" spans="2:10" ht="13.5" customHeight="1" x14ac:dyDescent="0.2">
      <c r="B165" s="213">
        <f t="shared" si="45"/>
        <v>158</v>
      </c>
      <c r="C165" s="3"/>
      <c r="D165" s="3"/>
      <c r="E165" s="3">
        <v>223002</v>
      </c>
      <c r="F165" s="3"/>
      <c r="G165" s="3" t="s">
        <v>67</v>
      </c>
      <c r="H165" s="23">
        <v>6550</v>
      </c>
      <c r="I165" s="23">
        <v>3306</v>
      </c>
      <c r="J165" s="216">
        <f t="shared" si="40"/>
        <v>50.473282442748094</v>
      </c>
    </row>
    <row r="166" spans="2:10" x14ac:dyDescent="0.2">
      <c r="B166" s="213">
        <f t="shared" si="45"/>
        <v>159</v>
      </c>
      <c r="C166" s="8"/>
      <c r="D166" s="8"/>
      <c r="E166" s="8"/>
      <c r="F166" s="8"/>
      <c r="G166" s="8" t="s">
        <v>96</v>
      </c>
      <c r="H166" s="20">
        <f>H167</f>
        <v>4700</v>
      </c>
      <c r="I166" s="20">
        <f>I167</f>
        <v>3003</v>
      </c>
      <c r="J166" s="215">
        <f t="shared" si="40"/>
        <v>63.893617021276597</v>
      </c>
    </row>
    <row r="167" spans="2:10" x14ac:dyDescent="0.2">
      <c r="B167" s="213">
        <f t="shared" si="45"/>
        <v>160</v>
      </c>
      <c r="C167" s="1">
        <v>220</v>
      </c>
      <c r="D167" s="1"/>
      <c r="E167" s="1"/>
      <c r="F167" s="1"/>
      <c r="G167" s="1" t="s">
        <v>223</v>
      </c>
      <c r="H167" s="21">
        <f>H168</f>
        <v>4700</v>
      </c>
      <c r="I167" s="21">
        <f t="shared" ref="I167:I168" si="47">I168</f>
        <v>3003</v>
      </c>
      <c r="J167" s="215">
        <f t="shared" si="40"/>
        <v>63.893617021276597</v>
      </c>
    </row>
    <row r="168" spans="2:10" x14ac:dyDescent="0.2">
      <c r="B168" s="213">
        <f t="shared" si="45"/>
        <v>161</v>
      </c>
      <c r="C168" s="2"/>
      <c r="D168" s="2">
        <v>223</v>
      </c>
      <c r="E168" s="2"/>
      <c r="F168" s="2"/>
      <c r="G168" s="2" t="s">
        <v>25</v>
      </c>
      <c r="H168" s="22">
        <f>H169</f>
        <v>4700</v>
      </c>
      <c r="I168" s="22">
        <f t="shared" si="47"/>
        <v>3003</v>
      </c>
      <c r="J168" s="215">
        <f t="shared" si="40"/>
        <v>63.893617021276597</v>
      </c>
    </row>
    <row r="169" spans="2:10" x14ac:dyDescent="0.2">
      <c r="B169" s="213">
        <f t="shared" si="45"/>
        <v>162</v>
      </c>
      <c r="C169" s="3"/>
      <c r="D169" s="3"/>
      <c r="E169" s="3">
        <v>223002</v>
      </c>
      <c r="F169" s="3"/>
      <c r="G169" s="3" t="s">
        <v>67</v>
      </c>
      <c r="H169" s="23">
        <v>4700</v>
      </c>
      <c r="I169" s="23">
        <v>3003</v>
      </c>
      <c r="J169" s="216">
        <f t="shared" si="40"/>
        <v>63.893617021276597</v>
      </c>
    </row>
    <row r="170" spans="2:10" x14ac:dyDescent="0.2">
      <c r="B170" s="213">
        <f t="shared" si="45"/>
        <v>163</v>
      </c>
      <c r="C170" s="8"/>
      <c r="D170" s="8"/>
      <c r="E170" s="8"/>
      <c r="F170" s="8"/>
      <c r="G170" s="8" t="s">
        <v>208</v>
      </c>
      <c r="H170" s="20">
        <f>H171</f>
        <v>3410</v>
      </c>
      <c r="I170" s="20">
        <f t="shared" ref="I170:I172" si="48">I171</f>
        <v>2793</v>
      </c>
      <c r="J170" s="215">
        <f t="shared" si="40"/>
        <v>81.906158357771261</v>
      </c>
    </row>
    <row r="171" spans="2:10" x14ac:dyDescent="0.2">
      <c r="B171" s="213">
        <f t="shared" si="45"/>
        <v>164</v>
      </c>
      <c r="C171" s="1">
        <v>220</v>
      </c>
      <c r="D171" s="1"/>
      <c r="E171" s="1"/>
      <c r="F171" s="1"/>
      <c r="G171" s="1" t="s">
        <v>223</v>
      </c>
      <c r="H171" s="21">
        <f>H172</f>
        <v>3410</v>
      </c>
      <c r="I171" s="21">
        <f t="shared" si="48"/>
        <v>2793</v>
      </c>
      <c r="J171" s="215">
        <f t="shared" si="40"/>
        <v>81.906158357771261</v>
      </c>
    </row>
    <row r="172" spans="2:10" x14ac:dyDescent="0.2">
      <c r="B172" s="213">
        <f t="shared" si="45"/>
        <v>165</v>
      </c>
      <c r="C172" s="2"/>
      <c r="D172" s="2">
        <v>223</v>
      </c>
      <c r="E172" s="2"/>
      <c r="F172" s="2"/>
      <c r="G172" s="2" t="s">
        <v>25</v>
      </c>
      <c r="H172" s="22">
        <f>H173</f>
        <v>3410</v>
      </c>
      <c r="I172" s="22">
        <f t="shared" si="48"/>
        <v>2793</v>
      </c>
      <c r="J172" s="215">
        <f t="shared" si="40"/>
        <v>81.906158357771261</v>
      </c>
    </row>
    <row r="173" spans="2:10" x14ac:dyDescent="0.2">
      <c r="B173" s="213">
        <f t="shared" si="45"/>
        <v>166</v>
      </c>
      <c r="C173" s="3"/>
      <c r="D173" s="3"/>
      <c r="E173" s="3">
        <v>223002</v>
      </c>
      <c r="F173" s="3"/>
      <c r="G173" s="3" t="s">
        <v>67</v>
      </c>
      <c r="H173" s="23">
        <v>3410</v>
      </c>
      <c r="I173" s="23">
        <v>2793</v>
      </c>
      <c r="J173" s="216">
        <f t="shared" si="40"/>
        <v>81.906158357771261</v>
      </c>
    </row>
    <row r="174" spans="2:10" x14ac:dyDescent="0.2">
      <c r="B174" s="213">
        <f t="shared" si="45"/>
        <v>167</v>
      </c>
      <c r="C174" s="8"/>
      <c r="D174" s="8"/>
      <c r="E174" s="8"/>
      <c r="F174" s="8"/>
      <c r="G174" s="8" t="s">
        <v>66</v>
      </c>
      <c r="H174" s="20">
        <f>H175</f>
        <v>2420</v>
      </c>
      <c r="I174" s="20">
        <f t="shared" ref="I174:I176" si="49">I175</f>
        <v>1602</v>
      </c>
      <c r="J174" s="215">
        <f t="shared" si="40"/>
        <v>66.198347107438011</v>
      </c>
    </row>
    <row r="175" spans="2:10" x14ac:dyDescent="0.2">
      <c r="B175" s="213">
        <f t="shared" si="45"/>
        <v>168</v>
      </c>
      <c r="C175" s="1">
        <v>220</v>
      </c>
      <c r="D175" s="1"/>
      <c r="E175" s="1"/>
      <c r="F175" s="1"/>
      <c r="G175" s="1" t="s">
        <v>223</v>
      </c>
      <c r="H175" s="21">
        <f>H176</f>
        <v>2420</v>
      </c>
      <c r="I175" s="21">
        <f t="shared" si="49"/>
        <v>1602</v>
      </c>
      <c r="J175" s="215">
        <f t="shared" si="40"/>
        <v>66.198347107438011</v>
      </c>
    </row>
    <row r="176" spans="2:10" x14ac:dyDescent="0.2">
      <c r="B176" s="213">
        <f t="shared" si="45"/>
        <v>169</v>
      </c>
      <c r="C176" s="2"/>
      <c r="D176" s="2">
        <v>223</v>
      </c>
      <c r="E176" s="2"/>
      <c r="F176" s="2"/>
      <c r="G176" s="2" t="s">
        <v>25</v>
      </c>
      <c r="H176" s="22">
        <f>H177</f>
        <v>2420</v>
      </c>
      <c r="I176" s="22">
        <f t="shared" si="49"/>
        <v>1602</v>
      </c>
      <c r="J176" s="215">
        <f t="shared" si="40"/>
        <v>66.198347107438011</v>
      </c>
    </row>
    <row r="177" spans="2:10" x14ac:dyDescent="0.2">
      <c r="B177" s="213">
        <f t="shared" si="45"/>
        <v>170</v>
      </c>
      <c r="C177" s="3"/>
      <c r="D177" s="3"/>
      <c r="E177" s="3">
        <v>223002</v>
      </c>
      <c r="F177" s="3"/>
      <c r="G177" s="3" t="s">
        <v>67</v>
      </c>
      <c r="H177" s="23">
        <v>2420</v>
      </c>
      <c r="I177" s="23">
        <v>1602</v>
      </c>
      <c r="J177" s="216">
        <f t="shared" si="40"/>
        <v>66.198347107438011</v>
      </c>
    </row>
    <row r="178" spans="2:10" x14ac:dyDescent="0.2">
      <c r="B178" s="213">
        <f t="shared" si="45"/>
        <v>171</v>
      </c>
      <c r="C178" s="8"/>
      <c r="D178" s="8"/>
      <c r="E178" s="8"/>
      <c r="F178" s="8"/>
      <c r="G178" s="8" t="s">
        <v>108</v>
      </c>
      <c r="H178" s="20">
        <f>H179</f>
        <v>14950</v>
      </c>
      <c r="I178" s="20">
        <f t="shared" ref="I178:I182" si="50">I179</f>
        <v>7288</v>
      </c>
      <c r="J178" s="215">
        <f t="shared" si="40"/>
        <v>48.749163879598662</v>
      </c>
    </row>
    <row r="179" spans="2:10" x14ac:dyDescent="0.2">
      <c r="B179" s="213">
        <f t="shared" si="45"/>
        <v>172</v>
      </c>
      <c r="C179" s="1">
        <v>220</v>
      </c>
      <c r="D179" s="1"/>
      <c r="E179" s="1"/>
      <c r="F179" s="1"/>
      <c r="G179" s="1" t="s">
        <v>223</v>
      </c>
      <c r="H179" s="21">
        <f>H180</f>
        <v>14950</v>
      </c>
      <c r="I179" s="21">
        <f t="shared" si="50"/>
        <v>7288</v>
      </c>
      <c r="J179" s="215">
        <f t="shared" si="40"/>
        <v>48.749163879598662</v>
      </c>
    </row>
    <row r="180" spans="2:10" x14ac:dyDescent="0.2">
      <c r="B180" s="213">
        <f t="shared" si="45"/>
        <v>173</v>
      </c>
      <c r="C180" s="2"/>
      <c r="D180" s="2">
        <v>223</v>
      </c>
      <c r="E180" s="2"/>
      <c r="F180" s="2"/>
      <c r="G180" s="2" t="s">
        <v>25</v>
      </c>
      <c r="H180" s="22">
        <f>H181</f>
        <v>14950</v>
      </c>
      <c r="I180" s="22">
        <f t="shared" si="50"/>
        <v>7288</v>
      </c>
      <c r="J180" s="215">
        <f t="shared" si="40"/>
        <v>48.749163879598662</v>
      </c>
    </row>
    <row r="181" spans="2:10" x14ac:dyDescent="0.2">
      <c r="B181" s="213">
        <f t="shared" si="45"/>
        <v>174</v>
      </c>
      <c r="C181" s="3"/>
      <c r="D181" s="3"/>
      <c r="E181" s="3">
        <v>223002</v>
      </c>
      <c r="F181" s="3"/>
      <c r="G181" s="3" t="s">
        <v>67</v>
      </c>
      <c r="H181" s="23">
        <v>14950</v>
      </c>
      <c r="I181" s="23">
        <v>7288</v>
      </c>
      <c r="J181" s="216">
        <f t="shared" si="40"/>
        <v>48.749163879598662</v>
      </c>
    </row>
    <row r="182" spans="2:10" x14ac:dyDescent="0.2">
      <c r="B182" s="213">
        <f t="shared" si="45"/>
        <v>175</v>
      </c>
      <c r="C182" s="8"/>
      <c r="D182" s="8"/>
      <c r="E182" s="8"/>
      <c r="F182" s="8"/>
      <c r="G182" s="8" t="s">
        <v>702</v>
      </c>
      <c r="H182" s="20">
        <f>H183</f>
        <v>0</v>
      </c>
      <c r="I182" s="20">
        <f t="shared" si="50"/>
        <v>2</v>
      </c>
      <c r="J182" s="215">
        <v>0</v>
      </c>
    </row>
    <row r="183" spans="2:10" x14ac:dyDescent="0.2">
      <c r="B183" s="213">
        <f t="shared" si="45"/>
        <v>176</v>
      </c>
      <c r="C183" s="3"/>
      <c r="D183" s="3"/>
      <c r="E183" s="3"/>
      <c r="F183" s="3"/>
      <c r="G183" s="3" t="s">
        <v>703</v>
      </c>
      <c r="H183" s="23">
        <v>0</v>
      </c>
      <c r="I183" s="23">
        <v>2</v>
      </c>
      <c r="J183" s="216">
        <v>0</v>
      </c>
    </row>
    <row r="184" spans="2:10" x14ac:dyDescent="0.2">
      <c r="B184" s="213">
        <f t="shared" si="45"/>
        <v>177</v>
      </c>
      <c r="C184" s="8"/>
      <c r="D184" s="8"/>
      <c r="E184" s="8"/>
      <c r="F184" s="8"/>
      <c r="G184" s="8" t="s">
        <v>92</v>
      </c>
      <c r="H184" s="20">
        <f>H185</f>
        <v>1060</v>
      </c>
      <c r="I184" s="20">
        <f t="shared" ref="I184:I186" si="51">I185</f>
        <v>552</v>
      </c>
      <c r="J184" s="215">
        <f t="shared" si="40"/>
        <v>52.075471698113205</v>
      </c>
    </row>
    <row r="185" spans="2:10" x14ac:dyDescent="0.2">
      <c r="B185" s="213">
        <f t="shared" si="45"/>
        <v>178</v>
      </c>
      <c r="C185" s="1">
        <v>220</v>
      </c>
      <c r="D185" s="1"/>
      <c r="E185" s="1"/>
      <c r="F185" s="1"/>
      <c r="G185" s="1" t="s">
        <v>223</v>
      </c>
      <c r="H185" s="21">
        <f>H186</f>
        <v>1060</v>
      </c>
      <c r="I185" s="21">
        <f t="shared" si="51"/>
        <v>552</v>
      </c>
      <c r="J185" s="215">
        <f t="shared" si="40"/>
        <v>52.075471698113205</v>
      </c>
    </row>
    <row r="186" spans="2:10" x14ac:dyDescent="0.2">
      <c r="B186" s="213">
        <f t="shared" si="45"/>
        <v>179</v>
      </c>
      <c r="C186" s="2"/>
      <c r="D186" s="2">
        <v>223</v>
      </c>
      <c r="E186" s="2"/>
      <c r="F186" s="2"/>
      <c r="G186" s="2" t="s">
        <v>25</v>
      </c>
      <c r="H186" s="22">
        <f>H187</f>
        <v>1060</v>
      </c>
      <c r="I186" s="22">
        <f t="shared" si="51"/>
        <v>552</v>
      </c>
      <c r="J186" s="215">
        <f t="shared" si="40"/>
        <v>52.075471698113205</v>
      </c>
    </row>
    <row r="187" spans="2:10" ht="13.5" thickBot="1" x14ac:dyDescent="0.25">
      <c r="B187" s="213">
        <f t="shared" si="45"/>
        <v>180</v>
      </c>
      <c r="C187" s="3"/>
      <c r="D187" s="3"/>
      <c r="E187" s="3">
        <v>223002</v>
      </c>
      <c r="F187" s="3"/>
      <c r="G187" s="3" t="s">
        <v>67</v>
      </c>
      <c r="H187" s="23">
        <v>1060</v>
      </c>
      <c r="I187" s="23">
        <v>552</v>
      </c>
      <c r="J187" s="216">
        <f t="shared" si="40"/>
        <v>52.075471698113205</v>
      </c>
    </row>
    <row r="188" spans="2:10" ht="15.75" thickBot="1" x14ac:dyDescent="0.3">
      <c r="B188" s="213">
        <f t="shared" si="45"/>
        <v>181</v>
      </c>
      <c r="C188" s="13">
        <v>5</v>
      </c>
      <c r="D188" s="13"/>
      <c r="E188" s="13"/>
      <c r="F188" s="13"/>
      <c r="G188" s="13" t="s">
        <v>264</v>
      </c>
      <c r="H188" s="19">
        <f>H189+H192+H198+H202+H209+H217+H224+H228+H232+H236+H240+H247</f>
        <v>697043</v>
      </c>
      <c r="I188" s="19">
        <f>I189+I192+I198+I202+I209+I217+I224+I228+I232+I236+I240+I247+I244</f>
        <v>356110</v>
      </c>
      <c r="J188" s="206">
        <f t="shared" si="40"/>
        <v>51.088670282895031</v>
      </c>
    </row>
    <row r="189" spans="2:10" x14ac:dyDescent="0.2">
      <c r="B189" s="213">
        <f t="shared" si="45"/>
        <v>182</v>
      </c>
      <c r="C189" s="1">
        <v>220</v>
      </c>
      <c r="D189" s="1"/>
      <c r="E189" s="1"/>
      <c r="F189" s="1"/>
      <c r="G189" s="1" t="s">
        <v>223</v>
      </c>
      <c r="H189" s="21">
        <f>H190</f>
        <v>6600</v>
      </c>
      <c r="I189" s="21">
        <f t="shared" ref="I189:I190" si="52">I190</f>
        <v>3575</v>
      </c>
      <c r="J189" s="215">
        <f t="shared" si="40"/>
        <v>54.166666666666664</v>
      </c>
    </row>
    <row r="190" spans="2:10" x14ac:dyDescent="0.2">
      <c r="B190" s="213">
        <f t="shared" si="45"/>
        <v>183</v>
      </c>
      <c r="C190" s="2"/>
      <c r="D190" s="2">
        <v>223</v>
      </c>
      <c r="E190" s="2"/>
      <c r="F190" s="2"/>
      <c r="G190" s="2" t="s">
        <v>25</v>
      </c>
      <c r="H190" s="22">
        <f>H191</f>
        <v>6600</v>
      </c>
      <c r="I190" s="22">
        <f t="shared" si="52"/>
        <v>3575</v>
      </c>
      <c r="J190" s="215">
        <f t="shared" si="40"/>
        <v>54.166666666666664</v>
      </c>
    </row>
    <row r="191" spans="2:10" x14ac:dyDescent="0.2">
      <c r="B191" s="213">
        <f t="shared" si="45"/>
        <v>184</v>
      </c>
      <c r="C191" s="84"/>
      <c r="D191" s="84"/>
      <c r="E191" s="3">
        <v>223003</v>
      </c>
      <c r="F191" s="3"/>
      <c r="G191" s="3" t="s">
        <v>390</v>
      </c>
      <c r="H191" s="23">
        <v>6600</v>
      </c>
      <c r="I191" s="23">
        <v>3575</v>
      </c>
      <c r="J191" s="216">
        <f t="shared" si="40"/>
        <v>54.166666666666664</v>
      </c>
    </row>
    <row r="192" spans="2:10" x14ac:dyDescent="0.2">
      <c r="B192" s="213">
        <f t="shared" si="45"/>
        <v>185</v>
      </c>
      <c r="C192" s="8"/>
      <c r="D192" s="8"/>
      <c r="E192" s="8"/>
      <c r="F192" s="8"/>
      <c r="G192" s="8" t="s">
        <v>266</v>
      </c>
      <c r="H192" s="20">
        <f>H193</f>
        <v>119000</v>
      </c>
      <c r="I192" s="20">
        <f t="shared" ref="I192:I193" si="53">I193</f>
        <v>43677</v>
      </c>
      <c r="J192" s="215">
        <f t="shared" si="40"/>
        <v>36.703361344537818</v>
      </c>
    </row>
    <row r="193" spans="2:10" x14ac:dyDescent="0.2">
      <c r="B193" s="213">
        <f t="shared" si="45"/>
        <v>186</v>
      </c>
      <c r="C193" s="1">
        <v>220</v>
      </c>
      <c r="D193" s="1"/>
      <c r="E193" s="1"/>
      <c r="F193" s="1"/>
      <c r="G193" s="1" t="s">
        <v>223</v>
      </c>
      <c r="H193" s="21">
        <f>H194</f>
        <v>119000</v>
      </c>
      <c r="I193" s="21">
        <f t="shared" si="53"/>
        <v>43677</v>
      </c>
      <c r="J193" s="215">
        <f t="shared" si="40"/>
        <v>36.703361344537818</v>
      </c>
    </row>
    <row r="194" spans="2:10" x14ac:dyDescent="0.2">
      <c r="B194" s="213">
        <f t="shared" si="45"/>
        <v>187</v>
      </c>
      <c r="C194" s="2"/>
      <c r="D194" s="2">
        <v>223</v>
      </c>
      <c r="E194" s="2"/>
      <c r="F194" s="2"/>
      <c r="G194" s="2" t="s">
        <v>25</v>
      </c>
      <c r="H194" s="22">
        <f>SUM(H195:H197)</f>
        <v>119000</v>
      </c>
      <c r="I194" s="22">
        <f t="shared" ref="I194" si="54">SUM(I195:I197)</f>
        <v>43677</v>
      </c>
      <c r="J194" s="215">
        <f t="shared" si="40"/>
        <v>36.703361344537818</v>
      </c>
    </row>
    <row r="195" spans="2:10" x14ac:dyDescent="0.2">
      <c r="B195" s="213">
        <f t="shared" si="45"/>
        <v>188</v>
      </c>
      <c r="C195" s="3"/>
      <c r="D195" s="3"/>
      <c r="E195" s="3">
        <v>223002</v>
      </c>
      <c r="F195" s="3"/>
      <c r="G195" s="3" t="s">
        <v>67</v>
      </c>
      <c r="H195" s="23">
        <v>109000</v>
      </c>
      <c r="I195" s="23">
        <v>39695</v>
      </c>
      <c r="J195" s="216">
        <f t="shared" si="40"/>
        <v>36.417431192660551</v>
      </c>
    </row>
    <row r="196" spans="2:10" x14ac:dyDescent="0.2">
      <c r="B196" s="213">
        <f t="shared" si="45"/>
        <v>189</v>
      </c>
      <c r="C196" s="3"/>
      <c r="D196" s="3"/>
      <c r="E196" s="3">
        <v>223003</v>
      </c>
      <c r="F196" s="3"/>
      <c r="G196" s="3" t="s">
        <v>68</v>
      </c>
      <c r="H196" s="23">
        <v>9000</v>
      </c>
      <c r="I196" s="23">
        <v>3446</v>
      </c>
      <c r="J196" s="216">
        <f t="shared" si="40"/>
        <v>38.288888888888891</v>
      </c>
    </row>
    <row r="197" spans="2:10" x14ac:dyDescent="0.2">
      <c r="B197" s="213">
        <f t="shared" si="45"/>
        <v>190</v>
      </c>
      <c r="C197" s="3"/>
      <c r="D197" s="3"/>
      <c r="E197" s="3">
        <v>223003</v>
      </c>
      <c r="F197" s="3"/>
      <c r="G197" s="3" t="s">
        <v>391</v>
      </c>
      <c r="H197" s="23">
        <v>1000</v>
      </c>
      <c r="I197" s="23">
        <v>536</v>
      </c>
      <c r="J197" s="216">
        <f t="shared" si="40"/>
        <v>53.6</v>
      </c>
    </row>
    <row r="198" spans="2:10" x14ac:dyDescent="0.2">
      <c r="B198" s="213">
        <f t="shared" si="45"/>
        <v>191</v>
      </c>
      <c r="C198" s="8"/>
      <c r="D198" s="8"/>
      <c r="E198" s="8"/>
      <c r="F198" s="8"/>
      <c r="G198" s="8" t="s">
        <v>265</v>
      </c>
      <c r="H198" s="20">
        <f>H199</f>
        <v>2000</v>
      </c>
      <c r="I198" s="20">
        <f t="shared" ref="I198:I200" si="55">I199</f>
        <v>922</v>
      </c>
      <c r="J198" s="215">
        <f t="shared" si="40"/>
        <v>46.1</v>
      </c>
    </row>
    <row r="199" spans="2:10" x14ac:dyDescent="0.2">
      <c r="B199" s="213">
        <f t="shared" si="45"/>
        <v>192</v>
      </c>
      <c r="C199" s="1">
        <v>220</v>
      </c>
      <c r="D199" s="1"/>
      <c r="E199" s="1"/>
      <c r="F199" s="1"/>
      <c r="G199" s="1" t="s">
        <v>223</v>
      </c>
      <c r="H199" s="21">
        <f>H200</f>
        <v>2000</v>
      </c>
      <c r="I199" s="21">
        <f t="shared" si="55"/>
        <v>922</v>
      </c>
      <c r="J199" s="215">
        <f t="shared" si="40"/>
        <v>46.1</v>
      </c>
    </row>
    <row r="200" spans="2:10" x14ac:dyDescent="0.2">
      <c r="B200" s="213">
        <f t="shared" si="45"/>
        <v>193</v>
      </c>
      <c r="C200" s="2"/>
      <c r="D200" s="2">
        <v>223</v>
      </c>
      <c r="E200" s="2"/>
      <c r="F200" s="2"/>
      <c r="G200" s="2" t="s">
        <v>25</v>
      </c>
      <c r="H200" s="22">
        <f>H201</f>
        <v>2000</v>
      </c>
      <c r="I200" s="22">
        <f t="shared" si="55"/>
        <v>922</v>
      </c>
      <c r="J200" s="215">
        <f t="shared" si="40"/>
        <v>46.1</v>
      </c>
    </row>
    <row r="201" spans="2:10" x14ac:dyDescent="0.2">
      <c r="B201" s="213">
        <f t="shared" si="45"/>
        <v>194</v>
      </c>
      <c r="C201" s="3"/>
      <c r="D201" s="3"/>
      <c r="E201" s="3">
        <v>223001</v>
      </c>
      <c r="F201" s="3"/>
      <c r="G201" s="3" t="s">
        <v>26</v>
      </c>
      <c r="H201" s="23">
        <v>2000</v>
      </c>
      <c r="I201" s="23">
        <v>922</v>
      </c>
      <c r="J201" s="216">
        <f t="shared" si="40"/>
        <v>46.1</v>
      </c>
    </row>
    <row r="202" spans="2:10" x14ac:dyDescent="0.2">
      <c r="B202" s="213">
        <f t="shared" si="45"/>
        <v>195</v>
      </c>
      <c r="C202" s="8"/>
      <c r="D202" s="8"/>
      <c r="E202" s="8"/>
      <c r="F202" s="8"/>
      <c r="G202" s="8" t="s">
        <v>392</v>
      </c>
      <c r="H202" s="20">
        <f>H203+H206</f>
        <v>9400</v>
      </c>
      <c r="I202" s="20">
        <f t="shared" ref="I202" si="56">I203+I206</f>
        <v>3778</v>
      </c>
      <c r="J202" s="215">
        <f t="shared" si="40"/>
        <v>40.191489361702125</v>
      </c>
    </row>
    <row r="203" spans="2:10" x14ac:dyDescent="0.2">
      <c r="B203" s="213">
        <f t="shared" si="45"/>
        <v>196</v>
      </c>
      <c r="C203" s="1">
        <v>210</v>
      </c>
      <c r="D203" s="1"/>
      <c r="E203" s="1"/>
      <c r="F203" s="1"/>
      <c r="G203" s="1" t="s">
        <v>21</v>
      </c>
      <c r="H203" s="21">
        <f>H204</f>
        <v>3600</v>
      </c>
      <c r="I203" s="21">
        <f t="shared" ref="I203:I204" si="57">I204</f>
        <v>1500</v>
      </c>
      <c r="J203" s="215">
        <f t="shared" si="40"/>
        <v>41.666666666666671</v>
      </c>
    </row>
    <row r="204" spans="2:10" x14ac:dyDescent="0.2">
      <c r="B204" s="213">
        <f t="shared" si="45"/>
        <v>197</v>
      </c>
      <c r="C204" s="2"/>
      <c r="D204" s="2">
        <v>212</v>
      </c>
      <c r="E204" s="2"/>
      <c r="F204" s="2"/>
      <c r="G204" s="2" t="s">
        <v>22</v>
      </c>
      <c r="H204" s="22">
        <f>H205</f>
        <v>3600</v>
      </c>
      <c r="I204" s="22">
        <f t="shared" si="57"/>
        <v>1500</v>
      </c>
      <c r="J204" s="215">
        <f t="shared" si="40"/>
        <v>41.666666666666671</v>
      </c>
    </row>
    <row r="205" spans="2:10" x14ac:dyDescent="0.2">
      <c r="B205" s="213">
        <f t="shared" si="45"/>
        <v>198</v>
      </c>
      <c r="C205" s="3"/>
      <c r="D205" s="3"/>
      <c r="E205" s="3">
        <v>212003</v>
      </c>
      <c r="F205" s="3"/>
      <c r="G205" s="3" t="s">
        <v>23</v>
      </c>
      <c r="H205" s="23">
        <v>3600</v>
      </c>
      <c r="I205" s="23">
        <v>1500</v>
      </c>
      <c r="J205" s="216">
        <f t="shared" si="40"/>
        <v>41.666666666666671</v>
      </c>
    </row>
    <row r="206" spans="2:10" x14ac:dyDescent="0.2">
      <c r="B206" s="213">
        <f t="shared" si="45"/>
        <v>199</v>
      </c>
      <c r="C206" s="1">
        <v>220</v>
      </c>
      <c r="D206" s="1"/>
      <c r="E206" s="1"/>
      <c r="F206" s="1"/>
      <c r="G206" s="1" t="s">
        <v>223</v>
      </c>
      <c r="H206" s="21">
        <f>H207</f>
        <v>5800</v>
      </c>
      <c r="I206" s="21">
        <f t="shared" ref="I206:I207" si="58">I207</f>
        <v>2278</v>
      </c>
      <c r="J206" s="215">
        <f t="shared" si="40"/>
        <v>39.275862068965516</v>
      </c>
    </row>
    <row r="207" spans="2:10" x14ac:dyDescent="0.2">
      <c r="B207" s="213">
        <f t="shared" si="45"/>
        <v>200</v>
      </c>
      <c r="C207" s="2"/>
      <c r="D207" s="2">
        <v>223</v>
      </c>
      <c r="E207" s="2"/>
      <c r="F207" s="2"/>
      <c r="G207" s="2" t="s">
        <v>25</v>
      </c>
      <c r="H207" s="22">
        <f>H208</f>
        <v>5800</v>
      </c>
      <c r="I207" s="22">
        <f t="shared" si="58"/>
        <v>2278</v>
      </c>
      <c r="J207" s="215">
        <f t="shared" si="40"/>
        <v>39.275862068965516</v>
      </c>
    </row>
    <row r="208" spans="2:10" x14ac:dyDescent="0.2">
      <c r="B208" s="213">
        <f t="shared" si="45"/>
        <v>201</v>
      </c>
      <c r="C208" s="3"/>
      <c r="D208" s="3"/>
      <c r="E208" s="3">
        <v>223001</v>
      </c>
      <c r="F208" s="3"/>
      <c r="G208" s="3" t="s">
        <v>26</v>
      </c>
      <c r="H208" s="23">
        <f>2200+3600</f>
        <v>5800</v>
      </c>
      <c r="I208" s="23">
        <v>2278</v>
      </c>
      <c r="J208" s="216">
        <f t="shared" si="40"/>
        <v>39.275862068965516</v>
      </c>
    </row>
    <row r="209" spans="2:10" x14ac:dyDescent="0.2">
      <c r="B209" s="213">
        <f t="shared" si="45"/>
        <v>202</v>
      </c>
      <c r="C209" s="8"/>
      <c r="D209" s="8"/>
      <c r="E209" s="8"/>
      <c r="F209" s="8"/>
      <c r="G209" s="8" t="s">
        <v>246</v>
      </c>
      <c r="H209" s="20">
        <f>H210+H213</f>
        <v>130100</v>
      </c>
      <c r="I209" s="20">
        <f t="shared" ref="I209" si="59">I210+I213</f>
        <v>79096</v>
      </c>
      <c r="J209" s="215">
        <f t="shared" si="40"/>
        <v>60.796310530361261</v>
      </c>
    </row>
    <row r="210" spans="2:10" x14ac:dyDescent="0.2">
      <c r="B210" s="213">
        <f t="shared" si="45"/>
        <v>203</v>
      </c>
      <c r="C210" s="1">
        <v>210</v>
      </c>
      <c r="D210" s="1"/>
      <c r="E210" s="1"/>
      <c r="F210" s="1"/>
      <c r="G210" s="1" t="s">
        <v>21</v>
      </c>
      <c r="H210" s="21">
        <f>H211</f>
        <v>1000</v>
      </c>
      <c r="I210" s="21">
        <f t="shared" ref="I210:I211" si="60">I211</f>
        <v>463</v>
      </c>
      <c r="J210" s="215">
        <f t="shared" si="40"/>
        <v>46.300000000000004</v>
      </c>
    </row>
    <row r="211" spans="2:10" x14ac:dyDescent="0.2">
      <c r="B211" s="213">
        <f t="shared" si="45"/>
        <v>204</v>
      </c>
      <c r="C211" s="2"/>
      <c r="D211" s="2">
        <v>212</v>
      </c>
      <c r="E211" s="2"/>
      <c r="F211" s="2"/>
      <c r="G211" s="2" t="s">
        <v>22</v>
      </c>
      <c r="H211" s="22">
        <f>H212</f>
        <v>1000</v>
      </c>
      <c r="I211" s="22">
        <f t="shared" si="60"/>
        <v>463</v>
      </c>
      <c r="J211" s="215">
        <f t="shared" ref="J211:J282" si="61">I211/H211*100</f>
        <v>46.300000000000004</v>
      </c>
    </row>
    <row r="212" spans="2:10" x14ac:dyDescent="0.2">
      <c r="B212" s="213">
        <f t="shared" si="45"/>
        <v>205</v>
      </c>
      <c r="C212" s="3"/>
      <c r="D212" s="3"/>
      <c r="E212" s="3">
        <v>212003</v>
      </c>
      <c r="F212" s="3"/>
      <c r="G212" s="3" t="s">
        <v>23</v>
      </c>
      <c r="H212" s="23">
        <v>1000</v>
      </c>
      <c r="I212" s="23">
        <v>463</v>
      </c>
      <c r="J212" s="216">
        <f t="shared" si="61"/>
        <v>46.300000000000004</v>
      </c>
    </row>
    <row r="213" spans="2:10" x14ac:dyDescent="0.2">
      <c r="B213" s="213">
        <f t="shared" si="45"/>
        <v>206</v>
      </c>
      <c r="C213" s="1">
        <v>220</v>
      </c>
      <c r="D213" s="1"/>
      <c r="E213" s="1"/>
      <c r="F213" s="1"/>
      <c r="G213" s="1" t="s">
        <v>223</v>
      </c>
      <c r="H213" s="21">
        <f>H214</f>
        <v>129100</v>
      </c>
      <c r="I213" s="21">
        <f t="shared" ref="I213" si="62">I214</f>
        <v>78633</v>
      </c>
      <c r="J213" s="215">
        <f t="shared" si="61"/>
        <v>60.908597986057323</v>
      </c>
    </row>
    <row r="214" spans="2:10" x14ac:dyDescent="0.2">
      <c r="B214" s="213">
        <f t="shared" si="45"/>
        <v>207</v>
      </c>
      <c r="C214" s="2"/>
      <c r="D214" s="2">
        <v>223</v>
      </c>
      <c r="E214" s="2"/>
      <c r="F214" s="2"/>
      <c r="G214" s="2" t="s">
        <v>25</v>
      </c>
      <c r="H214" s="22">
        <f>H215+H216</f>
        <v>129100</v>
      </c>
      <c r="I214" s="22">
        <f t="shared" ref="I214" si="63">I215+I216</f>
        <v>78633</v>
      </c>
      <c r="J214" s="215">
        <f t="shared" si="61"/>
        <v>60.908597986057323</v>
      </c>
    </row>
    <row r="215" spans="2:10" x14ac:dyDescent="0.2">
      <c r="B215" s="213">
        <f t="shared" si="45"/>
        <v>208</v>
      </c>
      <c r="C215" s="3"/>
      <c r="D215" s="3"/>
      <c r="E215" s="3">
        <v>223001</v>
      </c>
      <c r="F215" s="3"/>
      <c r="G215" s="3" t="s">
        <v>393</v>
      </c>
      <c r="H215" s="23">
        <v>108000</v>
      </c>
      <c r="I215" s="23">
        <v>59873</v>
      </c>
      <c r="J215" s="216">
        <f t="shared" si="61"/>
        <v>55.437962962962963</v>
      </c>
    </row>
    <row r="216" spans="2:10" x14ac:dyDescent="0.2">
      <c r="B216" s="213">
        <f t="shared" si="45"/>
        <v>209</v>
      </c>
      <c r="C216" s="3"/>
      <c r="D216" s="3"/>
      <c r="E216" s="3">
        <v>223001</v>
      </c>
      <c r="F216" s="3"/>
      <c r="G216" s="3" t="s">
        <v>394</v>
      </c>
      <c r="H216" s="23">
        <v>21100</v>
      </c>
      <c r="I216" s="23">
        <v>18760</v>
      </c>
      <c r="J216" s="216">
        <f t="shared" si="61"/>
        <v>88.909952606635073</v>
      </c>
    </row>
    <row r="217" spans="2:10" x14ac:dyDescent="0.2">
      <c r="B217" s="213">
        <f t="shared" si="45"/>
        <v>210</v>
      </c>
      <c r="C217" s="8"/>
      <c r="D217" s="8"/>
      <c r="E217" s="8"/>
      <c r="F217" s="8"/>
      <c r="G217" s="8" t="s">
        <v>395</v>
      </c>
      <c r="H217" s="20">
        <f>H221+H218</f>
        <v>191200</v>
      </c>
      <c r="I217" s="20">
        <f>I221+I218</f>
        <v>98547</v>
      </c>
      <c r="J217" s="215">
        <f t="shared" si="61"/>
        <v>51.5413179916318</v>
      </c>
    </row>
    <row r="218" spans="2:10" x14ac:dyDescent="0.2">
      <c r="B218" s="213">
        <f t="shared" si="45"/>
        <v>211</v>
      </c>
      <c r="C218" s="1">
        <v>210</v>
      </c>
      <c r="D218" s="1"/>
      <c r="E218" s="1"/>
      <c r="F218" s="1"/>
      <c r="G218" s="1" t="s">
        <v>21</v>
      </c>
      <c r="H218" s="21">
        <f>H219</f>
        <v>0</v>
      </c>
      <c r="I218" s="21">
        <f t="shared" ref="I218:I219" si="64">I219</f>
        <v>70</v>
      </c>
      <c r="J218" s="215">
        <v>0</v>
      </c>
    </row>
    <row r="219" spans="2:10" x14ac:dyDescent="0.2">
      <c r="B219" s="213">
        <f t="shared" si="45"/>
        <v>212</v>
      </c>
      <c r="C219" s="2"/>
      <c r="D219" s="2">
        <v>212</v>
      </c>
      <c r="E219" s="2"/>
      <c r="F219" s="2"/>
      <c r="G219" s="2" t="s">
        <v>22</v>
      </c>
      <c r="H219" s="22">
        <f>H220</f>
        <v>0</v>
      </c>
      <c r="I219" s="22">
        <f t="shared" si="64"/>
        <v>70</v>
      </c>
      <c r="J219" s="215">
        <v>0</v>
      </c>
    </row>
    <row r="220" spans="2:10" x14ac:dyDescent="0.2">
      <c r="B220" s="213">
        <f t="shared" si="45"/>
        <v>213</v>
      </c>
      <c r="C220" s="3"/>
      <c r="D220" s="3"/>
      <c r="E220" s="3">
        <v>212003</v>
      </c>
      <c r="F220" s="3"/>
      <c r="G220" s="3" t="s">
        <v>23</v>
      </c>
      <c r="H220" s="23">
        <v>0</v>
      </c>
      <c r="I220" s="23">
        <v>70</v>
      </c>
      <c r="J220" s="216">
        <v>0</v>
      </c>
    </row>
    <row r="221" spans="2:10" x14ac:dyDescent="0.2">
      <c r="B221" s="213">
        <f t="shared" si="45"/>
        <v>214</v>
      </c>
      <c r="C221" s="1">
        <v>220</v>
      </c>
      <c r="D221" s="1"/>
      <c r="E221" s="1"/>
      <c r="F221" s="1"/>
      <c r="G221" s="1" t="s">
        <v>223</v>
      </c>
      <c r="H221" s="21">
        <f>H222</f>
        <v>191200</v>
      </c>
      <c r="I221" s="21">
        <f t="shared" ref="I221:I222" si="65">I222</f>
        <v>98477</v>
      </c>
      <c r="J221" s="215">
        <f t="shared" si="61"/>
        <v>51.504707112970713</v>
      </c>
    </row>
    <row r="222" spans="2:10" x14ac:dyDescent="0.2">
      <c r="B222" s="213">
        <f t="shared" si="45"/>
        <v>215</v>
      </c>
      <c r="C222" s="2"/>
      <c r="D222" s="2">
        <v>223</v>
      </c>
      <c r="E222" s="2"/>
      <c r="F222" s="2"/>
      <c r="G222" s="2" t="s">
        <v>25</v>
      </c>
      <c r="H222" s="22">
        <f>H223</f>
        <v>191200</v>
      </c>
      <c r="I222" s="22">
        <f t="shared" si="65"/>
        <v>98477</v>
      </c>
      <c r="J222" s="215">
        <f t="shared" si="61"/>
        <v>51.504707112970713</v>
      </c>
    </row>
    <row r="223" spans="2:10" x14ac:dyDescent="0.2">
      <c r="B223" s="213">
        <f t="shared" si="45"/>
        <v>216</v>
      </c>
      <c r="C223" s="3"/>
      <c r="D223" s="3"/>
      <c r="E223" s="3">
        <v>223001</v>
      </c>
      <c r="F223" s="3"/>
      <c r="G223" s="3" t="s">
        <v>402</v>
      </c>
      <c r="H223" s="23">
        <v>191200</v>
      </c>
      <c r="I223" s="23">
        <v>98477</v>
      </c>
      <c r="J223" s="216">
        <f t="shared" si="61"/>
        <v>51.504707112970713</v>
      </c>
    </row>
    <row r="224" spans="2:10" x14ac:dyDescent="0.2">
      <c r="B224" s="213">
        <f t="shared" si="45"/>
        <v>217</v>
      </c>
      <c r="C224" s="8"/>
      <c r="D224" s="8"/>
      <c r="E224" s="8"/>
      <c r="F224" s="8"/>
      <c r="G224" s="8" t="s">
        <v>396</v>
      </c>
      <c r="H224" s="20">
        <f>H225</f>
        <v>9300</v>
      </c>
      <c r="I224" s="20">
        <f t="shared" ref="I224:I226" si="66">I225</f>
        <v>4588</v>
      </c>
      <c r="J224" s="215">
        <f t="shared" si="61"/>
        <v>49.333333333333336</v>
      </c>
    </row>
    <row r="225" spans="2:10" x14ac:dyDescent="0.2">
      <c r="B225" s="213">
        <f t="shared" si="45"/>
        <v>218</v>
      </c>
      <c r="C225" s="1">
        <v>220</v>
      </c>
      <c r="D225" s="1"/>
      <c r="E225" s="1"/>
      <c r="F225" s="1"/>
      <c r="G225" s="1" t="s">
        <v>223</v>
      </c>
      <c r="H225" s="21">
        <f>H226</f>
        <v>9300</v>
      </c>
      <c r="I225" s="21">
        <f t="shared" si="66"/>
        <v>4588</v>
      </c>
      <c r="J225" s="215">
        <f t="shared" si="61"/>
        <v>49.333333333333336</v>
      </c>
    </row>
    <row r="226" spans="2:10" x14ac:dyDescent="0.2">
      <c r="B226" s="213">
        <f t="shared" si="45"/>
        <v>219</v>
      </c>
      <c r="C226" s="2"/>
      <c r="D226" s="2">
        <v>223</v>
      </c>
      <c r="E226" s="2"/>
      <c r="F226" s="2"/>
      <c r="G226" s="2" t="s">
        <v>25</v>
      </c>
      <c r="H226" s="22">
        <f>H227</f>
        <v>9300</v>
      </c>
      <c r="I226" s="22">
        <f t="shared" si="66"/>
        <v>4588</v>
      </c>
      <c r="J226" s="215">
        <f t="shared" si="61"/>
        <v>49.333333333333336</v>
      </c>
    </row>
    <row r="227" spans="2:10" x14ac:dyDescent="0.2">
      <c r="B227" s="213">
        <f t="shared" si="45"/>
        <v>220</v>
      </c>
      <c r="C227" s="3"/>
      <c r="D227" s="3"/>
      <c r="E227" s="3">
        <v>223001</v>
      </c>
      <c r="F227" s="3"/>
      <c r="G227" s="3" t="s">
        <v>402</v>
      </c>
      <c r="H227" s="23">
        <v>9300</v>
      </c>
      <c r="I227" s="23">
        <v>4588</v>
      </c>
      <c r="J227" s="216">
        <f t="shared" si="61"/>
        <v>49.333333333333336</v>
      </c>
    </row>
    <row r="228" spans="2:10" x14ac:dyDescent="0.2">
      <c r="B228" s="213">
        <f t="shared" ref="B228:B284" si="67">B227+1</f>
        <v>221</v>
      </c>
      <c r="C228" s="8"/>
      <c r="D228" s="8"/>
      <c r="E228" s="8"/>
      <c r="F228" s="8"/>
      <c r="G228" s="8" t="s">
        <v>397</v>
      </c>
      <c r="H228" s="20">
        <f>H229</f>
        <v>134000</v>
      </c>
      <c r="I228" s="20">
        <f t="shared" ref="I228:I230" si="68">I229</f>
        <v>72301</v>
      </c>
      <c r="J228" s="215">
        <f t="shared" si="61"/>
        <v>53.95597014925373</v>
      </c>
    </row>
    <row r="229" spans="2:10" x14ac:dyDescent="0.2">
      <c r="B229" s="213">
        <f t="shared" si="67"/>
        <v>222</v>
      </c>
      <c r="C229" s="1">
        <v>220</v>
      </c>
      <c r="D229" s="1"/>
      <c r="E229" s="1"/>
      <c r="F229" s="1"/>
      <c r="G229" s="1" t="s">
        <v>223</v>
      </c>
      <c r="H229" s="21">
        <f>H230</f>
        <v>134000</v>
      </c>
      <c r="I229" s="21">
        <f t="shared" si="68"/>
        <v>72301</v>
      </c>
      <c r="J229" s="215">
        <f t="shared" si="61"/>
        <v>53.95597014925373</v>
      </c>
    </row>
    <row r="230" spans="2:10" x14ac:dyDescent="0.2">
      <c r="B230" s="213">
        <f t="shared" si="67"/>
        <v>223</v>
      </c>
      <c r="C230" s="2"/>
      <c r="D230" s="2">
        <v>223</v>
      </c>
      <c r="E230" s="2"/>
      <c r="F230" s="2"/>
      <c r="G230" s="2" t="s">
        <v>25</v>
      </c>
      <c r="H230" s="22">
        <f>H231</f>
        <v>134000</v>
      </c>
      <c r="I230" s="22">
        <f t="shared" si="68"/>
        <v>72301</v>
      </c>
      <c r="J230" s="215">
        <f t="shared" si="61"/>
        <v>53.95597014925373</v>
      </c>
    </row>
    <row r="231" spans="2:10" x14ac:dyDescent="0.2">
      <c r="B231" s="213">
        <f t="shared" si="67"/>
        <v>224</v>
      </c>
      <c r="C231" s="3"/>
      <c r="D231" s="3"/>
      <c r="E231" s="3">
        <v>223001</v>
      </c>
      <c r="F231" s="3"/>
      <c r="G231" s="3" t="s">
        <v>402</v>
      </c>
      <c r="H231" s="23">
        <v>134000</v>
      </c>
      <c r="I231" s="23">
        <v>72301</v>
      </c>
      <c r="J231" s="216">
        <f t="shared" si="61"/>
        <v>53.95597014925373</v>
      </c>
    </row>
    <row r="232" spans="2:10" x14ac:dyDescent="0.2">
      <c r="B232" s="213">
        <f t="shared" si="67"/>
        <v>225</v>
      </c>
      <c r="C232" s="8"/>
      <c r="D232" s="8"/>
      <c r="E232" s="8"/>
      <c r="F232" s="8"/>
      <c r="G232" s="8" t="s">
        <v>400</v>
      </c>
      <c r="H232" s="20">
        <f>H233</f>
        <v>82643</v>
      </c>
      <c r="I232" s="20">
        <f t="shared" ref="I232:I234" si="69">I233</f>
        <v>39326</v>
      </c>
      <c r="J232" s="215">
        <f t="shared" si="61"/>
        <v>47.585397432329415</v>
      </c>
    </row>
    <row r="233" spans="2:10" x14ac:dyDescent="0.2">
      <c r="B233" s="213">
        <f t="shared" si="67"/>
        <v>226</v>
      </c>
      <c r="C233" s="1">
        <v>220</v>
      </c>
      <c r="D233" s="1"/>
      <c r="E233" s="1"/>
      <c r="F233" s="1"/>
      <c r="G233" s="1" t="s">
        <v>223</v>
      </c>
      <c r="H233" s="21">
        <f>H234</f>
        <v>82643</v>
      </c>
      <c r="I233" s="21">
        <f t="shared" si="69"/>
        <v>39326</v>
      </c>
      <c r="J233" s="215">
        <f t="shared" si="61"/>
        <v>47.585397432329415</v>
      </c>
    </row>
    <row r="234" spans="2:10" x14ac:dyDescent="0.2">
      <c r="B234" s="213">
        <f t="shared" si="67"/>
        <v>227</v>
      </c>
      <c r="C234" s="2"/>
      <c r="D234" s="2">
        <v>223</v>
      </c>
      <c r="E234" s="2"/>
      <c r="F234" s="2"/>
      <c r="G234" s="2" t="s">
        <v>25</v>
      </c>
      <c r="H234" s="22">
        <f>H235</f>
        <v>82643</v>
      </c>
      <c r="I234" s="22">
        <f t="shared" si="69"/>
        <v>39326</v>
      </c>
      <c r="J234" s="215">
        <f t="shared" si="61"/>
        <v>47.585397432329415</v>
      </c>
    </row>
    <row r="235" spans="2:10" x14ac:dyDescent="0.2">
      <c r="B235" s="213">
        <f t="shared" si="67"/>
        <v>228</v>
      </c>
      <c r="C235" s="3"/>
      <c r="D235" s="3"/>
      <c r="E235" s="3">
        <v>223001</v>
      </c>
      <c r="F235" s="3"/>
      <c r="G235" s="3" t="s">
        <v>398</v>
      </c>
      <c r="H235" s="23">
        <f>95200-12557</f>
        <v>82643</v>
      </c>
      <c r="I235" s="23">
        <v>39326</v>
      </c>
      <c r="J235" s="216">
        <f t="shared" si="61"/>
        <v>47.585397432329415</v>
      </c>
    </row>
    <row r="236" spans="2:10" x14ac:dyDescent="0.2">
      <c r="B236" s="213">
        <f t="shared" si="67"/>
        <v>229</v>
      </c>
      <c r="C236" s="8"/>
      <c r="D236" s="8"/>
      <c r="E236" s="8"/>
      <c r="F236" s="8"/>
      <c r="G236" s="8" t="s">
        <v>401</v>
      </c>
      <c r="H236" s="20">
        <f>H237</f>
        <v>5500</v>
      </c>
      <c r="I236" s="20">
        <f t="shared" ref="I236:I238" si="70">I237</f>
        <v>1700</v>
      </c>
      <c r="J236" s="215">
        <f t="shared" si="61"/>
        <v>30.909090909090907</v>
      </c>
    </row>
    <row r="237" spans="2:10" x14ac:dyDescent="0.2">
      <c r="B237" s="213">
        <f t="shared" si="67"/>
        <v>230</v>
      </c>
      <c r="C237" s="1">
        <v>220</v>
      </c>
      <c r="D237" s="1"/>
      <c r="E237" s="1"/>
      <c r="F237" s="1"/>
      <c r="G237" s="1" t="s">
        <v>223</v>
      </c>
      <c r="H237" s="21">
        <f>H238</f>
        <v>5500</v>
      </c>
      <c r="I237" s="21">
        <f t="shared" si="70"/>
        <v>1700</v>
      </c>
      <c r="J237" s="215">
        <f t="shared" si="61"/>
        <v>30.909090909090907</v>
      </c>
    </row>
    <row r="238" spans="2:10" x14ac:dyDescent="0.2">
      <c r="B238" s="213">
        <f t="shared" si="67"/>
        <v>231</v>
      </c>
      <c r="C238" s="2"/>
      <c r="D238" s="2">
        <v>223</v>
      </c>
      <c r="E238" s="2"/>
      <c r="F238" s="2"/>
      <c r="G238" s="2" t="s">
        <v>25</v>
      </c>
      <c r="H238" s="22">
        <f>H239</f>
        <v>5500</v>
      </c>
      <c r="I238" s="22">
        <f t="shared" si="70"/>
        <v>1700</v>
      </c>
      <c r="J238" s="215">
        <f t="shared" si="61"/>
        <v>30.909090909090907</v>
      </c>
    </row>
    <row r="239" spans="2:10" x14ac:dyDescent="0.2">
      <c r="B239" s="213">
        <f t="shared" si="67"/>
        <v>232</v>
      </c>
      <c r="C239" s="3"/>
      <c r="D239" s="3"/>
      <c r="E239" s="3">
        <v>223001</v>
      </c>
      <c r="F239" s="3"/>
      <c r="G239" s="3" t="s">
        <v>399</v>
      </c>
      <c r="H239" s="23">
        <v>5500</v>
      </c>
      <c r="I239" s="23">
        <v>1700</v>
      </c>
      <c r="J239" s="216">
        <f t="shared" si="61"/>
        <v>30.909090909090907</v>
      </c>
    </row>
    <row r="240" spans="2:10" x14ac:dyDescent="0.2">
      <c r="B240" s="213">
        <f t="shared" si="67"/>
        <v>233</v>
      </c>
      <c r="C240" s="8"/>
      <c r="D240" s="8"/>
      <c r="E240" s="8"/>
      <c r="F240" s="8"/>
      <c r="G240" s="8" t="s">
        <v>286</v>
      </c>
      <c r="H240" s="20">
        <f>H241</f>
        <v>7300</v>
      </c>
      <c r="I240" s="20">
        <f t="shared" ref="I240:I242" si="71">I241</f>
        <v>5296</v>
      </c>
      <c r="J240" s="215">
        <f t="shared" si="61"/>
        <v>72.547945205479451</v>
      </c>
    </row>
    <row r="241" spans="2:10" x14ac:dyDescent="0.2">
      <c r="B241" s="213">
        <f t="shared" si="67"/>
        <v>234</v>
      </c>
      <c r="C241" s="1">
        <v>220</v>
      </c>
      <c r="D241" s="1"/>
      <c r="E241" s="1"/>
      <c r="F241" s="1"/>
      <c r="G241" s="1" t="s">
        <v>223</v>
      </c>
      <c r="H241" s="21">
        <f>H242</f>
        <v>7300</v>
      </c>
      <c r="I241" s="21">
        <f t="shared" si="71"/>
        <v>5296</v>
      </c>
      <c r="J241" s="215">
        <f t="shared" si="61"/>
        <v>72.547945205479451</v>
      </c>
    </row>
    <row r="242" spans="2:10" x14ac:dyDescent="0.2">
      <c r="B242" s="213">
        <f t="shared" si="67"/>
        <v>235</v>
      </c>
      <c r="C242" s="2"/>
      <c r="D242" s="2">
        <v>223</v>
      </c>
      <c r="E242" s="2"/>
      <c r="F242" s="2"/>
      <c r="G242" s="2" t="s">
        <v>25</v>
      </c>
      <c r="H242" s="22">
        <f>H243</f>
        <v>7300</v>
      </c>
      <c r="I242" s="22">
        <f t="shared" si="71"/>
        <v>5296</v>
      </c>
      <c r="J242" s="215">
        <f t="shared" si="61"/>
        <v>72.547945205479451</v>
      </c>
    </row>
    <row r="243" spans="2:10" x14ac:dyDescent="0.2">
      <c r="B243" s="213">
        <f t="shared" si="67"/>
        <v>236</v>
      </c>
      <c r="C243" s="3"/>
      <c r="D243" s="3"/>
      <c r="E243" s="3">
        <v>223001</v>
      </c>
      <c r="F243" s="3"/>
      <c r="G243" s="3" t="s">
        <v>26</v>
      </c>
      <c r="H243" s="23">
        <v>7300</v>
      </c>
      <c r="I243" s="23">
        <v>5296</v>
      </c>
      <c r="J243" s="216">
        <f t="shared" si="61"/>
        <v>72.547945205479451</v>
      </c>
    </row>
    <row r="244" spans="2:10" x14ac:dyDescent="0.2">
      <c r="B244" s="213">
        <f t="shared" si="67"/>
        <v>237</v>
      </c>
      <c r="C244" s="8">
        <v>240</v>
      </c>
      <c r="D244" s="8"/>
      <c r="E244" s="8"/>
      <c r="F244" s="8"/>
      <c r="G244" s="8" t="s">
        <v>173</v>
      </c>
      <c r="H244" s="20">
        <f>H245</f>
        <v>0</v>
      </c>
      <c r="I244" s="20">
        <f t="shared" ref="I244:I245" si="72">I245</f>
        <v>5</v>
      </c>
      <c r="J244" s="215">
        <v>0</v>
      </c>
    </row>
    <row r="245" spans="2:10" x14ac:dyDescent="0.2">
      <c r="B245" s="213">
        <f t="shared" si="67"/>
        <v>238</v>
      </c>
      <c r="C245" s="1"/>
      <c r="D245" s="1">
        <v>242</v>
      </c>
      <c r="E245" s="1"/>
      <c r="F245" s="1"/>
      <c r="G245" s="1" t="s">
        <v>172</v>
      </c>
      <c r="H245" s="21">
        <f>H246</f>
        <v>0</v>
      </c>
      <c r="I245" s="21">
        <f t="shared" si="72"/>
        <v>5</v>
      </c>
      <c r="J245" s="215">
        <v>0</v>
      </c>
    </row>
    <row r="246" spans="2:10" x14ac:dyDescent="0.2">
      <c r="B246" s="213">
        <f t="shared" si="67"/>
        <v>239</v>
      </c>
      <c r="C246" s="2"/>
      <c r="D246" s="2"/>
      <c r="E246" s="2">
        <v>242</v>
      </c>
      <c r="F246" s="2"/>
      <c r="G246" s="2" t="s">
        <v>172</v>
      </c>
      <c r="H246" s="22">
        <v>0</v>
      </c>
      <c r="I246" s="22">
        <v>5</v>
      </c>
      <c r="J246" s="215">
        <v>0</v>
      </c>
    </row>
    <row r="247" spans="2:10" x14ac:dyDescent="0.2">
      <c r="B247" s="213">
        <f t="shared" si="67"/>
        <v>240</v>
      </c>
      <c r="C247" s="8">
        <v>290</v>
      </c>
      <c r="D247" s="8"/>
      <c r="E247" s="8"/>
      <c r="F247" s="8"/>
      <c r="G247" s="8" t="s">
        <v>174</v>
      </c>
      <c r="H247" s="20">
        <f>H248</f>
        <v>0</v>
      </c>
      <c r="I247" s="20">
        <f t="shared" ref="I247" si="73">I248</f>
        <v>3299</v>
      </c>
      <c r="J247" s="216">
        <v>0</v>
      </c>
    </row>
    <row r="248" spans="2:10" x14ac:dyDescent="0.2">
      <c r="B248" s="213">
        <f t="shared" si="67"/>
        <v>241</v>
      </c>
      <c r="C248" s="1"/>
      <c r="D248" s="1">
        <v>292</v>
      </c>
      <c r="E248" s="1"/>
      <c r="F248" s="1"/>
      <c r="G248" s="1" t="s">
        <v>175</v>
      </c>
      <c r="H248" s="21">
        <f>H251</f>
        <v>0</v>
      </c>
      <c r="I248" s="21">
        <f>I251+I250+I249</f>
        <v>3299</v>
      </c>
      <c r="J248" s="216">
        <v>0</v>
      </c>
    </row>
    <row r="249" spans="2:10" x14ac:dyDescent="0.2">
      <c r="B249" s="213">
        <f t="shared" si="67"/>
        <v>242</v>
      </c>
      <c r="C249" s="2"/>
      <c r="D249" s="2"/>
      <c r="E249" s="2">
        <v>292012</v>
      </c>
      <c r="F249" s="2"/>
      <c r="G249" s="2" t="s">
        <v>699</v>
      </c>
      <c r="H249" s="22">
        <f>284427-284427</f>
        <v>0</v>
      </c>
      <c r="I249" s="22">
        <v>1059</v>
      </c>
      <c r="J249" s="216">
        <v>0</v>
      </c>
    </row>
    <row r="250" spans="2:10" x14ac:dyDescent="0.2">
      <c r="B250" s="213">
        <f t="shared" si="67"/>
        <v>243</v>
      </c>
      <c r="C250" s="2"/>
      <c r="D250" s="2"/>
      <c r="E250" s="2">
        <v>292017</v>
      </c>
      <c r="F250" s="2"/>
      <c r="G250" s="2" t="s">
        <v>700</v>
      </c>
      <c r="H250" s="22">
        <f>284427-284427</f>
        <v>0</v>
      </c>
      <c r="I250" s="22">
        <v>646</v>
      </c>
      <c r="J250" s="216">
        <v>0</v>
      </c>
    </row>
    <row r="251" spans="2:10" ht="13.5" thickBot="1" x14ac:dyDescent="0.25">
      <c r="B251" s="213">
        <f t="shared" si="67"/>
        <v>244</v>
      </c>
      <c r="C251" s="2"/>
      <c r="D251" s="2"/>
      <c r="E251" s="2">
        <v>292019</v>
      </c>
      <c r="F251" s="2"/>
      <c r="G251" s="2" t="s">
        <v>544</v>
      </c>
      <c r="H251" s="22">
        <f>284427-284427</f>
        <v>0</v>
      </c>
      <c r="I251" s="22">
        <v>1594</v>
      </c>
      <c r="J251" s="216">
        <v>0</v>
      </c>
    </row>
    <row r="252" spans="2:10" ht="15.75" thickBot="1" x14ac:dyDescent="0.3">
      <c r="B252" s="213">
        <f t="shared" si="67"/>
        <v>245</v>
      </c>
      <c r="C252" s="13">
        <v>6</v>
      </c>
      <c r="D252" s="13"/>
      <c r="E252" s="13"/>
      <c r="F252" s="13"/>
      <c r="G252" s="13" t="s">
        <v>81</v>
      </c>
      <c r="H252" s="19">
        <f>H263+H260+H256+H253</f>
        <v>24890</v>
      </c>
      <c r="I252" s="19">
        <f t="shared" ref="I252" si="74">I263+I260+I256+I253</f>
        <v>13362</v>
      </c>
      <c r="J252" s="206">
        <f t="shared" si="61"/>
        <v>53.684210526315788</v>
      </c>
    </row>
    <row r="253" spans="2:10" x14ac:dyDescent="0.2">
      <c r="B253" s="213">
        <f t="shared" si="67"/>
        <v>246</v>
      </c>
      <c r="C253" s="8">
        <v>210</v>
      </c>
      <c r="D253" s="8"/>
      <c r="E253" s="8"/>
      <c r="F253" s="8"/>
      <c r="G253" s="8" t="s">
        <v>21</v>
      </c>
      <c r="H253" s="20">
        <f>H254</f>
        <v>1455</v>
      </c>
      <c r="I253" s="20">
        <f t="shared" ref="I253:I254" si="75">I254</f>
        <v>645</v>
      </c>
      <c r="J253" s="215">
        <f t="shared" si="61"/>
        <v>44.329896907216494</v>
      </c>
    </row>
    <row r="254" spans="2:10" x14ac:dyDescent="0.2">
      <c r="B254" s="213">
        <f t="shared" si="67"/>
        <v>247</v>
      </c>
      <c r="C254" s="1"/>
      <c r="D254" s="1">
        <v>212</v>
      </c>
      <c r="E254" s="1"/>
      <c r="F254" s="1"/>
      <c r="G254" s="1" t="s">
        <v>22</v>
      </c>
      <c r="H254" s="21">
        <f>H255</f>
        <v>1455</v>
      </c>
      <c r="I254" s="21">
        <f t="shared" si="75"/>
        <v>645</v>
      </c>
      <c r="J254" s="215">
        <f t="shared" si="61"/>
        <v>44.329896907216494</v>
      </c>
    </row>
    <row r="255" spans="2:10" x14ac:dyDescent="0.2">
      <c r="B255" s="213">
        <f t="shared" si="67"/>
        <v>248</v>
      </c>
      <c r="C255" s="2"/>
      <c r="D255" s="2"/>
      <c r="E255" s="2">
        <v>212003</v>
      </c>
      <c r="F255" s="2"/>
      <c r="G255" s="2" t="s">
        <v>23</v>
      </c>
      <c r="H255" s="22">
        <v>1455</v>
      </c>
      <c r="I255" s="22">
        <v>645</v>
      </c>
      <c r="J255" s="215">
        <f t="shared" si="61"/>
        <v>44.329896907216494</v>
      </c>
    </row>
    <row r="256" spans="2:10" x14ac:dyDescent="0.2">
      <c r="B256" s="213">
        <f t="shared" si="67"/>
        <v>249</v>
      </c>
      <c r="C256" s="8">
        <v>220</v>
      </c>
      <c r="D256" s="8"/>
      <c r="E256" s="8"/>
      <c r="F256" s="8"/>
      <c r="G256" s="8" t="s">
        <v>223</v>
      </c>
      <c r="H256" s="20">
        <f>H257</f>
        <v>23000</v>
      </c>
      <c r="I256" s="20">
        <f t="shared" ref="I256" si="76">I257</f>
        <v>12338</v>
      </c>
      <c r="J256" s="215">
        <f t="shared" si="61"/>
        <v>53.643478260869571</v>
      </c>
    </row>
    <row r="257" spans="2:10" x14ac:dyDescent="0.2">
      <c r="B257" s="213">
        <f t="shared" si="67"/>
        <v>250</v>
      </c>
      <c r="C257" s="1"/>
      <c r="D257" s="1">
        <v>223</v>
      </c>
      <c r="E257" s="1"/>
      <c r="F257" s="1"/>
      <c r="G257" s="1" t="s">
        <v>25</v>
      </c>
      <c r="H257" s="21">
        <f>H259+H258</f>
        <v>23000</v>
      </c>
      <c r="I257" s="21">
        <f t="shared" ref="I257" si="77">I259+I258</f>
        <v>12338</v>
      </c>
      <c r="J257" s="215">
        <f t="shared" si="61"/>
        <v>53.643478260869571</v>
      </c>
    </row>
    <row r="258" spans="2:10" x14ac:dyDescent="0.2">
      <c r="B258" s="213">
        <f t="shared" si="67"/>
        <v>251</v>
      </c>
      <c r="C258" s="1"/>
      <c r="D258" s="1"/>
      <c r="E258" s="2">
        <v>223001</v>
      </c>
      <c r="F258" s="2"/>
      <c r="G258" s="2" t="s">
        <v>229</v>
      </c>
      <c r="H258" s="22">
        <v>11000</v>
      </c>
      <c r="I258" s="22">
        <v>5670</v>
      </c>
      <c r="J258" s="215">
        <f t="shared" si="61"/>
        <v>51.545454545454547</v>
      </c>
    </row>
    <row r="259" spans="2:10" x14ac:dyDescent="0.2">
      <c r="B259" s="213">
        <f t="shared" si="67"/>
        <v>252</v>
      </c>
      <c r="C259" s="2"/>
      <c r="D259" s="2"/>
      <c r="E259" s="2">
        <v>223002</v>
      </c>
      <c r="F259" s="2"/>
      <c r="G259" s="2" t="s">
        <v>67</v>
      </c>
      <c r="H259" s="22">
        <v>12000</v>
      </c>
      <c r="I259" s="22">
        <v>6668</v>
      </c>
      <c r="J259" s="215">
        <f t="shared" si="61"/>
        <v>55.566666666666663</v>
      </c>
    </row>
    <row r="260" spans="2:10" x14ac:dyDescent="0.2">
      <c r="B260" s="213">
        <f t="shared" si="67"/>
        <v>253</v>
      </c>
      <c r="C260" s="8">
        <v>240</v>
      </c>
      <c r="D260" s="8"/>
      <c r="E260" s="8"/>
      <c r="F260" s="8"/>
      <c r="G260" s="8" t="s">
        <v>173</v>
      </c>
      <c r="H260" s="20">
        <f>H261</f>
        <v>5</v>
      </c>
      <c r="I260" s="20">
        <f t="shared" ref="I260:I261" si="78">I261</f>
        <v>2</v>
      </c>
      <c r="J260" s="215">
        <f t="shared" si="61"/>
        <v>40</v>
      </c>
    </row>
    <row r="261" spans="2:10" x14ac:dyDescent="0.2">
      <c r="B261" s="213">
        <f t="shared" si="67"/>
        <v>254</v>
      </c>
      <c r="C261" s="1"/>
      <c r="D261" s="1">
        <v>242</v>
      </c>
      <c r="E261" s="1"/>
      <c r="F261" s="1"/>
      <c r="G261" s="1" t="s">
        <v>172</v>
      </c>
      <c r="H261" s="21">
        <f>H262</f>
        <v>5</v>
      </c>
      <c r="I261" s="21">
        <f t="shared" si="78"/>
        <v>2</v>
      </c>
      <c r="J261" s="215">
        <f t="shared" si="61"/>
        <v>40</v>
      </c>
    </row>
    <row r="262" spans="2:10" x14ac:dyDescent="0.2">
      <c r="B262" s="213">
        <f t="shared" si="67"/>
        <v>255</v>
      </c>
      <c r="C262" s="2"/>
      <c r="D262" s="2"/>
      <c r="E262" s="2">
        <v>242</v>
      </c>
      <c r="F262" s="2"/>
      <c r="G262" s="2" t="s">
        <v>172</v>
      </c>
      <c r="H262" s="22">
        <v>5</v>
      </c>
      <c r="I262" s="22">
        <v>2</v>
      </c>
      <c r="J262" s="215">
        <f t="shared" si="61"/>
        <v>40</v>
      </c>
    </row>
    <row r="263" spans="2:10" x14ac:dyDescent="0.2">
      <c r="B263" s="213">
        <f t="shared" si="67"/>
        <v>256</v>
      </c>
      <c r="C263" s="8">
        <v>290</v>
      </c>
      <c r="D263" s="8"/>
      <c r="E263" s="8"/>
      <c r="F263" s="8"/>
      <c r="G263" s="8" t="s">
        <v>174</v>
      </c>
      <c r="H263" s="20">
        <f>H264</f>
        <v>430</v>
      </c>
      <c r="I263" s="20">
        <f t="shared" ref="I263:I264" si="79">I264</f>
        <v>377</v>
      </c>
      <c r="J263" s="215">
        <f t="shared" si="61"/>
        <v>87.674418604651166</v>
      </c>
    </row>
    <row r="264" spans="2:10" x14ac:dyDescent="0.2">
      <c r="B264" s="213">
        <f t="shared" si="67"/>
        <v>257</v>
      </c>
      <c r="C264" s="1"/>
      <c r="D264" s="1">
        <v>292</v>
      </c>
      <c r="E264" s="1"/>
      <c r="F264" s="1"/>
      <c r="G264" s="1" t="s">
        <v>175</v>
      </c>
      <c r="H264" s="21">
        <f>H265</f>
        <v>430</v>
      </c>
      <c r="I264" s="21">
        <f t="shared" si="79"/>
        <v>377</v>
      </c>
      <c r="J264" s="215">
        <f t="shared" si="61"/>
        <v>87.674418604651166</v>
      </c>
    </row>
    <row r="265" spans="2:10" ht="13.5" thickBot="1" x14ac:dyDescent="0.25">
      <c r="B265" s="213">
        <f t="shared" si="67"/>
        <v>258</v>
      </c>
      <c r="C265" s="2"/>
      <c r="D265" s="2"/>
      <c r="E265" s="2">
        <v>292012</v>
      </c>
      <c r="F265" s="2"/>
      <c r="G265" s="2" t="s">
        <v>7</v>
      </c>
      <c r="H265" s="22">
        <v>430</v>
      </c>
      <c r="I265" s="22">
        <v>377</v>
      </c>
      <c r="J265" s="215">
        <f t="shared" si="61"/>
        <v>87.674418604651166</v>
      </c>
    </row>
    <row r="266" spans="2:10" ht="15.75" thickBot="1" x14ac:dyDescent="0.3">
      <c r="B266" s="213">
        <f t="shared" si="67"/>
        <v>259</v>
      </c>
      <c r="C266" s="13">
        <v>7</v>
      </c>
      <c r="D266" s="13"/>
      <c r="E266" s="13"/>
      <c r="F266" s="13"/>
      <c r="G266" s="13" t="s">
        <v>316</v>
      </c>
      <c r="H266" s="19">
        <f>H270+H267</f>
        <v>25000</v>
      </c>
      <c r="I266" s="19">
        <f t="shared" ref="I266" si="80">I270+I267</f>
        <v>18197</v>
      </c>
      <c r="J266" s="206">
        <f t="shared" si="61"/>
        <v>72.787999999999997</v>
      </c>
    </row>
    <row r="267" spans="2:10" x14ac:dyDescent="0.2">
      <c r="B267" s="213">
        <f t="shared" si="67"/>
        <v>260</v>
      </c>
      <c r="C267" s="8">
        <v>210</v>
      </c>
      <c r="D267" s="8"/>
      <c r="E267" s="8"/>
      <c r="F267" s="8"/>
      <c r="G267" s="8" t="s">
        <v>21</v>
      </c>
      <c r="H267" s="20">
        <f>H268</f>
        <v>2000</v>
      </c>
      <c r="I267" s="20">
        <f t="shared" ref="I267:I268" si="81">I268</f>
        <v>518</v>
      </c>
      <c r="J267" s="215">
        <f t="shared" si="61"/>
        <v>25.900000000000002</v>
      </c>
    </row>
    <row r="268" spans="2:10" x14ac:dyDescent="0.2">
      <c r="B268" s="213">
        <f t="shared" si="67"/>
        <v>261</v>
      </c>
      <c r="C268" s="1"/>
      <c r="D268" s="1">
        <v>212</v>
      </c>
      <c r="E268" s="1"/>
      <c r="F268" s="1"/>
      <c r="G268" s="1" t="s">
        <v>22</v>
      </c>
      <c r="H268" s="21">
        <f>H269</f>
        <v>2000</v>
      </c>
      <c r="I268" s="21">
        <f t="shared" si="81"/>
        <v>518</v>
      </c>
      <c r="J268" s="215">
        <f t="shared" si="61"/>
        <v>25.900000000000002</v>
      </c>
    </row>
    <row r="269" spans="2:10" x14ac:dyDescent="0.2">
      <c r="B269" s="213">
        <f t="shared" si="67"/>
        <v>262</v>
      </c>
      <c r="C269" s="2"/>
      <c r="D269" s="2"/>
      <c r="E269" s="2">
        <v>212003</v>
      </c>
      <c r="F269" s="2"/>
      <c r="G269" s="2" t="s">
        <v>23</v>
      </c>
      <c r="H269" s="22">
        <v>2000</v>
      </c>
      <c r="I269" s="22">
        <v>518</v>
      </c>
      <c r="J269" s="215">
        <f t="shared" si="61"/>
        <v>25.900000000000002</v>
      </c>
    </row>
    <row r="270" spans="2:10" x14ac:dyDescent="0.2">
      <c r="B270" s="213">
        <f t="shared" si="67"/>
        <v>263</v>
      </c>
      <c r="C270" s="8">
        <v>220</v>
      </c>
      <c r="D270" s="8"/>
      <c r="E270" s="8"/>
      <c r="F270" s="8"/>
      <c r="G270" s="8" t="s">
        <v>223</v>
      </c>
      <c r="H270" s="20">
        <f>H271</f>
        <v>23000</v>
      </c>
      <c r="I270" s="20">
        <f t="shared" ref="I270" si="82">I271</f>
        <v>17679</v>
      </c>
      <c r="J270" s="215">
        <f t="shared" si="61"/>
        <v>76.865217391304355</v>
      </c>
    </row>
    <row r="271" spans="2:10" x14ac:dyDescent="0.2">
      <c r="B271" s="213">
        <f t="shared" si="67"/>
        <v>264</v>
      </c>
      <c r="C271" s="1"/>
      <c r="D271" s="1">
        <v>223</v>
      </c>
      <c r="E271" s="1"/>
      <c r="F271" s="1"/>
      <c r="G271" s="1" t="s">
        <v>25</v>
      </c>
      <c r="H271" s="21">
        <f>H273+H272</f>
        <v>23000</v>
      </c>
      <c r="I271" s="21">
        <f t="shared" ref="I271" si="83">I273+I272</f>
        <v>17679</v>
      </c>
      <c r="J271" s="215">
        <f t="shared" si="61"/>
        <v>76.865217391304355</v>
      </c>
    </row>
    <row r="272" spans="2:10" x14ac:dyDescent="0.2">
      <c r="B272" s="213">
        <f t="shared" si="67"/>
        <v>265</v>
      </c>
      <c r="C272" s="1"/>
      <c r="D272" s="1"/>
      <c r="E272" s="2">
        <v>223001</v>
      </c>
      <c r="F272" s="2"/>
      <c r="G272" s="2" t="s">
        <v>229</v>
      </c>
      <c r="H272" s="22">
        <v>12000</v>
      </c>
      <c r="I272" s="22">
        <v>9850</v>
      </c>
      <c r="J272" s="215">
        <f t="shared" si="61"/>
        <v>82.083333333333329</v>
      </c>
    </row>
    <row r="273" spans="2:10" ht="13.5" thickBot="1" x14ac:dyDescent="0.25">
      <c r="B273" s="213">
        <f t="shared" si="67"/>
        <v>266</v>
      </c>
      <c r="C273" s="2"/>
      <c r="D273" s="2"/>
      <c r="E273" s="2">
        <v>223002</v>
      </c>
      <c r="F273" s="2"/>
      <c r="G273" s="2" t="s">
        <v>67</v>
      </c>
      <c r="H273" s="22">
        <v>11000</v>
      </c>
      <c r="I273" s="22">
        <v>7829</v>
      </c>
      <c r="J273" s="215">
        <f t="shared" si="61"/>
        <v>71.172727272727272</v>
      </c>
    </row>
    <row r="274" spans="2:10" ht="15.75" thickBot="1" x14ac:dyDescent="0.3">
      <c r="B274" s="213">
        <f t="shared" si="67"/>
        <v>267</v>
      </c>
      <c r="C274" s="13">
        <v>8</v>
      </c>
      <c r="D274" s="13"/>
      <c r="E274" s="13"/>
      <c r="F274" s="13"/>
      <c r="G274" s="13" t="s">
        <v>314</v>
      </c>
      <c r="H274" s="19">
        <f>H284+H281+H278+H275</f>
        <v>38730</v>
      </c>
      <c r="I274" s="19">
        <f t="shared" ref="I274" si="84">I284+I281+I278+I275</f>
        <v>21499</v>
      </c>
      <c r="J274" s="206">
        <f t="shared" si="61"/>
        <v>55.509940614510711</v>
      </c>
    </row>
    <row r="275" spans="2:10" x14ac:dyDescent="0.2">
      <c r="B275" s="213">
        <f t="shared" si="67"/>
        <v>268</v>
      </c>
      <c r="C275" s="8">
        <v>210</v>
      </c>
      <c r="D275" s="8"/>
      <c r="E275" s="8"/>
      <c r="F275" s="8"/>
      <c r="G275" s="8" t="s">
        <v>21</v>
      </c>
      <c r="H275" s="20">
        <f>H276</f>
        <v>18025</v>
      </c>
      <c r="I275" s="20">
        <f t="shared" ref="I275:I276" si="85">I276</f>
        <v>9114</v>
      </c>
      <c r="J275" s="215">
        <f t="shared" si="61"/>
        <v>50.563106796116507</v>
      </c>
    </row>
    <row r="276" spans="2:10" x14ac:dyDescent="0.2">
      <c r="B276" s="213">
        <f t="shared" si="67"/>
        <v>269</v>
      </c>
      <c r="C276" s="1"/>
      <c r="D276" s="1">
        <v>212</v>
      </c>
      <c r="E276" s="1"/>
      <c r="F276" s="1"/>
      <c r="G276" s="1" t="s">
        <v>22</v>
      </c>
      <c r="H276" s="21">
        <f>H277</f>
        <v>18025</v>
      </c>
      <c r="I276" s="21">
        <f t="shared" si="85"/>
        <v>9114</v>
      </c>
      <c r="J276" s="215">
        <f t="shared" si="61"/>
        <v>50.563106796116507</v>
      </c>
    </row>
    <row r="277" spans="2:10" x14ac:dyDescent="0.2">
      <c r="B277" s="213">
        <f t="shared" si="67"/>
        <v>270</v>
      </c>
      <c r="C277" s="2"/>
      <c r="D277" s="2"/>
      <c r="E277" s="2">
        <v>212003</v>
      </c>
      <c r="F277" s="2"/>
      <c r="G277" s="2" t="s">
        <v>23</v>
      </c>
      <c r="H277" s="22">
        <v>18025</v>
      </c>
      <c r="I277" s="22">
        <v>9114</v>
      </c>
      <c r="J277" s="215">
        <f t="shared" si="61"/>
        <v>50.563106796116507</v>
      </c>
    </row>
    <row r="278" spans="2:10" x14ac:dyDescent="0.2">
      <c r="B278" s="213">
        <f t="shared" si="67"/>
        <v>271</v>
      </c>
      <c r="C278" s="8">
        <v>220</v>
      </c>
      <c r="D278" s="8"/>
      <c r="E278" s="8"/>
      <c r="F278" s="8"/>
      <c r="G278" s="8" t="s">
        <v>223</v>
      </c>
      <c r="H278" s="20">
        <f>H279</f>
        <v>20000</v>
      </c>
      <c r="I278" s="20">
        <f t="shared" ref="I278:I279" si="86">I279</f>
        <v>12384</v>
      </c>
      <c r="J278" s="215">
        <f t="shared" si="61"/>
        <v>61.919999999999995</v>
      </c>
    </row>
    <row r="279" spans="2:10" x14ac:dyDescent="0.2">
      <c r="B279" s="213">
        <f t="shared" si="67"/>
        <v>272</v>
      </c>
      <c r="C279" s="1"/>
      <c r="D279" s="1">
        <v>223</v>
      </c>
      <c r="E279" s="1"/>
      <c r="F279" s="1"/>
      <c r="G279" s="1" t="s">
        <v>25</v>
      </c>
      <c r="H279" s="21">
        <f>H280</f>
        <v>20000</v>
      </c>
      <c r="I279" s="21">
        <f t="shared" si="86"/>
        <v>12384</v>
      </c>
      <c r="J279" s="215">
        <f t="shared" si="61"/>
        <v>61.919999999999995</v>
      </c>
    </row>
    <row r="280" spans="2:10" x14ac:dyDescent="0.2">
      <c r="B280" s="213">
        <f t="shared" si="67"/>
        <v>273</v>
      </c>
      <c r="C280" s="2"/>
      <c r="D280" s="2"/>
      <c r="E280" s="2">
        <v>223002</v>
      </c>
      <c r="F280" s="2"/>
      <c r="G280" s="2" t="s">
        <v>67</v>
      </c>
      <c r="H280" s="22">
        <v>20000</v>
      </c>
      <c r="I280" s="22">
        <v>12384</v>
      </c>
      <c r="J280" s="215">
        <f t="shared" si="61"/>
        <v>61.919999999999995</v>
      </c>
    </row>
    <row r="281" spans="2:10" x14ac:dyDescent="0.2">
      <c r="B281" s="213">
        <f t="shared" si="67"/>
        <v>274</v>
      </c>
      <c r="C281" s="8">
        <v>240</v>
      </c>
      <c r="D281" s="8"/>
      <c r="E281" s="8"/>
      <c r="F281" s="8"/>
      <c r="G281" s="8" t="s">
        <v>173</v>
      </c>
      <c r="H281" s="20">
        <f>H282</f>
        <v>5</v>
      </c>
      <c r="I281" s="20">
        <f t="shared" ref="I281:I282" si="87">I282</f>
        <v>1</v>
      </c>
      <c r="J281" s="215">
        <f t="shared" si="61"/>
        <v>20</v>
      </c>
    </row>
    <row r="282" spans="2:10" x14ac:dyDescent="0.2">
      <c r="B282" s="213">
        <f t="shared" si="67"/>
        <v>275</v>
      </c>
      <c r="C282" s="1"/>
      <c r="D282" s="1">
        <v>242</v>
      </c>
      <c r="E282" s="1"/>
      <c r="F282" s="1"/>
      <c r="G282" s="1" t="s">
        <v>172</v>
      </c>
      <c r="H282" s="21">
        <f>H283</f>
        <v>5</v>
      </c>
      <c r="I282" s="21">
        <f t="shared" si="87"/>
        <v>1</v>
      </c>
      <c r="J282" s="215">
        <f t="shared" si="61"/>
        <v>20</v>
      </c>
    </row>
    <row r="283" spans="2:10" x14ac:dyDescent="0.2">
      <c r="B283" s="213">
        <f t="shared" si="67"/>
        <v>276</v>
      </c>
      <c r="C283" s="2"/>
      <c r="D283" s="2"/>
      <c r="E283" s="2">
        <v>242</v>
      </c>
      <c r="F283" s="2"/>
      <c r="G283" s="2" t="s">
        <v>172</v>
      </c>
      <c r="H283" s="22">
        <v>5</v>
      </c>
      <c r="I283" s="22">
        <v>1</v>
      </c>
      <c r="J283" s="215">
        <f t="shared" ref="J283:J346" si="88">I283/H283*100</f>
        <v>20</v>
      </c>
    </row>
    <row r="284" spans="2:10" x14ac:dyDescent="0.2">
      <c r="B284" s="213">
        <f t="shared" si="67"/>
        <v>277</v>
      </c>
      <c r="C284" s="8">
        <v>290</v>
      </c>
      <c r="D284" s="8"/>
      <c r="E284" s="8"/>
      <c r="F284" s="8"/>
      <c r="G284" s="8" t="s">
        <v>174</v>
      </c>
      <c r="H284" s="20">
        <f>H285</f>
        <v>700</v>
      </c>
      <c r="I284" s="20">
        <f t="shared" ref="I284:I285" si="89">I285</f>
        <v>0</v>
      </c>
      <c r="J284" s="215">
        <f t="shared" si="88"/>
        <v>0</v>
      </c>
    </row>
    <row r="285" spans="2:10" x14ac:dyDescent="0.2">
      <c r="B285" s="213">
        <f t="shared" ref="B285:B356" si="90">B284+1</f>
        <v>278</v>
      </c>
      <c r="C285" s="1"/>
      <c r="D285" s="1">
        <v>292</v>
      </c>
      <c r="E285" s="1"/>
      <c r="F285" s="1"/>
      <c r="G285" s="1" t="s">
        <v>175</v>
      </c>
      <c r="H285" s="21">
        <f>H286</f>
        <v>700</v>
      </c>
      <c r="I285" s="21">
        <f t="shared" si="89"/>
        <v>0</v>
      </c>
      <c r="J285" s="215">
        <f t="shared" si="88"/>
        <v>0</v>
      </c>
    </row>
    <row r="286" spans="2:10" ht="13.5" thickBot="1" x14ac:dyDescent="0.25">
      <c r="B286" s="213">
        <f t="shared" si="90"/>
        <v>279</v>
      </c>
      <c r="C286" s="2"/>
      <c r="D286" s="2"/>
      <c r="E286" s="2">
        <v>292012</v>
      </c>
      <c r="F286" s="2"/>
      <c r="G286" s="2" t="s">
        <v>7</v>
      </c>
      <c r="H286" s="22">
        <v>700</v>
      </c>
      <c r="I286" s="22">
        <v>0</v>
      </c>
      <c r="J286" s="215">
        <f t="shared" si="88"/>
        <v>0</v>
      </c>
    </row>
    <row r="287" spans="2:10" ht="15.75" thickBot="1" x14ac:dyDescent="0.3">
      <c r="B287" s="213">
        <f t="shared" si="90"/>
        <v>280</v>
      </c>
      <c r="C287" s="13">
        <v>9</v>
      </c>
      <c r="D287" s="13"/>
      <c r="E287" s="13"/>
      <c r="F287" s="13"/>
      <c r="G287" s="13" t="s">
        <v>272</v>
      </c>
      <c r="H287" s="19">
        <f>H300+H297+H291+H288</f>
        <v>15910</v>
      </c>
      <c r="I287" s="19">
        <f t="shared" ref="I287" si="91">I300+I297+I291+I288</f>
        <v>11845</v>
      </c>
      <c r="J287" s="206">
        <f t="shared" si="88"/>
        <v>74.45003142677561</v>
      </c>
    </row>
    <row r="288" spans="2:10" x14ac:dyDescent="0.2">
      <c r="B288" s="213">
        <f t="shared" si="90"/>
        <v>281</v>
      </c>
      <c r="C288" s="8">
        <v>210</v>
      </c>
      <c r="D288" s="8"/>
      <c r="E288" s="8"/>
      <c r="F288" s="8"/>
      <c r="G288" s="8" t="s">
        <v>21</v>
      </c>
      <c r="H288" s="20">
        <f>H289</f>
        <v>2705</v>
      </c>
      <c r="I288" s="20">
        <f t="shared" ref="I288:I289" si="92">I289</f>
        <v>804</v>
      </c>
      <c r="J288" s="215">
        <f t="shared" si="88"/>
        <v>29.722735674676525</v>
      </c>
    </row>
    <row r="289" spans="2:10" x14ac:dyDescent="0.2">
      <c r="B289" s="213">
        <f t="shared" si="90"/>
        <v>282</v>
      </c>
      <c r="C289" s="1"/>
      <c r="D289" s="1">
        <v>212</v>
      </c>
      <c r="E289" s="1"/>
      <c r="F289" s="1"/>
      <c r="G289" s="1" t="s">
        <v>22</v>
      </c>
      <c r="H289" s="21">
        <f>H290</f>
        <v>2705</v>
      </c>
      <c r="I289" s="21">
        <f t="shared" si="92"/>
        <v>804</v>
      </c>
      <c r="J289" s="215">
        <f t="shared" si="88"/>
        <v>29.722735674676525</v>
      </c>
    </row>
    <row r="290" spans="2:10" x14ac:dyDescent="0.2">
      <c r="B290" s="213">
        <f t="shared" si="90"/>
        <v>283</v>
      </c>
      <c r="C290" s="2"/>
      <c r="D290" s="2"/>
      <c r="E290" s="2">
        <v>212003</v>
      </c>
      <c r="F290" s="2"/>
      <c r="G290" s="2" t="s">
        <v>23</v>
      </c>
      <c r="H290" s="22">
        <v>2705</v>
      </c>
      <c r="I290" s="22">
        <v>804</v>
      </c>
      <c r="J290" s="215">
        <f t="shared" si="88"/>
        <v>29.722735674676525</v>
      </c>
    </row>
    <row r="291" spans="2:10" x14ac:dyDescent="0.2">
      <c r="B291" s="213">
        <f t="shared" si="90"/>
        <v>284</v>
      </c>
      <c r="C291" s="8">
        <v>220</v>
      </c>
      <c r="D291" s="8"/>
      <c r="E291" s="8"/>
      <c r="F291" s="8"/>
      <c r="G291" s="8" t="s">
        <v>223</v>
      </c>
      <c r="H291" s="20">
        <f>H292</f>
        <v>12500</v>
      </c>
      <c r="I291" s="20">
        <f t="shared" ref="I291" si="93">I292</f>
        <v>10058</v>
      </c>
      <c r="J291" s="215">
        <f t="shared" si="88"/>
        <v>80.463999999999999</v>
      </c>
    </row>
    <row r="292" spans="2:10" x14ac:dyDescent="0.2">
      <c r="B292" s="213">
        <f t="shared" si="90"/>
        <v>285</v>
      </c>
      <c r="C292" s="1"/>
      <c r="D292" s="1">
        <v>223</v>
      </c>
      <c r="E292" s="1"/>
      <c r="F292" s="1"/>
      <c r="G292" s="1" t="s">
        <v>25</v>
      </c>
      <c r="H292" s="21">
        <f>H296+H295+H294+H293</f>
        <v>12500</v>
      </c>
      <c r="I292" s="21">
        <f t="shared" ref="I292" si="94">I296+I295+I294+I293</f>
        <v>10058</v>
      </c>
      <c r="J292" s="215">
        <f t="shared" si="88"/>
        <v>80.463999999999999</v>
      </c>
    </row>
    <row r="293" spans="2:10" x14ac:dyDescent="0.2">
      <c r="B293" s="213">
        <f t="shared" si="90"/>
        <v>286</v>
      </c>
      <c r="C293" s="1"/>
      <c r="D293" s="1"/>
      <c r="E293" s="2">
        <v>223001</v>
      </c>
      <c r="F293" s="1"/>
      <c r="G293" s="2" t="s">
        <v>273</v>
      </c>
      <c r="H293" s="22">
        <v>4000</v>
      </c>
      <c r="I293" s="22">
        <v>2555</v>
      </c>
      <c r="J293" s="215">
        <f t="shared" si="88"/>
        <v>63.875000000000007</v>
      </c>
    </row>
    <row r="294" spans="2:10" x14ac:dyDescent="0.2">
      <c r="B294" s="213">
        <f t="shared" si="90"/>
        <v>287</v>
      </c>
      <c r="C294" s="1"/>
      <c r="D294" s="1"/>
      <c r="E294" s="2">
        <v>223001</v>
      </c>
      <c r="F294" s="1"/>
      <c r="G294" s="2" t="s">
        <v>274</v>
      </c>
      <c r="H294" s="22">
        <v>1000</v>
      </c>
      <c r="I294" s="22">
        <v>1278</v>
      </c>
      <c r="J294" s="215">
        <f t="shared" si="88"/>
        <v>127.8</v>
      </c>
    </row>
    <row r="295" spans="2:10" x14ac:dyDescent="0.2">
      <c r="B295" s="213">
        <f t="shared" si="90"/>
        <v>288</v>
      </c>
      <c r="C295" s="1"/>
      <c r="D295" s="1"/>
      <c r="E295" s="2">
        <v>223001</v>
      </c>
      <c r="F295" s="1"/>
      <c r="G295" s="2" t="s">
        <v>230</v>
      </c>
      <c r="H295" s="22">
        <v>1000</v>
      </c>
      <c r="I295" s="22">
        <v>1104</v>
      </c>
      <c r="J295" s="215">
        <f t="shared" si="88"/>
        <v>110.4</v>
      </c>
    </row>
    <row r="296" spans="2:10" x14ac:dyDescent="0.2">
      <c r="B296" s="213">
        <f t="shared" si="90"/>
        <v>289</v>
      </c>
      <c r="C296" s="2"/>
      <c r="D296" s="2"/>
      <c r="E296" s="2">
        <v>223002</v>
      </c>
      <c r="F296" s="2"/>
      <c r="G296" s="2" t="s">
        <v>67</v>
      </c>
      <c r="H296" s="22">
        <v>6500</v>
      </c>
      <c r="I296" s="22">
        <v>5121</v>
      </c>
      <c r="J296" s="215">
        <f t="shared" si="88"/>
        <v>78.784615384615392</v>
      </c>
    </row>
    <row r="297" spans="2:10" x14ac:dyDescent="0.2">
      <c r="B297" s="213">
        <f t="shared" si="90"/>
        <v>290</v>
      </c>
      <c r="C297" s="8">
        <v>240</v>
      </c>
      <c r="D297" s="8"/>
      <c r="E297" s="8"/>
      <c r="F297" s="8"/>
      <c r="G297" s="8" t="s">
        <v>173</v>
      </c>
      <c r="H297" s="20">
        <f>H298</f>
        <v>5</v>
      </c>
      <c r="I297" s="20">
        <f t="shared" ref="I297:I298" si="95">I298</f>
        <v>1</v>
      </c>
      <c r="J297" s="215">
        <f t="shared" si="88"/>
        <v>20</v>
      </c>
    </row>
    <row r="298" spans="2:10" x14ac:dyDescent="0.2">
      <c r="B298" s="213">
        <f t="shared" si="90"/>
        <v>291</v>
      </c>
      <c r="C298" s="1"/>
      <c r="D298" s="1">
        <v>242</v>
      </c>
      <c r="E298" s="1"/>
      <c r="F298" s="1"/>
      <c r="G298" s="1" t="s">
        <v>172</v>
      </c>
      <c r="H298" s="21">
        <f>H299</f>
        <v>5</v>
      </c>
      <c r="I298" s="21">
        <f t="shared" si="95"/>
        <v>1</v>
      </c>
      <c r="J298" s="215">
        <f t="shared" si="88"/>
        <v>20</v>
      </c>
    </row>
    <row r="299" spans="2:10" x14ac:dyDescent="0.2">
      <c r="B299" s="213">
        <f t="shared" si="90"/>
        <v>292</v>
      </c>
      <c r="C299" s="2"/>
      <c r="D299" s="2"/>
      <c r="E299" s="2">
        <v>242</v>
      </c>
      <c r="F299" s="2"/>
      <c r="G299" s="2" t="s">
        <v>172</v>
      </c>
      <c r="H299" s="22">
        <v>5</v>
      </c>
      <c r="I299" s="22">
        <v>1</v>
      </c>
      <c r="J299" s="215">
        <f t="shared" si="88"/>
        <v>20</v>
      </c>
    </row>
    <row r="300" spans="2:10" x14ac:dyDescent="0.2">
      <c r="B300" s="213">
        <f t="shared" si="90"/>
        <v>293</v>
      </c>
      <c r="C300" s="8">
        <v>290</v>
      </c>
      <c r="D300" s="8"/>
      <c r="E300" s="8"/>
      <c r="F300" s="8"/>
      <c r="G300" s="8" t="s">
        <v>174</v>
      </c>
      <c r="H300" s="20">
        <f>H301</f>
        <v>700</v>
      </c>
      <c r="I300" s="20">
        <f t="shared" ref="I300:I301" si="96">I301</f>
        <v>982</v>
      </c>
      <c r="J300" s="215">
        <f t="shared" si="88"/>
        <v>140.28571428571428</v>
      </c>
    </row>
    <row r="301" spans="2:10" x14ac:dyDescent="0.2">
      <c r="B301" s="213">
        <f t="shared" si="90"/>
        <v>294</v>
      </c>
      <c r="C301" s="1"/>
      <c r="D301" s="1">
        <v>292</v>
      </c>
      <c r="E301" s="1"/>
      <c r="F301" s="1"/>
      <c r="G301" s="1" t="s">
        <v>175</v>
      </c>
      <c r="H301" s="21">
        <f>H302</f>
        <v>700</v>
      </c>
      <c r="I301" s="21">
        <f t="shared" si="96"/>
        <v>982</v>
      </c>
      <c r="J301" s="215">
        <f t="shared" si="88"/>
        <v>140.28571428571428</v>
      </c>
    </row>
    <row r="302" spans="2:10" ht="13.5" thickBot="1" x14ac:dyDescent="0.25">
      <c r="B302" s="213">
        <f t="shared" si="90"/>
        <v>295</v>
      </c>
      <c r="C302" s="2"/>
      <c r="D302" s="2"/>
      <c r="E302" s="2">
        <v>292012</v>
      </c>
      <c r="F302" s="2"/>
      <c r="G302" s="2" t="s">
        <v>7</v>
      </c>
      <c r="H302" s="22">
        <v>700</v>
      </c>
      <c r="I302" s="22">
        <v>982</v>
      </c>
      <c r="J302" s="215">
        <f t="shared" si="88"/>
        <v>140.28571428571428</v>
      </c>
    </row>
    <row r="303" spans="2:10" ht="15.75" thickBot="1" x14ac:dyDescent="0.3">
      <c r="B303" s="213">
        <f t="shared" si="90"/>
        <v>296</v>
      </c>
      <c r="C303" s="13">
        <v>10</v>
      </c>
      <c r="D303" s="13"/>
      <c r="E303" s="13"/>
      <c r="F303" s="13"/>
      <c r="G303" s="13" t="s">
        <v>254</v>
      </c>
      <c r="H303" s="19">
        <f>H314+H311+H307+H304</f>
        <v>21070</v>
      </c>
      <c r="I303" s="19">
        <f t="shared" ref="I303" si="97">I314+I311+I307+I304</f>
        <v>24860</v>
      </c>
      <c r="J303" s="206">
        <f t="shared" si="88"/>
        <v>117.98766018035121</v>
      </c>
    </row>
    <row r="304" spans="2:10" x14ac:dyDescent="0.2">
      <c r="B304" s="213">
        <f t="shared" si="90"/>
        <v>297</v>
      </c>
      <c r="C304" s="8">
        <v>210</v>
      </c>
      <c r="D304" s="8"/>
      <c r="E304" s="8"/>
      <c r="F304" s="8"/>
      <c r="G304" s="8" t="s">
        <v>21</v>
      </c>
      <c r="H304" s="20">
        <f>H305</f>
        <v>5000</v>
      </c>
      <c r="I304" s="20">
        <f t="shared" ref="I304:I305" si="98">I305</f>
        <v>4160</v>
      </c>
      <c r="J304" s="215">
        <f t="shared" si="88"/>
        <v>83.2</v>
      </c>
    </row>
    <row r="305" spans="2:10" x14ac:dyDescent="0.2">
      <c r="B305" s="213">
        <f t="shared" si="90"/>
        <v>298</v>
      </c>
      <c r="C305" s="1"/>
      <c r="D305" s="1">
        <v>212</v>
      </c>
      <c r="E305" s="1"/>
      <c r="F305" s="1"/>
      <c r="G305" s="1" t="s">
        <v>22</v>
      </c>
      <c r="H305" s="21">
        <f>H306</f>
        <v>5000</v>
      </c>
      <c r="I305" s="21">
        <f t="shared" si="98"/>
        <v>4160</v>
      </c>
      <c r="J305" s="215">
        <f t="shared" si="88"/>
        <v>83.2</v>
      </c>
    </row>
    <row r="306" spans="2:10" x14ac:dyDescent="0.2">
      <c r="B306" s="213">
        <f t="shared" si="90"/>
        <v>299</v>
      </c>
      <c r="C306" s="2"/>
      <c r="D306" s="2"/>
      <c r="E306" s="2">
        <v>212003</v>
      </c>
      <c r="F306" s="2"/>
      <c r="G306" s="2" t="s">
        <v>23</v>
      </c>
      <c r="H306" s="22">
        <v>5000</v>
      </c>
      <c r="I306" s="22">
        <v>4160</v>
      </c>
      <c r="J306" s="215">
        <f t="shared" si="88"/>
        <v>83.2</v>
      </c>
    </row>
    <row r="307" spans="2:10" x14ac:dyDescent="0.2">
      <c r="B307" s="213">
        <f t="shared" si="90"/>
        <v>300</v>
      </c>
      <c r="C307" s="8">
        <v>220</v>
      </c>
      <c r="D307" s="8"/>
      <c r="E307" s="8"/>
      <c r="F307" s="8"/>
      <c r="G307" s="8" t="s">
        <v>223</v>
      </c>
      <c r="H307" s="20">
        <f>H308</f>
        <v>15565</v>
      </c>
      <c r="I307" s="20">
        <f t="shared" ref="I307" si="99">I308</f>
        <v>18268</v>
      </c>
      <c r="J307" s="215">
        <f t="shared" si="88"/>
        <v>117.36588499839382</v>
      </c>
    </row>
    <row r="308" spans="2:10" x14ac:dyDescent="0.2">
      <c r="B308" s="213">
        <f t="shared" si="90"/>
        <v>301</v>
      </c>
      <c r="C308" s="1"/>
      <c r="D308" s="1">
        <v>223</v>
      </c>
      <c r="E308" s="1"/>
      <c r="F308" s="1"/>
      <c r="G308" s="1" t="s">
        <v>25</v>
      </c>
      <c r="H308" s="21">
        <f>H310+H309</f>
        <v>15565</v>
      </c>
      <c r="I308" s="21">
        <f t="shared" ref="I308" si="100">I310+I309</f>
        <v>18268</v>
      </c>
      <c r="J308" s="215">
        <f t="shared" si="88"/>
        <v>117.36588499839382</v>
      </c>
    </row>
    <row r="309" spans="2:10" x14ac:dyDescent="0.2">
      <c r="B309" s="213">
        <f t="shared" si="90"/>
        <v>302</v>
      </c>
      <c r="C309" s="1"/>
      <c r="D309" s="1"/>
      <c r="E309" s="2">
        <v>223001</v>
      </c>
      <c r="F309" s="2"/>
      <c r="G309" s="2" t="s">
        <v>229</v>
      </c>
      <c r="H309" s="22">
        <v>11000</v>
      </c>
      <c r="I309" s="22">
        <v>14850</v>
      </c>
      <c r="J309" s="215">
        <f t="shared" si="88"/>
        <v>135</v>
      </c>
    </row>
    <row r="310" spans="2:10" x14ac:dyDescent="0.2">
      <c r="B310" s="213">
        <f t="shared" si="90"/>
        <v>303</v>
      </c>
      <c r="C310" s="2"/>
      <c r="D310" s="2"/>
      <c r="E310" s="2">
        <v>223002</v>
      </c>
      <c r="F310" s="2"/>
      <c r="G310" s="2" t="s">
        <v>67</v>
      </c>
      <c r="H310" s="22">
        <v>4565</v>
      </c>
      <c r="I310" s="22">
        <v>3418</v>
      </c>
      <c r="J310" s="215">
        <f t="shared" si="88"/>
        <v>74.874041621029576</v>
      </c>
    </row>
    <row r="311" spans="2:10" x14ac:dyDescent="0.2">
      <c r="B311" s="213">
        <f t="shared" si="90"/>
        <v>304</v>
      </c>
      <c r="C311" s="8">
        <v>240</v>
      </c>
      <c r="D311" s="8"/>
      <c r="E311" s="8"/>
      <c r="F311" s="8"/>
      <c r="G311" s="8" t="s">
        <v>173</v>
      </c>
      <c r="H311" s="20">
        <f>H312</f>
        <v>5</v>
      </c>
      <c r="I311" s="20">
        <f t="shared" ref="I311:I312" si="101">I312</f>
        <v>1</v>
      </c>
      <c r="J311" s="215">
        <f t="shared" si="88"/>
        <v>20</v>
      </c>
    </row>
    <row r="312" spans="2:10" x14ac:dyDescent="0.2">
      <c r="B312" s="213">
        <f t="shared" si="90"/>
        <v>305</v>
      </c>
      <c r="C312" s="1"/>
      <c r="D312" s="1">
        <v>242</v>
      </c>
      <c r="E312" s="1"/>
      <c r="F312" s="1"/>
      <c r="G312" s="1" t="s">
        <v>172</v>
      </c>
      <c r="H312" s="21">
        <f>H313</f>
        <v>5</v>
      </c>
      <c r="I312" s="21">
        <f t="shared" si="101"/>
        <v>1</v>
      </c>
      <c r="J312" s="215">
        <f t="shared" si="88"/>
        <v>20</v>
      </c>
    </row>
    <row r="313" spans="2:10" x14ac:dyDescent="0.2">
      <c r="B313" s="213">
        <f t="shared" si="90"/>
        <v>306</v>
      </c>
      <c r="C313" s="2"/>
      <c r="D313" s="2"/>
      <c r="E313" s="2">
        <v>242</v>
      </c>
      <c r="F313" s="2"/>
      <c r="G313" s="2" t="s">
        <v>172</v>
      </c>
      <c r="H313" s="22">
        <v>5</v>
      </c>
      <c r="I313" s="22">
        <v>1</v>
      </c>
      <c r="J313" s="215">
        <f t="shared" si="88"/>
        <v>20</v>
      </c>
    </row>
    <row r="314" spans="2:10" x14ac:dyDescent="0.2">
      <c r="B314" s="213">
        <f t="shared" si="90"/>
        <v>307</v>
      </c>
      <c r="C314" s="8">
        <v>290</v>
      </c>
      <c r="D314" s="8"/>
      <c r="E314" s="8"/>
      <c r="F314" s="8"/>
      <c r="G314" s="8" t="s">
        <v>174</v>
      </c>
      <c r="H314" s="20">
        <f>H315</f>
        <v>500</v>
      </c>
      <c r="I314" s="20">
        <f t="shared" ref="I314:I315" si="102">I315</f>
        <v>2431</v>
      </c>
      <c r="J314" s="215">
        <f t="shared" si="88"/>
        <v>486.2</v>
      </c>
    </row>
    <row r="315" spans="2:10" x14ac:dyDescent="0.2">
      <c r="B315" s="213">
        <f t="shared" si="90"/>
        <v>308</v>
      </c>
      <c r="C315" s="1"/>
      <c r="D315" s="1">
        <v>292</v>
      </c>
      <c r="E315" s="1"/>
      <c r="F315" s="1"/>
      <c r="G315" s="1" t="s">
        <v>175</v>
      </c>
      <c r="H315" s="21">
        <f>H316</f>
        <v>500</v>
      </c>
      <c r="I315" s="21">
        <f t="shared" si="102"/>
        <v>2431</v>
      </c>
      <c r="J315" s="215">
        <f t="shared" si="88"/>
        <v>486.2</v>
      </c>
    </row>
    <row r="316" spans="2:10" ht="13.5" thickBot="1" x14ac:dyDescent="0.25">
      <c r="B316" s="213">
        <f t="shared" si="90"/>
        <v>309</v>
      </c>
      <c r="C316" s="2"/>
      <c r="D316" s="2"/>
      <c r="E316" s="2">
        <v>292012</v>
      </c>
      <c r="F316" s="2"/>
      <c r="G316" s="2" t="s">
        <v>7</v>
      </c>
      <c r="H316" s="22">
        <v>500</v>
      </c>
      <c r="I316" s="22">
        <v>2431</v>
      </c>
      <c r="J316" s="215">
        <f t="shared" si="88"/>
        <v>486.2</v>
      </c>
    </row>
    <row r="317" spans="2:10" ht="15.75" thickBot="1" x14ac:dyDescent="0.3">
      <c r="B317" s="213">
        <f t="shared" si="90"/>
        <v>310</v>
      </c>
      <c r="C317" s="13">
        <v>11</v>
      </c>
      <c r="D317" s="13"/>
      <c r="E317" s="13"/>
      <c r="F317" s="13"/>
      <c r="G317" s="13" t="s">
        <v>271</v>
      </c>
      <c r="H317" s="19">
        <f>H329+H326+H321+H318</f>
        <v>62255</v>
      </c>
      <c r="I317" s="19">
        <f t="shared" ref="I317" si="103">I329+I326+I321+I318</f>
        <v>35109</v>
      </c>
      <c r="J317" s="206">
        <f t="shared" si="88"/>
        <v>56.395470243353948</v>
      </c>
    </row>
    <row r="318" spans="2:10" x14ac:dyDescent="0.2">
      <c r="B318" s="213">
        <f t="shared" si="90"/>
        <v>311</v>
      </c>
      <c r="C318" s="8">
        <v>210</v>
      </c>
      <c r="D318" s="8"/>
      <c r="E318" s="8"/>
      <c r="F318" s="8"/>
      <c r="G318" s="8" t="s">
        <v>21</v>
      </c>
      <c r="H318" s="20">
        <f>H319</f>
        <v>37000</v>
      </c>
      <c r="I318" s="20">
        <f t="shared" ref="I318:I319" si="104">I319</f>
        <v>18745</v>
      </c>
      <c r="J318" s="215">
        <f t="shared" si="88"/>
        <v>50.662162162162161</v>
      </c>
    </row>
    <row r="319" spans="2:10" x14ac:dyDescent="0.2">
      <c r="B319" s="213">
        <f t="shared" si="90"/>
        <v>312</v>
      </c>
      <c r="C319" s="1"/>
      <c r="D319" s="1">
        <v>212</v>
      </c>
      <c r="E319" s="1"/>
      <c r="F319" s="1"/>
      <c r="G319" s="1" t="s">
        <v>22</v>
      </c>
      <c r="H319" s="21">
        <f>H320</f>
        <v>37000</v>
      </c>
      <c r="I319" s="21">
        <f t="shared" si="104"/>
        <v>18745</v>
      </c>
      <c r="J319" s="215">
        <f t="shared" si="88"/>
        <v>50.662162162162161</v>
      </c>
    </row>
    <row r="320" spans="2:10" x14ac:dyDescent="0.2">
      <c r="B320" s="213">
        <f t="shared" si="90"/>
        <v>313</v>
      </c>
      <c r="C320" s="2"/>
      <c r="D320" s="2"/>
      <c r="E320" s="2">
        <v>212003</v>
      </c>
      <c r="F320" s="2"/>
      <c r="G320" s="2" t="s">
        <v>23</v>
      </c>
      <c r="H320" s="22">
        <v>37000</v>
      </c>
      <c r="I320" s="22">
        <v>18745</v>
      </c>
      <c r="J320" s="215">
        <f t="shared" si="88"/>
        <v>50.662162162162161</v>
      </c>
    </row>
    <row r="321" spans="2:10" x14ac:dyDescent="0.2">
      <c r="B321" s="213">
        <f t="shared" si="90"/>
        <v>314</v>
      </c>
      <c r="C321" s="8">
        <v>220</v>
      </c>
      <c r="D321" s="8"/>
      <c r="E321" s="8"/>
      <c r="F321" s="8"/>
      <c r="G321" s="8" t="s">
        <v>223</v>
      </c>
      <c r="H321" s="20">
        <f>H322</f>
        <v>24950</v>
      </c>
      <c r="I321" s="20">
        <f t="shared" ref="I321" si="105">I322</f>
        <v>14562</v>
      </c>
      <c r="J321" s="215">
        <f t="shared" si="88"/>
        <v>58.364729458917843</v>
      </c>
    </row>
    <row r="322" spans="2:10" x14ac:dyDescent="0.2">
      <c r="B322" s="213">
        <f t="shared" si="90"/>
        <v>315</v>
      </c>
      <c r="C322" s="1"/>
      <c r="D322" s="1">
        <v>223</v>
      </c>
      <c r="E322" s="1"/>
      <c r="F322" s="1"/>
      <c r="G322" s="1" t="s">
        <v>25</v>
      </c>
      <c r="H322" s="21">
        <f>H325+H324+H323</f>
        <v>24950</v>
      </c>
      <c r="I322" s="21">
        <f t="shared" ref="I322" si="106">I325+I324+I323</f>
        <v>14562</v>
      </c>
      <c r="J322" s="215">
        <f t="shared" si="88"/>
        <v>58.364729458917843</v>
      </c>
    </row>
    <row r="323" spans="2:10" x14ac:dyDescent="0.2">
      <c r="B323" s="213">
        <f t="shared" si="90"/>
        <v>316</v>
      </c>
      <c r="C323" s="1"/>
      <c r="D323" s="1"/>
      <c r="E323" s="2">
        <v>223001</v>
      </c>
      <c r="F323" s="2"/>
      <c r="G323" s="2" t="s">
        <v>651</v>
      </c>
      <c r="H323" s="22">
        <v>12000</v>
      </c>
      <c r="I323" s="22">
        <v>3094</v>
      </c>
      <c r="J323" s="215">
        <f t="shared" si="88"/>
        <v>25.783333333333335</v>
      </c>
    </row>
    <row r="324" spans="2:10" x14ac:dyDescent="0.2">
      <c r="B324" s="213">
        <f t="shared" si="90"/>
        <v>317</v>
      </c>
      <c r="C324" s="1"/>
      <c r="D324" s="1"/>
      <c r="E324" s="2">
        <v>223001</v>
      </c>
      <c r="F324" s="2"/>
      <c r="G324" s="2" t="s">
        <v>652</v>
      </c>
      <c r="H324" s="22">
        <v>2645</v>
      </c>
      <c r="I324" s="22">
        <v>4045</v>
      </c>
      <c r="J324" s="215">
        <f t="shared" si="88"/>
        <v>152.93005671077503</v>
      </c>
    </row>
    <row r="325" spans="2:10" x14ac:dyDescent="0.2">
      <c r="B325" s="213">
        <f t="shared" si="90"/>
        <v>318</v>
      </c>
      <c r="C325" s="2"/>
      <c r="D325" s="2"/>
      <c r="E325" s="2">
        <v>223002</v>
      </c>
      <c r="F325" s="2"/>
      <c r="G325" s="2" t="s">
        <v>67</v>
      </c>
      <c r="H325" s="22">
        <v>10305</v>
      </c>
      <c r="I325" s="22">
        <v>7423</v>
      </c>
      <c r="J325" s="215">
        <f t="shared" si="88"/>
        <v>72.032993692382348</v>
      </c>
    </row>
    <row r="326" spans="2:10" x14ac:dyDescent="0.2">
      <c r="B326" s="213">
        <f t="shared" si="90"/>
        <v>319</v>
      </c>
      <c r="C326" s="8">
        <v>240</v>
      </c>
      <c r="D326" s="8"/>
      <c r="E326" s="8"/>
      <c r="F326" s="8"/>
      <c r="G326" s="8" t="s">
        <v>173</v>
      </c>
      <c r="H326" s="20">
        <f>H327</f>
        <v>5</v>
      </c>
      <c r="I326" s="20">
        <f t="shared" ref="I326:I327" si="107">I327</f>
        <v>2</v>
      </c>
      <c r="J326" s="215">
        <f t="shared" si="88"/>
        <v>40</v>
      </c>
    </row>
    <row r="327" spans="2:10" x14ac:dyDescent="0.2">
      <c r="B327" s="213">
        <f t="shared" si="90"/>
        <v>320</v>
      </c>
      <c r="C327" s="1"/>
      <c r="D327" s="1">
        <v>242</v>
      </c>
      <c r="E327" s="1"/>
      <c r="F327" s="1"/>
      <c r="G327" s="1" t="s">
        <v>172</v>
      </c>
      <c r="H327" s="21">
        <f>H328</f>
        <v>5</v>
      </c>
      <c r="I327" s="21">
        <f t="shared" si="107"/>
        <v>2</v>
      </c>
      <c r="J327" s="215">
        <f t="shared" si="88"/>
        <v>40</v>
      </c>
    </row>
    <row r="328" spans="2:10" x14ac:dyDescent="0.2">
      <c r="B328" s="213">
        <f t="shared" si="90"/>
        <v>321</v>
      </c>
      <c r="C328" s="2"/>
      <c r="D328" s="2"/>
      <c r="E328" s="2">
        <v>242</v>
      </c>
      <c r="F328" s="2"/>
      <c r="G328" s="2" t="s">
        <v>172</v>
      </c>
      <c r="H328" s="22">
        <v>5</v>
      </c>
      <c r="I328" s="22">
        <v>2</v>
      </c>
      <c r="J328" s="215">
        <f t="shared" si="88"/>
        <v>40</v>
      </c>
    </row>
    <row r="329" spans="2:10" x14ac:dyDescent="0.2">
      <c r="B329" s="213">
        <f t="shared" si="90"/>
        <v>322</v>
      </c>
      <c r="C329" s="8">
        <v>290</v>
      </c>
      <c r="D329" s="8"/>
      <c r="E329" s="8"/>
      <c r="F329" s="8"/>
      <c r="G329" s="8" t="s">
        <v>174</v>
      </c>
      <c r="H329" s="20">
        <f>H330</f>
        <v>300</v>
      </c>
      <c r="I329" s="20">
        <f t="shared" ref="I329:I330" si="108">I330</f>
        <v>1800</v>
      </c>
      <c r="J329" s="215">
        <f t="shared" si="88"/>
        <v>600</v>
      </c>
    </row>
    <row r="330" spans="2:10" x14ac:dyDescent="0.2">
      <c r="B330" s="213">
        <f t="shared" si="90"/>
        <v>323</v>
      </c>
      <c r="C330" s="1"/>
      <c r="D330" s="1">
        <v>292</v>
      </c>
      <c r="E330" s="1"/>
      <c r="F330" s="1"/>
      <c r="G330" s="1" t="s">
        <v>175</v>
      </c>
      <c r="H330" s="21">
        <f>H331</f>
        <v>300</v>
      </c>
      <c r="I330" s="21">
        <f t="shared" si="108"/>
        <v>1800</v>
      </c>
      <c r="J330" s="215">
        <f t="shared" si="88"/>
        <v>600</v>
      </c>
    </row>
    <row r="331" spans="2:10" ht="13.5" thickBot="1" x14ac:dyDescent="0.25">
      <c r="B331" s="213">
        <f t="shared" si="90"/>
        <v>324</v>
      </c>
      <c r="C331" s="2"/>
      <c r="D331" s="2"/>
      <c r="E331" s="2">
        <v>292012</v>
      </c>
      <c r="F331" s="2"/>
      <c r="G331" s="2" t="s">
        <v>7</v>
      </c>
      <c r="H331" s="22">
        <v>300</v>
      </c>
      <c r="I331" s="22">
        <v>1800</v>
      </c>
      <c r="J331" s="215">
        <f t="shared" si="88"/>
        <v>600</v>
      </c>
    </row>
    <row r="332" spans="2:10" ht="15.75" thickBot="1" x14ac:dyDescent="0.3">
      <c r="B332" s="213">
        <f t="shared" si="90"/>
        <v>325</v>
      </c>
      <c r="C332" s="13">
        <v>12</v>
      </c>
      <c r="D332" s="13"/>
      <c r="E332" s="13"/>
      <c r="F332" s="13"/>
      <c r="G332" s="13" t="s">
        <v>270</v>
      </c>
      <c r="H332" s="19">
        <f>H343+H340+H336+H333</f>
        <v>19910</v>
      </c>
      <c r="I332" s="19">
        <f t="shared" ref="I332" si="109">I343+I340+I336+I333</f>
        <v>12052</v>
      </c>
      <c r="J332" s="206">
        <f t="shared" si="88"/>
        <v>60.532395781014571</v>
      </c>
    </row>
    <row r="333" spans="2:10" x14ac:dyDescent="0.2">
      <c r="B333" s="213">
        <f t="shared" si="90"/>
        <v>326</v>
      </c>
      <c r="C333" s="8">
        <v>210</v>
      </c>
      <c r="D333" s="8"/>
      <c r="E333" s="8"/>
      <c r="F333" s="8"/>
      <c r="G333" s="8" t="s">
        <v>21</v>
      </c>
      <c r="H333" s="20">
        <f>H334</f>
        <v>3000</v>
      </c>
      <c r="I333" s="20">
        <f t="shared" ref="I333:I334" si="110">I334</f>
        <v>2248</v>
      </c>
      <c r="J333" s="215">
        <f t="shared" si="88"/>
        <v>74.933333333333323</v>
      </c>
    </row>
    <row r="334" spans="2:10" x14ac:dyDescent="0.2">
      <c r="B334" s="213">
        <f t="shared" si="90"/>
        <v>327</v>
      </c>
      <c r="C334" s="1"/>
      <c r="D334" s="1">
        <v>212</v>
      </c>
      <c r="E334" s="1"/>
      <c r="F334" s="1"/>
      <c r="G334" s="1" t="s">
        <v>22</v>
      </c>
      <c r="H334" s="21">
        <f>H335</f>
        <v>3000</v>
      </c>
      <c r="I334" s="21">
        <f t="shared" si="110"/>
        <v>2248</v>
      </c>
      <c r="J334" s="215">
        <f t="shared" si="88"/>
        <v>74.933333333333323</v>
      </c>
    </row>
    <row r="335" spans="2:10" x14ac:dyDescent="0.2">
      <c r="B335" s="213">
        <f t="shared" si="90"/>
        <v>328</v>
      </c>
      <c r="C335" s="2"/>
      <c r="D335" s="2"/>
      <c r="E335" s="2">
        <v>212003</v>
      </c>
      <c r="F335" s="2"/>
      <c r="G335" s="2" t="s">
        <v>23</v>
      </c>
      <c r="H335" s="22">
        <v>3000</v>
      </c>
      <c r="I335" s="22">
        <v>2248</v>
      </c>
      <c r="J335" s="215">
        <f t="shared" si="88"/>
        <v>74.933333333333323</v>
      </c>
    </row>
    <row r="336" spans="2:10" x14ac:dyDescent="0.2">
      <c r="B336" s="213">
        <f t="shared" si="90"/>
        <v>329</v>
      </c>
      <c r="C336" s="8">
        <v>220</v>
      </c>
      <c r="D336" s="8"/>
      <c r="E336" s="8"/>
      <c r="F336" s="8"/>
      <c r="G336" s="8" t="s">
        <v>223</v>
      </c>
      <c r="H336" s="20">
        <f>H337</f>
        <v>16405</v>
      </c>
      <c r="I336" s="20">
        <f t="shared" ref="I336" si="111">I337</f>
        <v>9803</v>
      </c>
      <c r="J336" s="215">
        <f t="shared" si="88"/>
        <v>59.756171898811338</v>
      </c>
    </row>
    <row r="337" spans="2:10" x14ac:dyDescent="0.2">
      <c r="B337" s="213">
        <f t="shared" si="90"/>
        <v>330</v>
      </c>
      <c r="C337" s="1"/>
      <c r="D337" s="1">
        <v>223</v>
      </c>
      <c r="E337" s="1"/>
      <c r="F337" s="1"/>
      <c r="G337" s="1" t="s">
        <v>25</v>
      </c>
      <c r="H337" s="21">
        <f>H339+H338</f>
        <v>16405</v>
      </c>
      <c r="I337" s="21">
        <f t="shared" ref="I337" si="112">I339+I338</f>
        <v>9803</v>
      </c>
      <c r="J337" s="215">
        <f t="shared" si="88"/>
        <v>59.756171898811338</v>
      </c>
    </row>
    <row r="338" spans="2:10" x14ac:dyDescent="0.2">
      <c r="B338" s="213">
        <f t="shared" si="90"/>
        <v>331</v>
      </c>
      <c r="C338" s="1"/>
      <c r="D338" s="1"/>
      <c r="E338" s="2">
        <v>223001</v>
      </c>
      <c r="F338" s="2"/>
      <c r="G338" s="2" t="s">
        <v>229</v>
      </c>
      <c r="H338" s="22">
        <v>8200</v>
      </c>
      <c r="I338" s="22">
        <v>5459</v>
      </c>
      <c r="J338" s="215">
        <f t="shared" si="88"/>
        <v>66.573170731707322</v>
      </c>
    </row>
    <row r="339" spans="2:10" x14ac:dyDescent="0.2">
      <c r="B339" s="213">
        <f t="shared" si="90"/>
        <v>332</v>
      </c>
      <c r="C339" s="2"/>
      <c r="D339" s="2"/>
      <c r="E339" s="2">
        <v>223002</v>
      </c>
      <c r="F339" s="2"/>
      <c r="G339" s="2" t="s">
        <v>67</v>
      </c>
      <c r="H339" s="22">
        <v>8205</v>
      </c>
      <c r="I339" s="22">
        <v>4344</v>
      </c>
      <c r="J339" s="215">
        <f t="shared" si="88"/>
        <v>52.943327239488113</v>
      </c>
    </row>
    <row r="340" spans="2:10" x14ac:dyDescent="0.2">
      <c r="B340" s="213">
        <f t="shared" si="90"/>
        <v>333</v>
      </c>
      <c r="C340" s="8">
        <v>240</v>
      </c>
      <c r="D340" s="8"/>
      <c r="E340" s="8"/>
      <c r="F340" s="8"/>
      <c r="G340" s="8" t="s">
        <v>173</v>
      </c>
      <c r="H340" s="20">
        <f>H341</f>
        <v>5</v>
      </c>
      <c r="I340" s="20">
        <f t="shared" ref="I340:I341" si="113">I341</f>
        <v>1</v>
      </c>
      <c r="J340" s="215">
        <f t="shared" si="88"/>
        <v>20</v>
      </c>
    </row>
    <row r="341" spans="2:10" x14ac:dyDescent="0.2">
      <c r="B341" s="213">
        <f t="shared" si="90"/>
        <v>334</v>
      </c>
      <c r="C341" s="1"/>
      <c r="D341" s="1">
        <v>242</v>
      </c>
      <c r="E341" s="1"/>
      <c r="F341" s="1"/>
      <c r="G341" s="1" t="s">
        <v>172</v>
      </c>
      <c r="H341" s="21">
        <f>H342</f>
        <v>5</v>
      </c>
      <c r="I341" s="21">
        <f t="shared" si="113"/>
        <v>1</v>
      </c>
      <c r="J341" s="215">
        <f t="shared" si="88"/>
        <v>20</v>
      </c>
    </row>
    <row r="342" spans="2:10" x14ac:dyDescent="0.2">
      <c r="B342" s="213">
        <f t="shared" si="90"/>
        <v>335</v>
      </c>
      <c r="C342" s="2"/>
      <c r="D342" s="2"/>
      <c r="E342" s="2">
        <v>242</v>
      </c>
      <c r="F342" s="2"/>
      <c r="G342" s="2" t="s">
        <v>172</v>
      </c>
      <c r="H342" s="22">
        <v>5</v>
      </c>
      <c r="I342" s="22">
        <v>1</v>
      </c>
      <c r="J342" s="215">
        <f t="shared" si="88"/>
        <v>20</v>
      </c>
    </row>
    <row r="343" spans="2:10" x14ac:dyDescent="0.2">
      <c r="B343" s="213">
        <f t="shared" si="90"/>
        <v>336</v>
      </c>
      <c r="C343" s="8">
        <v>290</v>
      </c>
      <c r="D343" s="8"/>
      <c r="E343" s="8"/>
      <c r="F343" s="8"/>
      <c r="G343" s="8" t="s">
        <v>174</v>
      </c>
      <c r="H343" s="20">
        <f>H344</f>
        <v>500</v>
      </c>
      <c r="I343" s="20">
        <f t="shared" ref="I343:I344" si="114">I344</f>
        <v>0</v>
      </c>
      <c r="J343" s="215">
        <f t="shared" si="88"/>
        <v>0</v>
      </c>
    </row>
    <row r="344" spans="2:10" x14ac:dyDescent="0.2">
      <c r="B344" s="213">
        <f t="shared" si="90"/>
        <v>337</v>
      </c>
      <c r="C344" s="1"/>
      <c r="D344" s="1">
        <v>292</v>
      </c>
      <c r="E344" s="1"/>
      <c r="F344" s="1"/>
      <c r="G344" s="1" t="s">
        <v>175</v>
      </c>
      <c r="H344" s="21">
        <f>H345</f>
        <v>500</v>
      </c>
      <c r="I344" s="21">
        <f t="shared" si="114"/>
        <v>0</v>
      </c>
      <c r="J344" s="215">
        <f t="shared" si="88"/>
        <v>0</v>
      </c>
    </row>
    <row r="345" spans="2:10" ht="13.5" thickBot="1" x14ac:dyDescent="0.25">
      <c r="B345" s="213">
        <f t="shared" si="90"/>
        <v>338</v>
      </c>
      <c r="C345" s="2"/>
      <c r="D345" s="2"/>
      <c r="E345" s="2">
        <v>292012</v>
      </c>
      <c r="F345" s="2"/>
      <c r="G345" s="2" t="s">
        <v>7</v>
      </c>
      <c r="H345" s="22">
        <v>500</v>
      </c>
      <c r="I345" s="22">
        <v>0</v>
      </c>
      <c r="J345" s="215">
        <f t="shared" si="88"/>
        <v>0</v>
      </c>
    </row>
    <row r="346" spans="2:10" ht="15.75" thickBot="1" x14ac:dyDescent="0.3">
      <c r="B346" s="213">
        <f t="shared" si="90"/>
        <v>339</v>
      </c>
      <c r="C346" s="13">
        <v>13</v>
      </c>
      <c r="D346" s="13"/>
      <c r="E346" s="13"/>
      <c r="F346" s="13"/>
      <c r="G346" s="13" t="s">
        <v>253</v>
      </c>
      <c r="H346" s="19">
        <f>H357+H354+H350+H347</f>
        <v>19010</v>
      </c>
      <c r="I346" s="19">
        <f t="shared" ref="I346" si="115">I357+I354+I350+I347</f>
        <v>11441</v>
      </c>
      <c r="J346" s="206">
        <f t="shared" si="88"/>
        <v>60.184113624408212</v>
      </c>
    </row>
    <row r="347" spans="2:10" x14ac:dyDescent="0.2">
      <c r="B347" s="213">
        <f t="shared" si="90"/>
        <v>340</v>
      </c>
      <c r="C347" s="8">
        <v>210</v>
      </c>
      <c r="D347" s="8"/>
      <c r="E347" s="8"/>
      <c r="F347" s="8"/>
      <c r="G347" s="8" t="s">
        <v>21</v>
      </c>
      <c r="H347" s="20">
        <f>H348</f>
        <v>6000</v>
      </c>
      <c r="I347" s="20">
        <f t="shared" ref="I347:I348" si="116">I348</f>
        <v>2765</v>
      </c>
      <c r="J347" s="215">
        <f t="shared" ref="J347:J406" si="117">I347/H347*100</f>
        <v>46.083333333333329</v>
      </c>
    </row>
    <row r="348" spans="2:10" x14ac:dyDescent="0.2">
      <c r="B348" s="213">
        <f t="shared" si="90"/>
        <v>341</v>
      </c>
      <c r="C348" s="1"/>
      <c r="D348" s="1">
        <v>212</v>
      </c>
      <c r="E348" s="1"/>
      <c r="F348" s="1"/>
      <c r="G348" s="1" t="s">
        <v>22</v>
      </c>
      <c r="H348" s="21">
        <f>H349</f>
        <v>6000</v>
      </c>
      <c r="I348" s="21">
        <f t="shared" si="116"/>
        <v>2765</v>
      </c>
      <c r="J348" s="215">
        <f t="shared" si="117"/>
        <v>46.083333333333329</v>
      </c>
    </row>
    <row r="349" spans="2:10" x14ac:dyDescent="0.2">
      <c r="B349" s="213">
        <f t="shared" si="90"/>
        <v>342</v>
      </c>
      <c r="C349" s="2"/>
      <c r="D349" s="2"/>
      <c r="E349" s="2">
        <v>212003</v>
      </c>
      <c r="F349" s="2"/>
      <c r="G349" s="2" t="s">
        <v>23</v>
      </c>
      <c r="H349" s="22">
        <v>6000</v>
      </c>
      <c r="I349" s="22">
        <v>2765</v>
      </c>
      <c r="J349" s="215">
        <f t="shared" si="117"/>
        <v>46.083333333333329</v>
      </c>
    </row>
    <row r="350" spans="2:10" x14ac:dyDescent="0.2">
      <c r="B350" s="213">
        <f t="shared" si="90"/>
        <v>343</v>
      </c>
      <c r="C350" s="8">
        <v>220</v>
      </c>
      <c r="D350" s="8"/>
      <c r="E350" s="8"/>
      <c r="F350" s="8"/>
      <c r="G350" s="8" t="s">
        <v>223</v>
      </c>
      <c r="H350" s="20">
        <f>H351</f>
        <v>12705</v>
      </c>
      <c r="I350" s="20">
        <f t="shared" ref="I350" si="118">I351</f>
        <v>8675</v>
      </c>
      <c r="J350" s="215">
        <f t="shared" si="117"/>
        <v>68.280204643841003</v>
      </c>
    </row>
    <row r="351" spans="2:10" x14ac:dyDescent="0.2">
      <c r="B351" s="213">
        <f t="shared" si="90"/>
        <v>344</v>
      </c>
      <c r="C351" s="1"/>
      <c r="D351" s="1">
        <v>223</v>
      </c>
      <c r="E351" s="1"/>
      <c r="F351" s="1"/>
      <c r="G351" s="1" t="s">
        <v>25</v>
      </c>
      <c r="H351" s="21">
        <f>H353+H352</f>
        <v>12705</v>
      </c>
      <c r="I351" s="21">
        <f t="shared" ref="I351" si="119">I353+I352</f>
        <v>8675</v>
      </c>
      <c r="J351" s="215">
        <f t="shared" si="117"/>
        <v>68.280204643841003</v>
      </c>
    </row>
    <row r="352" spans="2:10" x14ac:dyDescent="0.2">
      <c r="B352" s="213">
        <f t="shared" si="90"/>
        <v>345</v>
      </c>
      <c r="C352" s="1"/>
      <c r="D352" s="1"/>
      <c r="E352" s="2">
        <v>223001</v>
      </c>
      <c r="F352" s="2"/>
      <c r="G352" s="2" t="s">
        <v>229</v>
      </c>
      <c r="H352" s="22">
        <v>8300</v>
      </c>
      <c r="I352" s="22">
        <v>6265</v>
      </c>
      <c r="J352" s="215">
        <f t="shared" si="117"/>
        <v>75.481927710843379</v>
      </c>
    </row>
    <row r="353" spans="2:10" x14ac:dyDescent="0.2">
      <c r="B353" s="213">
        <f t="shared" si="90"/>
        <v>346</v>
      </c>
      <c r="C353" s="2"/>
      <c r="D353" s="2"/>
      <c r="E353" s="2">
        <v>223002</v>
      </c>
      <c r="F353" s="2"/>
      <c r="G353" s="2" t="s">
        <v>67</v>
      </c>
      <c r="H353" s="22">
        <v>4405</v>
      </c>
      <c r="I353" s="22">
        <v>2410</v>
      </c>
      <c r="J353" s="215">
        <f t="shared" si="117"/>
        <v>54.710556186152104</v>
      </c>
    </row>
    <row r="354" spans="2:10" x14ac:dyDescent="0.2">
      <c r="B354" s="213">
        <f t="shared" si="90"/>
        <v>347</v>
      </c>
      <c r="C354" s="8">
        <v>240</v>
      </c>
      <c r="D354" s="8"/>
      <c r="E354" s="8"/>
      <c r="F354" s="8"/>
      <c r="G354" s="8" t="s">
        <v>173</v>
      </c>
      <c r="H354" s="20">
        <f>H355</f>
        <v>5</v>
      </c>
      <c r="I354" s="20">
        <f t="shared" ref="I354:I355" si="120">I355</f>
        <v>1</v>
      </c>
      <c r="J354" s="215">
        <f t="shared" si="117"/>
        <v>20</v>
      </c>
    </row>
    <row r="355" spans="2:10" x14ac:dyDescent="0.2">
      <c r="B355" s="213">
        <f t="shared" si="90"/>
        <v>348</v>
      </c>
      <c r="C355" s="1"/>
      <c r="D355" s="1">
        <v>242</v>
      </c>
      <c r="E355" s="1"/>
      <c r="F355" s="1"/>
      <c r="G355" s="1" t="s">
        <v>172</v>
      </c>
      <c r="H355" s="21">
        <f>H356</f>
        <v>5</v>
      </c>
      <c r="I355" s="21">
        <f t="shared" si="120"/>
        <v>1</v>
      </c>
      <c r="J355" s="215">
        <f t="shared" si="117"/>
        <v>20</v>
      </c>
    </row>
    <row r="356" spans="2:10" x14ac:dyDescent="0.2">
      <c r="B356" s="213">
        <f t="shared" si="90"/>
        <v>349</v>
      </c>
      <c r="C356" s="2"/>
      <c r="D356" s="2"/>
      <c r="E356" s="2">
        <v>242</v>
      </c>
      <c r="F356" s="2"/>
      <c r="G356" s="2" t="s">
        <v>172</v>
      </c>
      <c r="H356" s="22">
        <v>5</v>
      </c>
      <c r="I356" s="22">
        <v>1</v>
      </c>
      <c r="J356" s="215">
        <f t="shared" si="117"/>
        <v>20</v>
      </c>
    </row>
    <row r="357" spans="2:10" x14ac:dyDescent="0.2">
      <c r="B357" s="213">
        <f t="shared" ref="B357:B413" si="121">B356+1</f>
        <v>350</v>
      </c>
      <c r="C357" s="8">
        <v>290</v>
      </c>
      <c r="D357" s="8"/>
      <c r="E357" s="8"/>
      <c r="F357" s="8"/>
      <c r="G357" s="8" t="s">
        <v>174</v>
      </c>
      <c r="H357" s="20">
        <f>H358</f>
        <v>300</v>
      </c>
      <c r="I357" s="20">
        <f t="shared" ref="I357:I358" si="122">I358</f>
        <v>0</v>
      </c>
      <c r="J357" s="215">
        <f t="shared" si="117"/>
        <v>0</v>
      </c>
    </row>
    <row r="358" spans="2:10" x14ac:dyDescent="0.2">
      <c r="B358" s="213">
        <f t="shared" si="121"/>
        <v>351</v>
      </c>
      <c r="C358" s="1"/>
      <c r="D358" s="1">
        <v>292</v>
      </c>
      <c r="E358" s="1"/>
      <c r="F358" s="1"/>
      <c r="G358" s="1" t="s">
        <v>175</v>
      </c>
      <c r="H358" s="21">
        <f>H359</f>
        <v>300</v>
      </c>
      <c r="I358" s="21">
        <f t="shared" si="122"/>
        <v>0</v>
      </c>
      <c r="J358" s="215">
        <f t="shared" si="117"/>
        <v>0</v>
      </c>
    </row>
    <row r="359" spans="2:10" ht="13.5" thickBot="1" x14ac:dyDescent="0.25">
      <c r="B359" s="213">
        <f t="shared" si="121"/>
        <v>352</v>
      </c>
      <c r="C359" s="2"/>
      <c r="D359" s="2"/>
      <c r="E359" s="2">
        <v>292012</v>
      </c>
      <c r="F359" s="2"/>
      <c r="G359" s="2" t="s">
        <v>7</v>
      </c>
      <c r="H359" s="22">
        <v>300</v>
      </c>
      <c r="I359" s="22">
        <v>0</v>
      </c>
      <c r="J359" s="215">
        <f t="shared" si="117"/>
        <v>0</v>
      </c>
    </row>
    <row r="360" spans="2:10" ht="15.75" thickBot="1" x14ac:dyDescent="0.3">
      <c r="B360" s="213">
        <f t="shared" si="121"/>
        <v>353</v>
      </c>
      <c r="C360" s="13">
        <v>14</v>
      </c>
      <c r="D360" s="13"/>
      <c r="E360" s="13"/>
      <c r="F360" s="13"/>
      <c r="G360" s="13" t="s">
        <v>263</v>
      </c>
      <c r="H360" s="19">
        <f>H364+H361</f>
        <v>91010</v>
      </c>
      <c r="I360" s="19">
        <f t="shared" ref="I360" si="123">I364+I361</f>
        <v>56811</v>
      </c>
      <c r="J360" s="206">
        <f t="shared" si="117"/>
        <v>62.422810680145034</v>
      </c>
    </row>
    <row r="361" spans="2:10" x14ac:dyDescent="0.2">
      <c r="B361" s="213">
        <f t="shared" si="121"/>
        <v>354</v>
      </c>
      <c r="C361" s="8">
        <v>220</v>
      </c>
      <c r="D361" s="8"/>
      <c r="E361" s="8"/>
      <c r="F361" s="8"/>
      <c r="G361" s="8" t="s">
        <v>223</v>
      </c>
      <c r="H361" s="20">
        <f>H362</f>
        <v>91005</v>
      </c>
      <c r="I361" s="20">
        <f t="shared" ref="I361:I362" si="124">I362</f>
        <v>56810</v>
      </c>
      <c r="J361" s="215">
        <f t="shared" si="117"/>
        <v>62.425141475743096</v>
      </c>
    </row>
    <row r="362" spans="2:10" x14ac:dyDescent="0.2">
      <c r="B362" s="213">
        <f t="shared" si="121"/>
        <v>355</v>
      </c>
      <c r="C362" s="1"/>
      <c r="D362" s="1">
        <v>223</v>
      </c>
      <c r="E362" s="1"/>
      <c r="F362" s="1"/>
      <c r="G362" s="1" t="s">
        <v>25</v>
      </c>
      <c r="H362" s="21">
        <f>H363</f>
        <v>91005</v>
      </c>
      <c r="I362" s="21">
        <f t="shared" si="124"/>
        <v>56810</v>
      </c>
      <c r="J362" s="215">
        <f t="shared" si="117"/>
        <v>62.425141475743096</v>
      </c>
    </row>
    <row r="363" spans="2:10" x14ac:dyDescent="0.2">
      <c r="B363" s="213">
        <f t="shared" si="121"/>
        <v>356</v>
      </c>
      <c r="C363" s="2"/>
      <c r="D363" s="2"/>
      <c r="E363" s="2">
        <v>223001</v>
      </c>
      <c r="F363" s="2"/>
      <c r="G363" s="2" t="s">
        <v>26</v>
      </c>
      <c r="H363" s="22">
        <v>91005</v>
      </c>
      <c r="I363" s="22">
        <v>56810</v>
      </c>
      <c r="J363" s="215">
        <f t="shared" si="117"/>
        <v>62.425141475743096</v>
      </c>
    </row>
    <row r="364" spans="2:10" x14ac:dyDescent="0.2">
      <c r="B364" s="213">
        <f t="shared" si="121"/>
        <v>357</v>
      </c>
      <c r="C364" s="8">
        <v>240</v>
      </c>
      <c r="D364" s="8"/>
      <c r="E364" s="8"/>
      <c r="F364" s="8"/>
      <c r="G364" s="8" t="s">
        <v>173</v>
      </c>
      <c r="H364" s="20">
        <f>H365</f>
        <v>5</v>
      </c>
      <c r="I364" s="20">
        <f t="shared" ref="I364:I365" si="125">I365</f>
        <v>1</v>
      </c>
      <c r="J364" s="215">
        <f t="shared" si="117"/>
        <v>20</v>
      </c>
    </row>
    <row r="365" spans="2:10" x14ac:dyDescent="0.2">
      <c r="B365" s="213">
        <f t="shared" si="121"/>
        <v>358</v>
      </c>
      <c r="C365" s="1"/>
      <c r="D365" s="1">
        <v>242</v>
      </c>
      <c r="E365" s="1"/>
      <c r="F365" s="1"/>
      <c r="G365" s="1" t="s">
        <v>172</v>
      </c>
      <c r="H365" s="21">
        <f>H366</f>
        <v>5</v>
      </c>
      <c r="I365" s="21">
        <f t="shared" si="125"/>
        <v>1</v>
      </c>
      <c r="J365" s="215">
        <f t="shared" si="117"/>
        <v>20</v>
      </c>
    </row>
    <row r="366" spans="2:10" x14ac:dyDescent="0.2">
      <c r="B366" s="213">
        <f t="shared" si="121"/>
        <v>359</v>
      </c>
      <c r="C366" s="2"/>
      <c r="D366" s="2"/>
      <c r="E366" s="2">
        <v>242</v>
      </c>
      <c r="F366" s="2"/>
      <c r="G366" s="2" t="s">
        <v>172</v>
      </c>
      <c r="H366" s="22">
        <v>5</v>
      </c>
      <c r="I366" s="22">
        <v>1</v>
      </c>
      <c r="J366" s="215">
        <f t="shared" si="117"/>
        <v>20</v>
      </c>
    </row>
    <row r="367" spans="2:10" ht="16.5" thickBot="1" x14ac:dyDescent="0.3">
      <c r="B367" s="213">
        <f t="shared" si="121"/>
        <v>360</v>
      </c>
      <c r="C367" s="12">
        <v>300</v>
      </c>
      <c r="D367" s="12"/>
      <c r="E367" s="12"/>
      <c r="F367" s="12"/>
      <c r="G367" s="12" t="s">
        <v>227</v>
      </c>
      <c r="H367" s="18">
        <f>H409+H405+H401+H368+H392+H396</f>
        <v>8055517</v>
      </c>
      <c r="I367" s="18">
        <f>I409+I405+I401+I368+I392+I396</f>
        <v>4183124</v>
      </c>
      <c r="J367" s="214">
        <f t="shared" si="117"/>
        <v>51.928684403496383</v>
      </c>
    </row>
    <row r="368" spans="2:10" ht="15.75" thickBot="1" x14ac:dyDescent="0.3">
      <c r="B368" s="213">
        <f t="shared" si="121"/>
        <v>361</v>
      </c>
      <c r="C368" s="13"/>
      <c r="D368" s="13"/>
      <c r="E368" s="13"/>
      <c r="F368" s="13"/>
      <c r="G368" s="13" t="s">
        <v>280</v>
      </c>
      <c r="H368" s="19">
        <f>H369</f>
        <v>7765307</v>
      </c>
      <c r="I368" s="19">
        <f t="shared" ref="I368" si="126">I369</f>
        <v>4095443</v>
      </c>
      <c r="J368" s="206">
        <f t="shared" si="117"/>
        <v>52.740258691639617</v>
      </c>
    </row>
    <row r="369" spans="2:10" x14ac:dyDescent="0.2">
      <c r="B369" s="213">
        <f t="shared" si="121"/>
        <v>362</v>
      </c>
      <c r="C369" s="8">
        <v>310</v>
      </c>
      <c r="D369" s="8"/>
      <c r="E369" s="8"/>
      <c r="F369" s="8"/>
      <c r="G369" s="8" t="s">
        <v>228</v>
      </c>
      <c r="H369" s="20">
        <f>H372+H370+H371</f>
        <v>7765307</v>
      </c>
      <c r="I369" s="20">
        <f>I372+I370+I371</f>
        <v>4095443</v>
      </c>
      <c r="J369" s="215">
        <f t="shared" si="117"/>
        <v>52.740258691639617</v>
      </c>
    </row>
    <row r="370" spans="2:10" x14ac:dyDescent="0.2">
      <c r="B370" s="213">
        <f t="shared" si="121"/>
        <v>363</v>
      </c>
      <c r="C370" s="1"/>
      <c r="D370" s="1">
        <v>311</v>
      </c>
      <c r="E370" s="1"/>
      <c r="F370" s="1"/>
      <c r="G370" s="1" t="s">
        <v>595</v>
      </c>
      <c r="H370" s="21">
        <f>2000+700</f>
        <v>2700</v>
      </c>
      <c r="I370" s="21">
        <v>2700</v>
      </c>
      <c r="J370" s="215">
        <f t="shared" si="117"/>
        <v>100</v>
      </c>
    </row>
    <row r="371" spans="2:10" x14ac:dyDescent="0.2">
      <c r="B371" s="213">
        <f t="shared" si="121"/>
        <v>364</v>
      </c>
      <c r="C371" s="1"/>
      <c r="D371" s="1"/>
      <c r="E371" s="1"/>
      <c r="F371" s="1"/>
      <c r="G371" s="1" t="s">
        <v>698</v>
      </c>
      <c r="H371" s="21">
        <v>0</v>
      </c>
      <c r="I371" s="21">
        <v>250</v>
      </c>
      <c r="J371" s="215">
        <v>0</v>
      </c>
    </row>
    <row r="372" spans="2:10" x14ac:dyDescent="0.2">
      <c r="B372" s="213">
        <f t="shared" si="121"/>
        <v>365</v>
      </c>
      <c r="C372" s="1"/>
      <c r="D372" s="1">
        <v>312</v>
      </c>
      <c r="E372" s="1"/>
      <c r="F372" s="1"/>
      <c r="G372" s="1" t="s">
        <v>190</v>
      </c>
      <c r="H372" s="21">
        <f>H373+H379</f>
        <v>7762607</v>
      </c>
      <c r="I372" s="21">
        <f t="shared" ref="I372" si="127">I373+I379</f>
        <v>4092493</v>
      </c>
      <c r="J372" s="215">
        <f t="shared" si="117"/>
        <v>52.720600179810731</v>
      </c>
    </row>
    <row r="373" spans="2:10" x14ac:dyDescent="0.2">
      <c r="B373" s="213">
        <f t="shared" si="121"/>
        <v>366</v>
      </c>
      <c r="C373" s="2"/>
      <c r="D373" s="2"/>
      <c r="E373" s="2">
        <v>312001</v>
      </c>
      <c r="F373" s="2"/>
      <c r="G373" s="2" t="s">
        <v>8</v>
      </c>
      <c r="H373" s="22">
        <f>SUM(H374:H378)</f>
        <v>911400</v>
      </c>
      <c r="I373" s="22">
        <f t="shared" ref="I373" si="128">SUM(I374:I378)</f>
        <v>474777</v>
      </c>
      <c r="J373" s="215">
        <f t="shared" si="117"/>
        <v>52.093153390388416</v>
      </c>
    </row>
    <row r="374" spans="2:10" x14ac:dyDescent="0.2">
      <c r="B374" s="213">
        <f t="shared" si="121"/>
        <v>367</v>
      </c>
      <c r="C374" s="3"/>
      <c r="D374" s="3"/>
      <c r="E374" s="3"/>
      <c r="F374" s="3"/>
      <c r="G374" s="3" t="s">
        <v>403</v>
      </c>
      <c r="H374" s="23">
        <f>833090+13438</f>
        <v>846528</v>
      </c>
      <c r="I374" s="23">
        <v>423264</v>
      </c>
      <c r="J374" s="216">
        <f t="shared" si="117"/>
        <v>50</v>
      </c>
    </row>
    <row r="375" spans="2:10" x14ac:dyDescent="0.2">
      <c r="B375" s="213">
        <f t="shared" si="121"/>
        <v>368</v>
      </c>
      <c r="C375" s="3"/>
      <c r="D375" s="3"/>
      <c r="E375" s="3"/>
      <c r="F375" s="3"/>
      <c r="G375" s="3" t="s">
        <v>180</v>
      </c>
      <c r="H375" s="23">
        <v>12000</v>
      </c>
      <c r="I375" s="23">
        <v>5040</v>
      </c>
      <c r="J375" s="216">
        <f t="shared" si="117"/>
        <v>42</v>
      </c>
    </row>
    <row r="376" spans="2:10" x14ac:dyDescent="0.2">
      <c r="B376" s="213">
        <f t="shared" si="121"/>
        <v>369</v>
      </c>
      <c r="C376" s="3"/>
      <c r="D376" s="3"/>
      <c r="E376" s="3"/>
      <c r="F376" s="3"/>
      <c r="G376" s="3" t="s">
        <v>545</v>
      </c>
      <c r="H376" s="23">
        <f>3300+3099</f>
        <v>6399</v>
      </c>
      <c r="I376" s="23">
        <v>0</v>
      </c>
      <c r="J376" s="216">
        <f t="shared" si="117"/>
        <v>0</v>
      </c>
    </row>
    <row r="377" spans="2:10" x14ac:dyDescent="0.2">
      <c r="B377" s="213">
        <f t="shared" si="121"/>
        <v>370</v>
      </c>
      <c r="C377" s="3"/>
      <c r="D377" s="3"/>
      <c r="E377" s="3"/>
      <c r="F377" s="3"/>
      <c r="G377" s="3" t="s">
        <v>546</v>
      </c>
      <c r="H377" s="23">
        <v>44273</v>
      </c>
      <c r="I377" s="23">
        <v>44273</v>
      </c>
      <c r="J377" s="216">
        <f t="shared" si="117"/>
        <v>100</v>
      </c>
    </row>
    <row r="378" spans="2:10" x14ac:dyDescent="0.2">
      <c r="B378" s="213">
        <f t="shared" si="121"/>
        <v>371</v>
      </c>
      <c r="C378" s="3"/>
      <c r="D378" s="3"/>
      <c r="E378" s="3"/>
      <c r="F378" s="3"/>
      <c r="G378" s="3" t="s">
        <v>641</v>
      </c>
      <c r="H378" s="23">
        <v>2200</v>
      </c>
      <c r="I378" s="23">
        <v>2200</v>
      </c>
      <c r="J378" s="216">
        <f t="shared" si="117"/>
        <v>100</v>
      </c>
    </row>
    <row r="379" spans="2:10" x14ac:dyDescent="0.2">
      <c r="B379" s="213">
        <f t="shared" si="121"/>
        <v>372</v>
      </c>
      <c r="C379" s="2"/>
      <c r="D379" s="2"/>
      <c r="E379" s="2">
        <v>312012</v>
      </c>
      <c r="F379" s="2"/>
      <c r="G379" s="2" t="s">
        <v>9</v>
      </c>
      <c r="H379" s="22">
        <f>SUM(H380:H390)</f>
        <v>6851207</v>
      </c>
      <c r="I379" s="22">
        <f>SUM(I380:I391)</f>
        <v>3617716</v>
      </c>
      <c r="J379" s="215">
        <f t="shared" si="117"/>
        <v>52.804067954741406</v>
      </c>
    </row>
    <row r="380" spans="2:10" x14ac:dyDescent="0.2">
      <c r="B380" s="213">
        <f t="shared" si="121"/>
        <v>373</v>
      </c>
      <c r="C380" s="3"/>
      <c r="D380" s="3"/>
      <c r="E380" s="3"/>
      <c r="F380" s="3"/>
      <c r="G380" s="3" t="s">
        <v>404</v>
      </c>
      <c r="H380" s="23">
        <f>6479800+48130</f>
        <v>6527930</v>
      </c>
      <c r="I380" s="23">
        <f>3124594+847+5746+55261+32092+10512+2978+18491</f>
        <v>3250521</v>
      </c>
      <c r="J380" s="216">
        <f t="shared" si="117"/>
        <v>49.794054164183741</v>
      </c>
    </row>
    <row r="381" spans="2:10" x14ac:dyDescent="0.2">
      <c r="B381" s="213">
        <f t="shared" si="121"/>
        <v>374</v>
      </c>
      <c r="C381" s="3"/>
      <c r="D381" s="3"/>
      <c r="E381" s="3"/>
      <c r="F381" s="3"/>
      <c r="G381" s="3" t="s">
        <v>405</v>
      </c>
      <c r="H381" s="23">
        <v>81340</v>
      </c>
      <c r="I381" s="23">
        <v>54362</v>
      </c>
      <c r="J381" s="216">
        <f t="shared" si="117"/>
        <v>66.833046471600682</v>
      </c>
    </row>
    <row r="382" spans="2:10" x14ac:dyDescent="0.2">
      <c r="B382" s="213">
        <f t="shared" si="121"/>
        <v>375</v>
      </c>
      <c r="C382" s="3"/>
      <c r="D382" s="3"/>
      <c r="E382" s="3"/>
      <c r="F382" s="3"/>
      <c r="G382" s="3" t="s">
        <v>406</v>
      </c>
      <c r="H382" s="23">
        <f>87000+8772</f>
        <v>95772</v>
      </c>
      <c r="I382" s="23">
        <v>67040</v>
      </c>
      <c r="J382" s="216">
        <f t="shared" si="117"/>
        <v>69.999582341394145</v>
      </c>
    </row>
    <row r="383" spans="2:10" x14ac:dyDescent="0.2">
      <c r="B383" s="213">
        <f t="shared" si="121"/>
        <v>376</v>
      </c>
      <c r="C383" s="3"/>
      <c r="D383" s="3"/>
      <c r="E383" s="3"/>
      <c r="F383" s="3"/>
      <c r="G383" s="3" t="s">
        <v>407</v>
      </c>
      <c r="H383" s="23">
        <v>52000</v>
      </c>
      <c r="I383" s="23">
        <v>54360</v>
      </c>
      <c r="J383" s="216">
        <f t="shared" si="117"/>
        <v>104.53846153846153</v>
      </c>
    </row>
    <row r="384" spans="2:10" x14ac:dyDescent="0.2">
      <c r="B384" s="213">
        <f t="shared" si="121"/>
        <v>377</v>
      </c>
      <c r="C384" s="3"/>
      <c r="D384" s="3"/>
      <c r="E384" s="3"/>
      <c r="F384" s="3"/>
      <c r="G384" s="3" t="s">
        <v>408</v>
      </c>
      <c r="H384" s="70">
        <v>38805</v>
      </c>
      <c r="I384" s="70">
        <v>20503</v>
      </c>
      <c r="J384" s="216">
        <f t="shared" si="117"/>
        <v>52.835974745522485</v>
      </c>
    </row>
    <row r="385" spans="2:10" x14ac:dyDescent="0.2">
      <c r="B385" s="213">
        <f t="shared" si="121"/>
        <v>378</v>
      </c>
      <c r="C385" s="3"/>
      <c r="D385" s="3"/>
      <c r="E385" s="3"/>
      <c r="F385" s="3"/>
      <c r="G385" s="3" t="s">
        <v>409</v>
      </c>
      <c r="H385" s="23">
        <v>18500</v>
      </c>
      <c r="I385" s="23">
        <f>9216+137</f>
        <v>9353</v>
      </c>
      <c r="J385" s="216">
        <f t="shared" si="117"/>
        <v>50.556756756756762</v>
      </c>
    </row>
    <row r="386" spans="2:10" x14ac:dyDescent="0.2">
      <c r="B386" s="213">
        <f t="shared" si="121"/>
        <v>379</v>
      </c>
      <c r="C386" s="3"/>
      <c r="D386" s="3"/>
      <c r="E386" s="3"/>
      <c r="F386" s="3"/>
      <c r="G386" s="3" t="s">
        <v>410</v>
      </c>
      <c r="H386" s="23">
        <v>24500</v>
      </c>
      <c r="I386" s="23">
        <v>24367</v>
      </c>
      <c r="J386" s="216">
        <f t="shared" si="117"/>
        <v>99.457142857142856</v>
      </c>
    </row>
    <row r="387" spans="2:10" x14ac:dyDescent="0.2">
      <c r="B387" s="213">
        <f t="shared" si="121"/>
        <v>380</v>
      </c>
      <c r="C387" s="3"/>
      <c r="D387" s="3"/>
      <c r="E387" s="3"/>
      <c r="F387" s="3"/>
      <c r="G387" s="3" t="s">
        <v>516</v>
      </c>
      <c r="H387" s="23">
        <v>7135</v>
      </c>
      <c r="I387" s="23">
        <v>7135</v>
      </c>
      <c r="J387" s="216">
        <f t="shared" si="117"/>
        <v>100</v>
      </c>
    </row>
    <row r="388" spans="2:10" x14ac:dyDescent="0.2">
      <c r="B388" s="213">
        <f t="shared" si="121"/>
        <v>381</v>
      </c>
      <c r="C388" s="3"/>
      <c r="D388" s="3"/>
      <c r="E388" s="3"/>
      <c r="F388" s="3"/>
      <c r="G388" s="3" t="s">
        <v>631</v>
      </c>
      <c r="H388" s="23">
        <v>5225</v>
      </c>
      <c r="I388" s="23">
        <v>5225</v>
      </c>
      <c r="J388" s="216">
        <f t="shared" si="117"/>
        <v>100</v>
      </c>
    </row>
    <row r="389" spans="2:10" x14ac:dyDescent="0.2">
      <c r="B389" s="213">
        <f t="shared" si="121"/>
        <v>382</v>
      </c>
      <c r="C389" s="3"/>
      <c r="D389" s="3"/>
      <c r="E389" s="3"/>
      <c r="F389" s="3"/>
      <c r="G389" s="3" t="s">
        <v>696</v>
      </c>
      <c r="H389" s="23">
        <v>0</v>
      </c>
      <c r="I389" s="23">
        <v>62850</v>
      </c>
      <c r="J389" s="216">
        <v>0</v>
      </c>
    </row>
    <row r="390" spans="2:10" x14ac:dyDescent="0.2">
      <c r="B390" s="213">
        <f t="shared" si="121"/>
        <v>383</v>
      </c>
      <c r="C390" s="3"/>
      <c r="D390" s="3"/>
      <c r="E390" s="3"/>
      <c r="F390" s="3"/>
      <c r="G390" s="3" t="s">
        <v>697</v>
      </c>
      <c r="H390" s="23">
        <v>0</v>
      </c>
      <c r="I390" s="23">
        <v>58800</v>
      </c>
      <c r="J390" s="216">
        <v>0</v>
      </c>
    </row>
    <row r="391" spans="2:10" ht="13.5" thickBot="1" x14ac:dyDescent="0.25">
      <c r="B391" s="213">
        <f t="shared" si="121"/>
        <v>384</v>
      </c>
      <c r="C391" s="3"/>
      <c r="D391" s="3"/>
      <c r="E391" s="3"/>
      <c r="F391" s="3"/>
      <c r="G391" s="3" t="s">
        <v>707</v>
      </c>
      <c r="H391" s="23">
        <v>0</v>
      </c>
      <c r="I391" s="23">
        <v>3200</v>
      </c>
      <c r="J391" s="216">
        <v>0</v>
      </c>
    </row>
    <row r="392" spans="2:10" ht="15.75" thickBot="1" x14ac:dyDescent="0.3">
      <c r="B392" s="213">
        <f t="shared" si="121"/>
        <v>385</v>
      </c>
      <c r="C392" s="13">
        <v>1</v>
      </c>
      <c r="D392" s="13"/>
      <c r="E392" s="13"/>
      <c r="F392" s="13"/>
      <c r="G392" s="13" t="s">
        <v>313</v>
      </c>
      <c r="H392" s="19">
        <f>H393</f>
        <v>2500</v>
      </c>
      <c r="I392" s="19">
        <f t="shared" ref="I392:I394" si="129">I393</f>
        <v>5400</v>
      </c>
      <c r="J392" s="206">
        <f t="shared" si="117"/>
        <v>216</v>
      </c>
    </row>
    <row r="393" spans="2:10" x14ac:dyDescent="0.2">
      <c r="B393" s="213">
        <f t="shared" si="121"/>
        <v>386</v>
      </c>
      <c r="C393" s="8">
        <v>310</v>
      </c>
      <c r="D393" s="8"/>
      <c r="E393" s="8"/>
      <c r="F393" s="8"/>
      <c r="G393" s="8" t="s">
        <v>228</v>
      </c>
      <c r="H393" s="20">
        <f>H394</f>
        <v>2500</v>
      </c>
      <c r="I393" s="20">
        <f t="shared" si="129"/>
        <v>5400</v>
      </c>
      <c r="J393" s="215">
        <f t="shared" si="117"/>
        <v>216</v>
      </c>
    </row>
    <row r="394" spans="2:10" x14ac:dyDescent="0.2">
      <c r="B394" s="213">
        <f t="shared" si="121"/>
        <v>387</v>
      </c>
      <c r="C394" s="1"/>
      <c r="D394" s="1">
        <v>312</v>
      </c>
      <c r="E394" s="1"/>
      <c r="F394" s="1"/>
      <c r="G394" s="1" t="s">
        <v>190</v>
      </c>
      <c r="H394" s="21">
        <f>H395</f>
        <v>2500</v>
      </c>
      <c r="I394" s="21">
        <f t="shared" si="129"/>
        <v>5400</v>
      </c>
      <c r="J394" s="215">
        <f t="shared" si="117"/>
        <v>216</v>
      </c>
    </row>
    <row r="395" spans="2:10" ht="13.5" thickBot="1" x14ac:dyDescent="0.25">
      <c r="B395" s="213">
        <f t="shared" si="121"/>
        <v>388</v>
      </c>
      <c r="C395" s="2"/>
      <c r="D395" s="2"/>
      <c r="E395" s="2"/>
      <c r="F395" s="2"/>
      <c r="G395" s="2" t="s">
        <v>653</v>
      </c>
      <c r="H395" s="22">
        <v>2500</v>
      </c>
      <c r="I395" s="22">
        <v>5400</v>
      </c>
      <c r="J395" s="215">
        <f t="shared" si="117"/>
        <v>216</v>
      </c>
    </row>
    <row r="396" spans="2:10" ht="15.75" thickBot="1" x14ac:dyDescent="0.3">
      <c r="B396" s="213">
        <f t="shared" si="121"/>
        <v>389</v>
      </c>
      <c r="C396" s="13">
        <v>5</v>
      </c>
      <c r="D396" s="13"/>
      <c r="E396" s="13"/>
      <c r="F396" s="13"/>
      <c r="G396" s="13" t="s">
        <v>264</v>
      </c>
      <c r="H396" s="19">
        <f t="shared" ref="H396:I399" si="130">H397</f>
        <v>284427</v>
      </c>
      <c r="I396" s="19">
        <f t="shared" si="130"/>
        <v>77565</v>
      </c>
      <c r="J396" s="206">
        <f t="shared" si="117"/>
        <v>27.270617768355326</v>
      </c>
    </row>
    <row r="397" spans="2:10" x14ac:dyDescent="0.2">
      <c r="B397" s="213">
        <f t="shared" si="121"/>
        <v>390</v>
      </c>
      <c r="C397" s="8">
        <v>310</v>
      </c>
      <c r="D397" s="8"/>
      <c r="E397" s="8"/>
      <c r="F397" s="8"/>
      <c r="G397" s="8" t="s">
        <v>228</v>
      </c>
      <c r="H397" s="20">
        <f t="shared" si="130"/>
        <v>284427</v>
      </c>
      <c r="I397" s="20">
        <f t="shared" si="130"/>
        <v>77565</v>
      </c>
      <c r="J397" s="215">
        <f t="shared" si="117"/>
        <v>27.270617768355326</v>
      </c>
    </row>
    <row r="398" spans="2:10" x14ac:dyDescent="0.2">
      <c r="B398" s="213">
        <f t="shared" si="121"/>
        <v>391</v>
      </c>
      <c r="C398" s="1"/>
      <c r="D398" s="1">
        <v>312</v>
      </c>
      <c r="E398" s="1"/>
      <c r="F398" s="1"/>
      <c r="G398" s="1" t="s">
        <v>190</v>
      </c>
      <c r="H398" s="21">
        <f t="shared" si="130"/>
        <v>284427</v>
      </c>
      <c r="I398" s="21">
        <f t="shared" si="130"/>
        <v>77565</v>
      </c>
      <c r="J398" s="215">
        <f t="shared" si="117"/>
        <v>27.270617768355326</v>
      </c>
    </row>
    <row r="399" spans="2:10" x14ac:dyDescent="0.2">
      <c r="B399" s="213">
        <f t="shared" si="121"/>
        <v>392</v>
      </c>
      <c r="C399" s="2"/>
      <c r="D399" s="2"/>
      <c r="E399" s="2">
        <v>312001</v>
      </c>
      <c r="F399" s="2"/>
      <c r="G399" s="2" t="s">
        <v>8</v>
      </c>
      <c r="H399" s="22">
        <f>H400</f>
        <v>284427</v>
      </c>
      <c r="I399" s="22">
        <f t="shared" si="130"/>
        <v>77565</v>
      </c>
      <c r="J399" s="215">
        <f t="shared" si="117"/>
        <v>27.270617768355326</v>
      </c>
    </row>
    <row r="400" spans="2:10" ht="13.5" thickBot="1" x14ac:dyDescent="0.25">
      <c r="B400" s="213">
        <f t="shared" si="121"/>
        <v>393</v>
      </c>
      <c r="C400" s="152"/>
      <c r="D400" s="152"/>
      <c r="E400" s="152"/>
      <c r="F400" s="152"/>
      <c r="G400" s="152" t="s">
        <v>654</v>
      </c>
      <c r="H400" s="153">
        <v>284427</v>
      </c>
      <c r="I400" s="153">
        <v>77565</v>
      </c>
      <c r="J400" s="223">
        <f t="shared" si="117"/>
        <v>27.270617768355326</v>
      </c>
    </row>
    <row r="401" spans="2:10" ht="15.75" thickBot="1" x14ac:dyDescent="0.3">
      <c r="B401" s="213">
        <f t="shared" si="121"/>
        <v>394</v>
      </c>
      <c r="C401" s="13">
        <v>7</v>
      </c>
      <c r="D401" s="13"/>
      <c r="E401" s="13"/>
      <c r="F401" s="13"/>
      <c r="G401" s="13" t="s">
        <v>316</v>
      </c>
      <c r="H401" s="19">
        <f>H402</f>
        <v>945</v>
      </c>
      <c r="I401" s="19">
        <f t="shared" ref="I401" si="131">I402</f>
        <v>0</v>
      </c>
      <c r="J401" s="206">
        <f t="shared" si="117"/>
        <v>0</v>
      </c>
    </row>
    <row r="402" spans="2:10" x14ac:dyDescent="0.2">
      <c r="B402" s="213">
        <f t="shared" si="121"/>
        <v>395</v>
      </c>
      <c r="C402" s="8">
        <v>310</v>
      </c>
      <c r="D402" s="8"/>
      <c r="E402" s="8"/>
      <c r="F402" s="8"/>
      <c r="G402" s="8" t="s">
        <v>228</v>
      </c>
      <c r="H402" s="20">
        <f>H403</f>
        <v>945</v>
      </c>
      <c r="I402" s="20">
        <f>I403</f>
        <v>0</v>
      </c>
      <c r="J402" s="215">
        <f t="shared" si="117"/>
        <v>0</v>
      </c>
    </row>
    <row r="403" spans="2:10" x14ac:dyDescent="0.2">
      <c r="B403" s="213">
        <f t="shared" si="121"/>
        <v>396</v>
      </c>
      <c r="C403" s="1"/>
      <c r="D403" s="1">
        <v>311</v>
      </c>
      <c r="E403" s="1"/>
      <c r="F403" s="1"/>
      <c r="G403" s="1" t="s">
        <v>226</v>
      </c>
      <c r="H403" s="21">
        <f>H404</f>
        <v>945</v>
      </c>
      <c r="I403" s="21">
        <f t="shared" ref="I403" si="132">I404</f>
        <v>0</v>
      </c>
      <c r="J403" s="215">
        <f t="shared" si="117"/>
        <v>0</v>
      </c>
    </row>
    <row r="404" spans="2:10" ht="13.5" thickBot="1" x14ac:dyDescent="0.25">
      <c r="B404" s="213">
        <f t="shared" si="121"/>
        <v>397</v>
      </c>
      <c r="C404" s="2"/>
      <c r="D404" s="2"/>
      <c r="E404" s="2"/>
      <c r="F404" s="2"/>
      <c r="G404" s="2" t="s">
        <v>655</v>
      </c>
      <c r="H404" s="22">
        <v>945</v>
      </c>
      <c r="I404" s="22"/>
      <c r="J404" s="215">
        <f t="shared" si="117"/>
        <v>0</v>
      </c>
    </row>
    <row r="405" spans="2:10" ht="15.75" thickBot="1" x14ac:dyDescent="0.3">
      <c r="B405" s="213">
        <f t="shared" si="121"/>
        <v>398</v>
      </c>
      <c r="C405" s="13">
        <v>9</v>
      </c>
      <c r="D405" s="13"/>
      <c r="E405" s="13"/>
      <c r="F405" s="13"/>
      <c r="G405" s="13" t="s">
        <v>272</v>
      </c>
      <c r="H405" s="19">
        <f>H406</f>
        <v>1500</v>
      </c>
      <c r="I405" s="19">
        <f t="shared" ref="I405" si="133">I406</f>
        <v>3847</v>
      </c>
      <c r="J405" s="206">
        <f t="shared" si="117"/>
        <v>256.46666666666664</v>
      </c>
    </row>
    <row r="406" spans="2:10" x14ac:dyDescent="0.2">
      <c r="B406" s="213">
        <f t="shared" si="121"/>
        <v>399</v>
      </c>
      <c r="C406" s="8">
        <v>310</v>
      </c>
      <c r="D406" s="8"/>
      <c r="E406" s="8"/>
      <c r="F406" s="8"/>
      <c r="G406" s="8" t="s">
        <v>228</v>
      </c>
      <c r="H406" s="20">
        <f>H407</f>
        <v>1500</v>
      </c>
      <c r="I406" s="20">
        <f>I407</f>
        <v>3847</v>
      </c>
      <c r="J406" s="215">
        <f t="shared" si="117"/>
        <v>256.46666666666664</v>
      </c>
    </row>
    <row r="407" spans="2:10" x14ac:dyDescent="0.2">
      <c r="B407" s="213">
        <f t="shared" si="121"/>
        <v>400</v>
      </c>
      <c r="C407" s="1"/>
      <c r="D407" s="1">
        <v>311</v>
      </c>
      <c r="E407" s="1"/>
      <c r="F407" s="1"/>
      <c r="G407" s="1" t="s">
        <v>226</v>
      </c>
      <c r="H407" s="21">
        <f>H408</f>
        <v>1500</v>
      </c>
      <c r="I407" s="21">
        <f t="shared" ref="I407" si="134">I408</f>
        <v>3847</v>
      </c>
      <c r="J407" s="215">
        <f t="shared" ref="J407:J413" si="135">I407/H407*100</f>
        <v>256.46666666666664</v>
      </c>
    </row>
    <row r="408" spans="2:10" ht="13.5" thickBot="1" x14ac:dyDescent="0.25">
      <c r="B408" s="213">
        <f t="shared" si="121"/>
        <v>401</v>
      </c>
      <c r="C408" s="2"/>
      <c r="D408" s="2"/>
      <c r="E408" s="2"/>
      <c r="F408" s="2"/>
      <c r="G408" s="2" t="s">
        <v>655</v>
      </c>
      <c r="H408" s="22">
        <v>1500</v>
      </c>
      <c r="I408" s="22">
        <v>3847</v>
      </c>
      <c r="J408" s="215">
        <f t="shared" si="135"/>
        <v>256.46666666666664</v>
      </c>
    </row>
    <row r="409" spans="2:10" ht="15.75" thickBot="1" x14ac:dyDescent="0.3">
      <c r="B409" s="213">
        <f t="shared" si="121"/>
        <v>402</v>
      </c>
      <c r="C409" s="13">
        <v>13</v>
      </c>
      <c r="D409" s="13"/>
      <c r="E409" s="13"/>
      <c r="F409" s="13"/>
      <c r="G409" s="13" t="s">
        <v>253</v>
      </c>
      <c r="H409" s="19">
        <f>H410</f>
        <v>838</v>
      </c>
      <c r="I409" s="19">
        <f t="shared" ref="I409" si="136">I410</f>
        <v>869</v>
      </c>
      <c r="J409" s="206">
        <f t="shared" si="135"/>
        <v>103.69928400954653</v>
      </c>
    </row>
    <row r="410" spans="2:10" x14ac:dyDescent="0.2">
      <c r="B410" s="213">
        <f t="shared" si="121"/>
        <v>403</v>
      </c>
      <c r="C410" s="8">
        <v>310</v>
      </c>
      <c r="D410" s="8"/>
      <c r="E410" s="8"/>
      <c r="F410" s="8"/>
      <c r="G410" s="8" t="s">
        <v>228</v>
      </c>
      <c r="H410" s="20">
        <f>H411</f>
        <v>838</v>
      </c>
      <c r="I410" s="20">
        <f>I411</f>
        <v>869</v>
      </c>
      <c r="J410" s="215">
        <f t="shared" si="135"/>
        <v>103.69928400954653</v>
      </c>
    </row>
    <row r="411" spans="2:10" x14ac:dyDescent="0.2">
      <c r="B411" s="213">
        <f t="shared" si="121"/>
        <v>404</v>
      </c>
      <c r="C411" s="1"/>
      <c r="D411" s="1">
        <v>311</v>
      </c>
      <c r="E411" s="1"/>
      <c r="F411" s="1"/>
      <c r="G411" s="1" t="s">
        <v>226</v>
      </c>
      <c r="H411" s="21">
        <f>H412</f>
        <v>838</v>
      </c>
      <c r="I411" s="21">
        <f t="shared" ref="I411" si="137">I412</f>
        <v>869</v>
      </c>
      <c r="J411" s="215">
        <f t="shared" si="135"/>
        <v>103.69928400954653</v>
      </c>
    </row>
    <row r="412" spans="2:10" x14ac:dyDescent="0.2">
      <c r="B412" s="213">
        <f t="shared" si="121"/>
        <v>405</v>
      </c>
      <c r="C412" s="2"/>
      <c r="D412" s="2"/>
      <c r="E412" s="2"/>
      <c r="F412" s="2"/>
      <c r="G412" s="2" t="s">
        <v>655</v>
      </c>
      <c r="H412" s="22">
        <v>838</v>
      </c>
      <c r="I412" s="22">
        <v>869</v>
      </c>
      <c r="J412" s="215">
        <f t="shared" si="135"/>
        <v>103.69928400954653</v>
      </c>
    </row>
    <row r="413" spans="2:10" ht="15.75" thickBot="1" x14ac:dyDescent="0.25">
      <c r="B413" s="213">
        <f t="shared" si="121"/>
        <v>406</v>
      </c>
      <c r="C413" s="218"/>
      <c r="D413" s="218"/>
      <c r="E413" s="218"/>
      <c r="F413" s="218"/>
      <c r="G413" s="218" t="s">
        <v>118</v>
      </c>
      <c r="H413" s="219">
        <f>H367+H24+H8</f>
        <v>34627690</v>
      </c>
      <c r="I413" s="219">
        <f>I367+I24+I8</f>
        <v>19564903</v>
      </c>
      <c r="J413" s="223">
        <f t="shared" si="135"/>
        <v>56.500745501649121</v>
      </c>
    </row>
    <row r="414" spans="2:10" ht="13.5" thickBot="1" x14ac:dyDescent="0.25">
      <c r="I414" s="17"/>
      <c r="J414" s="168"/>
    </row>
    <row r="415" spans="2:10" ht="15" customHeight="1" x14ac:dyDescent="0.2">
      <c r="B415" s="286" t="s">
        <v>169</v>
      </c>
      <c r="C415" s="287"/>
      <c r="D415" s="287"/>
      <c r="E415" s="287"/>
      <c r="F415" s="287"/>
      <c r="G415" s="288"/>
      <c r="H415" s="283" t="s">
        <v>589</v>
      </c>
      <c r="I415" s="275" t="s">
        <v>689</v>
      </c>
      <c r="J415" s="278" t="s">
        <v>688</v>
      </c>
    </row>
    <row r="416" spans="2:10" ht="18" customHeight="1" x14ac:dyDescent="0.2">
      <c r="B416" s="289"/>
      <c r="C416" s="290"/>
      <c r="D416" s="290"/>
      <c r="E416" s="290"/>
      <c r="F416" s="290"/>
      <c r="G416" s="291"/>
      <c r="H416" s="284"/>
      <c r="I416" s="276"/>
      <c r="J416" s="279"/>
    </row>
    <row r="417" spans="2:10" ht="12.75" customHeight="1" x14ac:dyDescent="0.2">
      <c r="B417" s="292" t="s">
        <v>111</v>
      </c>
      <c r="C417" s="294" t="s">
        <v>113</v>
      </c>
      <c r="D417" s="270" t="s">
        <v>114</v>
      </c>
      <c r="E417" s="270" t="s">
        <v>116</v>
      </c>
      <c r="F417" s="270" t="s">
        <v>117</v>
      </c>
      <c r="G417" s="272" t="s">
        <v>115</v>
      </c>
      <c r="H417" s="284"/>
      <c r="I417" s="276"/>
      <c r="J417" s="279"/>
    </row>
    <row r="418" spans="2:10" ht="13.5" customHeight="1" thickBot="1" x14ac:dyDescent="0.25">
      <c r="B418" s="293"/>
      <c r="C418" s="295"/>
      <c r="D418" s="271"/>
      <c r="E418" s="271"/>
      <c r="F418" s="271"/>
      <c r="G418" s="273"/>
      <c r="H418" s="285"/>
      <c r="I418" s="277"/>
      <c r="J418" s="280"/>
    </row>
    <row r="419" spans="2:10" ht="17.25" thickTop="1" thickBot="1" x14ac:dyDescent="0.3">
      <c r="B419" s="213">
        <v>1</v>
      </c>
      <c r="C419" s="12">
        <v>200</v>
      </c>
      <c r="D419" s="12"/>
      <c r="E419" s="12"/>
      <c r="F419" s="12"/>
      <c r="G419" s="12" t="s">
        <v>168</v>
      </c>
      <c r="H419" s="18">
        <f>H420</f>
        <v>650000</v>
      </c>
      <c r="I419" s="18">
        <f t="shared" ref="I419:I420" si="138">I420</f>
        <v>657788</v>
      </c>
      <c r="J419" s="214">
        <f t="shared" ref="J419:J433" si="139">I419/H419*100</f>
        <v>101.19815384615384</v>
      </c>
    </row>
    <row r="420" spans="2:10" ht="15.75" thickBot="1" x14ac:dyDescent="0.3">
      <c r="B420" s="213">
        <f>B419+1</f>
        <v>2</v>
      </c>
      <c r="C420" s="13"/>
      <c r="D420" s="13"/>
      <c r="E420" s="13"/>
      <c r="F420" s="13"/>
      <c r="G420" s="13" t="s">
        <v>280</v>
      </c>
      <c r="H420" s="19">
        <f>H421</f>
        <v>650000</v>
      </c>
      <c r="I420" s="19">
        <f t="shared" si="138"/>
        <v>657788</v>
      </c>
      <c r="J420" s="206">
        <f t="shared" si="139"/>
        <v>101.19815384615384</v>
      </c>
    </row>
    <row r="421" spans="2:10" x14ac:dyDescent="0.2">
      <c r="B421" s="213">
        <f>B420+1</f>
        <v>3</v>
      </c>
      <c r="C421" s="8">
        <v>230</v>
      </c>
      <c r="D421" s="8"/>
      <c r="E421" s="8"/>
      <c r="F421" s="8"/>
      <c r="G421" s="8" t="s">
        <v>169</v>
      </c>
      <c r="H421" s="20">
        <f>H424+H422</f>
        <v>650000</v>
      </c>
      <c r="I421" s="20">
        <f t="shared" ref="I421" si="140">I424+I422</f>
        <v>657788</v>
      </c>
      <c r="J421" s="215">
        <f t="shared" si="139"/>
        <v>101.19815384615384</v>
      </c>
    </row>
    <row r="422" spans="2:10" x14ac:dyDescent="0.2">
      <c r="B422" s="213">
        <f t="shared" ref="B422:B432" si="141">B421+1</f>
        <v>4</v>
      </c>
      <c r="C422" s="1"/>
      <c r="D422" s="1">
        <v>231</v>
      </c>
      <c r="E422" s="1"/>
      <c r="F422" s="1"/>
      <c r="G422" s="1" t="s">
        <v>41</v>
      </c>
      <c r="H422" s="21">
        <f>H423</f>
        <v>0</v>
      </c>
      <c r="I422" s="21">
        <f t="shared" ref="I422" si="142">I423</f>
        <v>10919</v>
      </c>
      <c r="J422" s="215">
        <v>0</v>
      </c>
    </row>
    <row r="423" spans="2:10" x14ac:dyDescent="0.2">
      <c r="B423" s="213">
        <f t="shared" si="141"/>
        <v>5</v>
      </c>
      <c r="C423" s="2"/>
      <c r="D423" s="2"/>
      <c r="E423" s="2">
        <v>231</v>
      </c>
      <c r="F423" s="2"/>
      <c r="G423" s="2" t="s">
        <v>41</v>
      </c>
      <c r="H423" s="22">
        <v>0</v>
      </c>
      <c r="I423" s="22">
        <v>10919</v>
      </c>
      <c r="J423" s="215">
        <v>0</v>
      </c>
    </row>
    <row r="424" spans="2:10" x14ac:dyDescent="0.2">
      <c r="B424" s="213">
        <f t="shared" si="141"/>
        <v>6</v>
      </c>
      <c r="C424" s="1"/>
      <c r="D424" s="1">
        <v>233</v>
      </c>
      <c r="E424" s="1"/>
      <c r="F424" s="1"/>
      <c r="G424" s="1" t="s">
        <v>170</v>
      </c>
      <c r="H424" s="21">
        <f>H425</f>
        <v>650000</v>
      </c>
      <c r="I424" s="21">
        <f t="shared" ref="I424" si="143">I425</f>
        <v>646869</v>
      </c>
      <c r="J424" s="215">
        <f t="shared" si="139"/>
        <v>99.518307692307701</v>
      </c>
    </row>
    <row r="425" spans="2:10" x14ac:dyDescent="0.2">
      <c r="B425" s="213">
        <f t="shared" si="141"/>
        <v>7</v>
      </c>
      <c r="C425" s="2"/>
      <c r="D425" s="2"/>
      <c r="E425" s="2">
        <v>233001</v>
      </c>
      <c r="F425" s="2"/>
      <c r="G425" s="2" t="s">
        <v>171</v>
      </c>
      <c r="H425" s="22">
        <f>300000+260000+90000</f>
        <v>650000</v>
      </c>
      <c r="I425" s="22">
        <v>646869</v>
      </c>
      <c r="J425" s="215">
        <f t="shared" si="139"/>
        <v>99.518307692307701</v>
      </c>
    </row>
    <row r="426" spans="2:10" ht="16.5" thickBot="1" x14ac:dyDescent="0.3">
      <c r="B426" s="213">
        <f t="shared" si="141"/>
        <v>8</v>
      </c>
      <c r="C426" s="12">
        <v>300</v>
      </c>
      <c r="D426" s="12"/>
      <c r="E426" s="12"/>
      <c r="F426" s="12"/>
      <c r="G426" s="12" t="s">
        <v>227</v>
      </c>
      <c r="H426" s="18">
        <f>H427</f>
        <v>134000</v>
      </c>
      <c r="I426" s="18">
        <f t="shared" ref="I426:I427" si="144">I427</f>
        <v>134000</v>
      </c>
      <c r="J426" s="214">
        <f t="shared" si="139"/>
        <v>100</v>
      </c>
    </row>
    <row r="427" spans="2:10" ht="15.75" thickBot="1" x14ac:dyDescent="0.3">
      <c r="B427" s="213">
        <f t="shared" si="141"/>
        <v>9</v>
      </c>
      <c r="C427" s="13"/>
      <c r="D427" s="13"/>
      <c r="E427" s="13"/>
      <c r="F427" s="13"/>
      <c r="G427" s="13" t="s">
        <v>280</v>
      </c>
      <c r="H427" s="19">
        <f>H428</f>
        <v>134000</v>
      </c>
      <c r="I427" s="19">
        <f t="shared" si="144"/>
        <v>134000</v>
      </c>
      <c r="J427" s="206">
        <f t="shared" si="139"/>
        <v>100</v>
      </c>
    </row>
    <row r="428" spans="2:10" x14ac:dyDescent="0.2">
      <c r="B428" s="213">
        <f t="shared" si="141"/>
        <v>10</v>
      </c>
      <c r="C428" s="8">
        <v>320</v>
      </c>
      <c r="D428" s="8"/>
      <c r="E428" s="8"/>
      <c r="F428" s="8"/>
      <c r="G428" s="8" t="s">
        <v>60</v>
      </c>
      <c r="H428" s="20">
        <f>H429</f>
        <v>134000</v>
      </c>
      <c r="I428" s="20">
        <f>I429</f>
        <v>134000</v>
      </c>
      <c r="J428" s="215">
        <f t="shared" si="139"/>
        <v>100</v>
      </c>
    </row>
    <row r="429" spans="2:10" x14ac:dyDescent="0.2">
      <c r="B429" s="213">
        <f t="shared" si="141"/>
        <v>11</v>
      </c>
      <c r="C429" s="1"/>
      <c r="D429" s="1">
        <v>322</v>
      </c>
      <c r="E429" s="1"/>
      <c r="F429" s="1"/>
      <c r="G429" s="1" t="s">
        <v>190</v>
      </c>
      <c r="H429" s="21">
        <f>H430</f>
        <v>134000</v>
      </c>
      <c r="I429" s="21">
        <f t="shared" ref="I429" si="145">I430</f>
        <v>134000</v>
      </c>
      <c r="J429" s="215">
        <f t="shared" si="139"/>
        <v>100</v>
      </c>
    </row>
    <row r="430" spans="2:10" x14ac:dyDescent="0.2">
      <c r="B430" s="213">
        <f t="shared" si="141"/>
        <v>12</v>
      </c>
      <c r="C430" s="2"/>
      <c r="D430" s="2"/>
      <c r="E430" s="2">
        <v>322001</v>
      </c>
      <c r="F430" s="2"/>
      <c r="G430" s="2" t="s">
        <v>61</v>
      </c>
      <c r="H430" s="22">
        <f>H431+H432</f>
        <v>134000</v>
      </c>
      <c r="I430" s="22">
        <f t="shared" ref="I430" si="146">I431+I432</f>
        <v>134000</v>
      </c>
      <c r="J430" s="215">
        <f t="shared" si="139"/>
        <v>100</v>
      </c>
    </row>
    <row r="431" spans="2:10" x14ac:dyDescent="0.2">
      <c r="B431" s="213">
        <f t="shared" si="141"/>
        <v>13</v>
      </c>
      <c r="C431" s="3"/>
      <c r="D431" s="3"/>
      <c r="E431" s="3"/>
      <c r="F431" s="3" t="s">
        <v>71</v>
      </c>
      <c r="G431" s="3" t="s">
        <v>644</v>
      </c>
      <c r="H431" s="23">
        <v>34000</v>
      </c>
      <c r="I431" s="23">
        <v>34000</v>
      </c>
      <c r="J431" s="216">
        <f t="shared" si="139"/>
        <v>100</v>
      </c>
    </row>
    <row r="432" spans="2:10" x14ac:dyDescent="0.2">
      <c r="B432" s="213">
        <f t="shared" si="141"/>
        <v>14</v>
      </c>
      <c r="C432" s="154"/>
      <c r="D432" s="154"/>
      <c r="E432" s="154"/>
      <c r="F432" s="154"/>
      <c r="G432" s="3" t="s">
        <v>667</v>
      </c>
      <c r="H432" s="23">
        <v>100000</v>
      </c>
      <c r="I432" s="23">
        <v>100000</v>
      </c>
      <c r="J432" s="216">
        <f t="shared" si="139"/>
        <v>100</v>
      </c>
    </row>
    <row r="433" spans="2:10" ht="15.75" thickBot="1" x14ac:dyDescent="0.25">
      <c r="B433" s="217">
        <f t="shared" ref="B433" si="147">B432+1</f>
        <v>15</v>
      </c>
      <c r="C433" s="218"/>
      <c r="D433" s="218"/>
      <c r="E433" s="218"/>
      <c r="F433" s="218"/>
      <c r="G433" s="218" t="s">
        <v>284</v>
      </c>
      <c r="H433" s="219">
        <f>H426+H419</f>
        <v>784000</v>
      </c>
      <c r="I433" s="219">
        <f>I426+I419</f>
        <v>791788</v>
      </c>
      <c r="J433" s="220">
        <f t="shared" si="139"/>
        <v>100.99336734693878</v>
      </c>
    </row>
    <row r="434" spans="2:10" ht="13.5" thickBot="1" x14ac:dyDescent="0.25">
      <c r="I434" s="17"/>
      <c r="J434" s="168"/>
    </row>
    <row r="435" spans="2:10" ht="15" customHeight="1" x14ac:dyDescent="0.2">
      <c r="B435" s="259" t="s">
        <v>285</v>
      </c>
      <c r="C435" s="260"/>
      <c r="D435" s="260"/>
      <c r="E435" s="260"/>
      <c r="F435" s="260"/>
      <c r="G435" s="260"/>
      <c r="H435" s="281" t="s">
        <v>589</v>
      </c>
      <c r="I435" s="296" t="s">
        <v>689</v>
      </c>
      <c r="J435" s="298" t="s">
        <v>688</v>
      </c>
    </row>
    <row r="436" spans="2:10" ht="21" customHeight="1" x14ac:dyDescent="0.2">
      <c r="B436" s="261"/>
      <c r="C436" s="262"/>
      <c r="D436" s="262"/>
      <c r="E436" s="262"/>
      <c r="F436" s="262"/>
      <c r="G436" s="262"/>
      <c r="H436" s="282"/>
      <c r="I436" s="297"/>
      <c r="J436" s="299"/>
    </row>
    <row r="437" spans="2:10" ht="16.5" customHeight="1" x14ac:dyDescent="0.2">
      <c r="B437" s="263" t="s">
        <v>111</v>
      </c>
      <c r="C437" s="264" t="s">
        <v>113</v>
      </c>
      <c r="D437" s="265" t="s">
        <v>114</v>
      </c>
      <c r="E437" s="265" t="s">
        <v>116</v>
      </c>
      <c r="F437" s="265" t="s">
        <v>117</v>
      </c>
      <c r="G437" s="269" t="s">
        <v>115</v>
      </c>
      <c r="H437" s="282"/>
      <c r="I437" s="297"/>
      <c r="J437" s="299"/>
    </row>
    <row r="438" spans="2:10" ht="22.5" customHeight="1" x14ac:dyDescent="0.2">
      <c r="B438" s="263"/>
      <c r="C438" s="264"/>
      <c r="D438" s="265"/>
      <c r="E438" s="265"/>
      <c r="F438" s="265"/>
      <c r="G438" s="269"/>
      <c r="H438" s="282"/>
      <c r="I438" s="297"/>
      <c r="J438" s="299"/>
    </row>
    <row r="439" spans="2:10" ht="15" x14ac:dyDescent="0.2">
      <c r="B439" s="207">
        <v>1</v>
      </c>
      <c r="C439" s="208"/>
      <c r="D439" s="208"/>
      <c r="E439" s="208"/>
      <c r="F439" s="208"/>
      <c r="G439" s="208" t="s">
        <v>118</v>
      </c>
      <c r="H439" s="209">
        <f>H413</f>
        <v>34627690</v>
      </c>
      <c r="I439" s="209">
        <f>I413</f>
        <v>19564903</v>
      </c>
      <c r="J439" s="256">
        <f t="shared" ref="J439:J441" si="148">I439/H439*100</f>
        <v>56.500745501649121</v>
      </c>
    </row>
    <row r="440" spans="2:10" ht="15" x14ac:dyDescent="0.2">
      <c r="B440" s="207">
        <v>2</v>
      </c>
      <c r="C440" s="208"/>
      <c r="D440" s="208"/>
      <c r="E440" s="208"/>
      <c r="F440" s="208"/>
      <c r="G440" s="208" t="s">
        <v>284</v>
      </c>
      <c r="H440" s="209">
        <f>H433</f>
        <v>784000</v>
      </c>
      <c r="I440" s="209">
        <f t="shared" ref="I440" si="149">I433</f>
        <v>791788</v>
      </c>
      <c r="J440" s="256">
        <f t="shared" si="148"/>
        <v>100.99336734693878</v>
      </c>
    </row>
    <row r="441" spans="2:10" ht="15.75" thickBot="1" x14ac:dyDescent="0.25">
      <c r="B441" s="210">
        <v>3</v>
      </c>
      <c r="C441" s="211"/>
      <c r="D441" s="211"/>
      <c r="E441" s="211"/>
      <c r="F441" s="211"/>
      <c r="G441" s="211" t="s">
        <v>285</v>
      </c>
      <c r="H441" s="212">
        <f>H413+H433</f>
        <v>35411690</v>
      </c>
      <c r="I441" s="212">
        <f>I413+I433</f>
        <v>20356691</v>
      </c>
      <c r="J441" s="257">
        <f t="shared" si="148"/>
        <v>57.485793533152474</v>
      </c>
    </row>
  </sheetData>
  <mergeCells count="34">
    <mergeCell ref="J435:J438"/>
    <mergeCell ref="A46:A47"/>
    <mergeCell ref="B415:G416"/>
    <mergeCell ref="B417:B418"/>
    <mergeCell ref="C417:C418"/>
    <mergeCell ref="D417:D418"/>
    <mergeCell ref="B3:J3"/>
    <mergeCell ref="I4:I7"/>
    <mergeCell ref="J4:J7"/>
    <mergeCell ref="I415:I418"/>
    <mergeCell ref="H435:H438"/>
    <mergeCell ref="H4:H7"/>
    <mergeCell ref="H415:H418"/>
    <mergeCell ref="B4:G5"/>
    <mergeCell ref="F6:F7"/>
    <mergeCell ref="G6:G7"/>
    <mergeCell ref="B6:B7"/>
    <mergeCell ref="C6:C7"/>
    <mergeCell ref="D6:D7"/>
    <mergeCell ref="E6:E7"/>
    <mergeCell ref="J415:J418"/>
    <mergeCell ref="I435:I438"/>
    <mergeCell ref="A7:A15"/>
    <mergeCell ref="B435:G436"/>
    <mergeCell ref="B437:B438"/>
    <mergeCell ref="C437:C438"/>
    <mergeCell ref="D437:D438"/>
    <mergeCell ref="E437:E438"/>
    <mergeCell ref="F79:F89"/>
    <mergeCell ref="F437:F438"/>
    <mergeCell ref="G437:G438"/>
    <mergeCell ref="E417:E418"/>
    <mergeCell ref="F417:F418"/>
    <mergeCell ref="G417:G418"/>
  </mergeCells>
  <phoneticPr fontId="1" type="noConversion"/>
  <pageMargins left="0.55118110236220474" right="0.55118110236220474" top="0.19685039370078741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T2250"/>
  <sheetViews>
    <sheetView zoomScale="90" zoomScaleNormal="90" workbookViewId="0"/>
  </sheetViews>
  <sheetFormatPr defaultRowHeight="12.75" x14ac:dyDescent="0.2"/>
  <cols>
    <col min="1" max="1" width="6.140625" style="16" customWidth="1"/>
    <col min="2" max="2" width="4.85546875" style="65" customWidth="1"/>
    <col min="3" max="3" width="5" customWidth="1"/>
    <col min="4" max="4" width="2.7109375" customWidth="1"/>
    <col min="5" max="5" width="6.28515625" customWidth="1"/>
    <col min="6" max="6" width="7.140625" style="15" customWidth="1"/>
    <col min="7" max="7" width="4.42578125" customWidth="1"/>
    <col min="8" max="8" width="44" customWidth="1"/>
    <col min="9" max="10" width="14.42578125" style="17" customWidth="1"/>
    <col min="11" max="11" width="7.140625" style="167" customWidth="1"/>
    <col min="12" max="12" width="1" style="167" customWidth="1"/>
    <col min="13" max="14" width="13.28515625" style="17" customWidth="1"/>
    <col min="15" max="15" width="5.28515625" style="167" customWidth="1"/>
    <col min="16" max="16" width="1" style="167" customWidth="1"/>
    <col min="17" max="17" width="14.28515625" style="17" customWidth="1"/>
    <col min="18" max="18" width="12.5703125" customWidth="1"/>
    <col min="19" max="19" width="5.42578125" customWidth="1"/>
  </cols>
  <sheetData>
    <row r="1" spans="2:19" ht="36" customHeight="1" thickBot="1" x14ac:dyDescent="0.4">
      <c r="B1" s="306" t="s">
        <v>278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2:19" ht="12.75" customHeight="1" x14ac:dyDescent="0.2">
      <c r="B2" s="333" t="s">
        <v>279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226"/>
      <c r="O2" s="226"/>
      <c r="P2" s="227"/>
      <c r="Q2" s="331" t="s">
        <v>590</v>
      </c>
      <c r="R2" s="331" t="s">
        <v>693</v>
      </c>
      <c r="S2" s="342" t="s">
        <v>691</v>
      </c>
    </row>
    <row r="3" spans="2:19" ht="12.75" customHeight="1" x14ac:dyDescent="0.2">
      <c r="B3" s="328" t="s">
        <v>111</v>
      </c>
      <c r="C3" s="315" t="s">
        <v>119</v>
      </c>
      <c r="D3" s="315" t="s">
        <v>120</v>
      </c>
      <c r="E3" s="336" t="s">
        <v>124</v>
      </c>
      <c r="F3" s="315" t="s">
        <v>121</v>
      </c>
      <c r="G3" s="315" t="s">
        <v>122</v>
      </c>
      <c r="H3" s="320" t="s">
        <v>123</v>
      </c>
      <c r="I3" s="332" t="s">
        <v>587</v>
      </c>
      <c r="J3" s="332" t="s">
        <v>690</v>
      </c>
      <c r="K3" s="335" t="s">
        <v>691</v>
      </c>
      <c r="L3" s="228"/>
      <c r="M3" s="332" t="s">
        <v>588</v>
      </c>
      <c r="N3" s="332" t="s">
        <v>692</v>
      </c>
      <c r="O3" s="335" t="s">
        <v>691</v>
      </c>
      <c r="P3" s="228"/>
      <c r="Q3" s="332"/>
      <c r="R3" s="332"/>
      <c r="S3" s="343"/>
    </row>
    <row r="4" spans="2:19" x14ac:dyDescent="0.2">
      <c r="B4" s="328"/>
      <c r="C4" s="315"/>
      <c r="D4" s="315"/>
      <c r="E4" s="336"/>
      <c r="F4" s="315"/>
      <c r="G4" s="315"/>
      <c r="H4" s="320"/>
      <c r="I4" s="332"/>
      <c r="J4" s="332"/>
      <c r="K4" s="335"/>
      <c r="L4" s="228"/>
      <c r="M4" s="332"/>
      <c r="N4" s="332"/>
      <c r="O4" s="335"/>
      <c r="P4" s="228"/>
      <c r="Q4" s="332"/>
      <c r="R4" s="332"/>
      <c r="S4" s="343"/>
    </row>
    <row r="5" spans="2:19" ht="13.5" customHeight="1" x14ac:dyDescent="0.2">
      <c r="B5" s="328"/>
      <c r="C5" s="315"/>
      <c r="D5" s="315"/>
      <c r="E5" s="336"/>
      <c r="F5" s="315"/>
      <c r="G5" s="315"/>
      <c r="H5" s="320"/>
      <c r="I5" s="332"/>
      <c r="J5" s="332"/>
      <c r="K5" s="335"/>
      <c r="L5" s="228"/>
      <c r="M5" s="332"/>
      <c r="N5" s="332"/>
      <c r="O5" s="335"/>
      <c r="P5" s="228"/>
      <c r="Q5" s="332"/>
      <c r="R5" s="332"/>
      <c r="S5" s="343"/>
    </row>
    <row r="6" spans="2:19" ht="23.25" customHeight="1" x14ac:dyDescent="0.2">
      <c r="B6" s="328"/>
      <c r="C6" s="315"/>
      <c r="D6" s="315"/>
      <c r="E6" s="336"/>
      <c r="F6" s="315"/>
      <c r="G6" s="315"/>
      <c r="H6" s="320"/>
      <c r="I6" s="332"/>
      <c r="J6" s="332"/>
      <c r="K6" s="335"/>
      <c r="L6" s="228"/>
      <c r="M6" s="332"/>
      <c r="N6" s="332"/>
      <c r="O6" s="335"/>
      <c r="P6" s="228"/>
      <c r="Q6" s="332"/>
      <c r="R6" s="332"/>
      <c r="S6" s="343"/>
    </row>
    <row r="7" spans="2:19" ht="15.75" x14ac:dyDescent="0.2">
      <c r="B7" s="229">
        <v>1</v>
      </c>
      <c r="C7" s="329" t="s">
        <v>278</v>
      </c>
      <c r="D7" s="330"/>
      <c r="E7" s="330"/>
      <c r="F7" s="330"/>
      <c r="G7" s="330"/>
      <c r="H7" s="330"/>
      <c r="I7" s="98">
        <f>I76+I74+I68+I47+I32+I8</f>
        <v>510373</v>
      </c>
      <c r="J7" s="98">
        <f>J76+J74+J68+J47+J32+J8</f>
        <v>166342</v>
      </c>
      <c r="K7" s="225">
        <f>J7/I7*100</f>
        <v>32.592241360730291</v>
      </c>
      <c r="L7" s="172"/>
      <c r="M7" s="98">
        <f>M76+M74+M68+M47+M32+M8</f>
        <v>299470</v>
      </c>
      <c r="N7" s="98">
        <f>N76+N74+N68+N47+N32+N8</f>
        <v>0</v>
      </c>
      <c r="O7" s="225">
        <f t="shared" ref="O7:O64" si="0">N7/M7*100</f>
        <v>0</v>
      </c>
      <c r="P7" s="172"/>
      <c r="Q7" s="37">
        <f t="shared" ref="Q7:Q39" si="1">M7+I7</f>
        <v>809843</v>
      </c>
      <c r="R7" s="37">
        <f t="shared" ref="R7:R70" si="2">N7+J7</f>
        <v>166342</v>
      </c>
      <c r="S7" s="230">
        <f>R7/Q7*100</f>
        <v>20.540030598523419</v>
      </c>
    </row>
    <row r="8" spans="2:19" ht="15" x14ac:dyDescent="0.2">
      <c r="B8" s="231">
        <f t="shared" ref="B8:B49" si="3">B7+1</f>
        <v>2</v>
      </c>
      <c r="C8" s="205">
        <v>1</v>
      </c>
      <c r="D8" s="302" t="s">
        <v>201</v>
      </c>
      <c r="E8" s="303"/>
      <c r="F8" s="303"/>
      <c r="G8" s="303"/>
      <c r="H8" s="303"/>
      <c r="I8" s="38">
        <f>I27+I22+I19+I16+I9</f>
        <v>177300</v>
      </c>
      <c r="J8" s="38">
        <f>J27+J22+J19+J16+J9</f>
        <v>74567</v>
      </c>
      <c r="K8" s="225">
        <f t="shared" ref="K8:K71" si="4">J8/I8*100</f>
        <v>42.056965595036658</v>
      </c>
      <c r="L8" s="173"/>
      <c r="M8" s="38">
        <f>M27+M22+M19+M16+M9</f>
        <v>0</v>
      </c>
      <c r="N8" s="38">
        <f>N27+N22+N19+N16+N9</f>
        <v>0</v>
      </c>
      <c r="O8" s="225"/>
      <c r="P8" s="173"/>
      <c r="Q8" s="38">
        <f t="shared" si="1"/>
        <v>177300</v>
      </c>
      <c r="R8" s="38">
        <f t="shared" si="2"/>
        <v>74567</v>
      </c>
      <c r="S8" s="230">
        <f>R8/Q8*100</f>
        <v>42.056965595036658</v>
      </c>
    </row>
    <row r="9" spans="2:19" ht="15" x14ac:dyDescent="0.25">
      <c r="B9" s="231">
        <f t="shared" si="3"/>
        <v>3</v>
      </c>
      <c r="C9" s="204"/>
      <c r="D9" s="204">
        <v>1</v>
      </c>
      <c r="E9" s="340" t="s">
        <v>216</v>
      </c>
      <c r="F9" s="303"/>
      <c r="G9" s="303"/>
      <c r="H9" s="303"/>
      <c r="I9" s="39">
        <f>I10</f>
        <v>15500</v>
      </c>
      <c r="J9" s="39">
        <f>J10</f>
        <v>5792</v>
      </c>
      <c r="K9" s="225">
        <f t="shared" si="4"/>
        <v>37.36774193548387</v>
      </c>
      <c r="L9" s="174"/>
      <c r="M9" s="39">
        <f>M10</f>
        <v>0</v>
      </c>
      <c r="N9" s="39">
        <f>N10</f>
        <v>0</v>
      </c>
      <c r="O9" s="225"/>
      <c r="P9" s="174"/>
      <c r="Q9" s="39">
        <f t="shared" si="1"/>
        <v>15500</v>
      </c>
      <c r="R9" s="39">
        <f t="shared" si="2"/>
        <v>5792</v>
      </c>
      <c r="S9" s="230">
        <f t="shared" ref="S9:S72" si="5">R9/Q9*100</f>
        <v>37.36774193548387</v>
      </c>
    </row>
    <row r="10" spans="2:19" x14ac:dyDescent="0.2">
      <c r="B10" s="231">
        <f t="shared" si="3"/>
        <v>4</v>
      </c>
      <c r="C10" s="11"/>
      <c r="D10" s="11"/>
      <c r="E10" s="11"/>
      <c r="F10" s="45" t="s">
        <v>73</v>
      </c>
      <c r="G10" s="11">
        <v>630</v>
      </c>
      <c r="H10" s="11" t="s">
        <v>127</v>
      </c>
      <c r="I10" s="42">
        <f>I15+I14+I13+I12+I11</f>
        <v>15500</v>
      </c>
      <c r="J10" s="42">
        <f>J15+J14+J13+J12+J11</f>
        <v>5792</v>
      </c>
      <c r="K10" s="225">
        <f t="shared" si="4"/>
        <v>37.36774193548387</v>
      </c>
      <c r="L10" s="114"/>
      <c r="M10" s="42">
        <f>M15+M14+M13+M12+M11</f>
        <v>0</v>
      </c>
      <c r="N10" s="42">
        <f>N15+N14+N13+N12+N11</f>
        <v>0</v>
      </c>
      <c r="O10" s="225"/>
      <c r="P10" s="114"/>
      <c r="Q10" s="42">
        <f t="shared" si="1"/>
        <v>15500</v>
      </c>
      <c r="R10" s="42">
        <f t="shared" si="2"/>
        <v>5792</v>
      </c>
      <c r="S10" s="215">
        <f>R10/Q10*100</f>
        <v>37.36774193548387</v>
      </c>
    </row>
    <row r="11" spans="2:19" x14ac:dyDescent="0.2">
      <c r="B11" s="231">
        <f t="shared" si="3"/>
        <v>5</v>
      </c>
      <c r="C11" s="2"/>
      <c r="D11" s="2"/>
      <c r="E11" s="2"/>
      <c r="F11" s="46" t="s">
        <v>73</v>
      </c>
      <c r="G11" s="2">
        <v>631</v>
      </c>
      <c r="H11" s="2" t="s">
        <v>133</v>
      </c>
      <c r="I11" s="22">
        <v>2000</v>
      </c>
      <c r="J11" s="22">
        <v>150</v>
      </c>
      <c r="K11" s="225">
        <f t="shared" si="4"/>
        <v>7.5</v>
      </c>
      <c r="L11" s="68"/>
      <c r="M11" s="22"/>
      <c r="N11" s="22"/>
      <c r="O11" s="225"/>
      <c r="P11" s="68"/>
      <c r="Q11" s="22">
        <f t="shared" si="1"/>
        <v>2000</v>
      </c>
      <c r="R11" s="22">
        <f t="shared" si="2"/>
        <v>150</v>
      </c>
      <c r="S11" s="215">
        <f t="shared" si="5"/>
        <v>7.5</v>
      </c>
    </row>
    <row r="12" spans="2:19" x14ac:dyDescent="0.2">
      <c r="B12" s="231">
        <f t="shared" si="3"/>
        <v>6</v>
      </c>
      <c r="C12" s="2"/>
      <c r="D12" s="2"/>
      <c r="E12" s="2"/>
      <c r="F12" s="46" t="s">
        <v>73</v>
      </c>
      <c r="G12" s="2">
        <v>633</v>
      </c>
      <c r="H12" s="2" t="s">
        <v>131</v>
      </c>
      <c r="I12" s="22">
        <v>8000</v>
      </c>
      <c r="J12" s="22">
        <v>4286</v>
      </c>
      <c r="K12" s="225">
        <f t="shared" si="4"/>
        <v>53.574999999999996</v>
      </c>
      <c r="L12" s="68"/>
      <c r="M12" s="22"/>
      <c r="N12" s="22"/>
      <c r="O12" s="225"/>
      <c r="P12" s="68"/>
      <c r="Q12" s="22">
        <f t="shared" si="1"/>
        <v>8000</v>
      </c>
      <c r="R12" s="22">
        <f t="shared" si="2"/>
        <v>4286</v>
      </c>
      <c r="S12" s="215">
        <f t="shared" si="5"/>
        <v>53.574999999999996</v>
      </c>
    </row>
    <row r="13" spans="2:19" x14ac:dyDescent="0.2">
      <c r="B13" s="231">
        <f t="shared" si="3"/>
        <v>7</v>
      </c>
      <c r="C13" s="2"/>
      <c r="D13" s="2"/>
      <c r="E13" s="2"/>
      <c r="F13" s="46" t="s">
        <v>73</v>
      </c>
      <c r="G13" s="2">
        <v>634</v>
      </c>
      <c r="H13" s="2" t="s">
        <v>136</v>
      </c>
      <c r="I13" s="22">
        <v>500</v>
      </c>
      <c r="J13" s="22">
        <v>150</v>
      </c>
      <c r="K13" s="225">
        <f t="shared" si="4"/>
        <v>30</v>
      </c>
      <c r="L13" s="68"/>
      <c r="M13" s="22"/>
      <c r="N13" s="22"/>
      <c r="O13" s="225"/>
      <c r="P13" s="68"/>
      <c r="Q13" s="22">
        <f t="shared" si="1"/>
        <v>500</v>
      </c>
      <c r="R13" s="22">
        <f t="shared" si="2"/>
        <v>150</v>
      </c>
      <c r="S13" s="215">
        <f t="shared" si="5"/>
        <v>30</v>
      </c>
    </row>
    <row r="14" spans="2:19" x14ac:dyDescent="0.2">
      <c r="B14" s="231">
        <f t="shared" si="3"/>
        <v>8</v>
      </c>
      <c r="C14" s="2"/>
      <c r="D14" s="2"/>
      <c r="E14" s="2"/>
      <c r="F14" s="46" t="s">
        <v>73</v>
      </c>
      <c r="G14" s="2">
        <v>636</v>
      </c>
      <c r="H14" s="2" t="s">
        <v>132</v>
      </c>
      <c r="I14" s="22">
        <v>500</v>
      </c>
      <c r="J14" s="22">
        <v>81</v>
      </c>
      <c r="K14" s="225">
        <f t="shared" si="4"/>
        <v>16.2</v>
      </c>
      <c r="L14" s="68"/>
      <c r="M14" s="22"/>
      <c r="N14" s="22"/>
      <c r="O14" s="225"/>
      <c r="P14" s="68"/>
      <c r="Q14" s="22">
        <f t="shared" si="1"/>
        <v>500</v>
      </c>
      <c r="R14" s="22">
        <f t="shared" si="2"/>
        <v>81</v>
      </c>
      <c r="S14" s="215">
        <f t="shared" si="5"/>
        <v>16.2</v>
      </c>
    </row>
    <row r="15" spans="2:19" x14ac:dyDescent="0.2">
      <c r="B15" s="231">
        <f t="shared" si="3"/>
        <v>9</v>
      </c>
      <c r="C15" s="2"/>
      <c r="D15" s="2"/>
      <c r="E15" s="2"/>
      <c r="F15" s="46" t="s">
        <v>73</v>
      </c>
      <c r="G15" s="2">
        <v>637</v>
      </c>
      <c r="H15" s="2" t="s">
        <v>128</v>
      </c>
      <c r="I15" s="22">
        <v>4500</v>
      </c>
      <c r="J15" s="22">
        <v>1125</v>
      </c>
      <c r="K15" s="225">
        <f t="shared" si="4"/>
        <v>25</v>
      </c>
      <c r="L15" s="68"/>
      <c r="M15" s="22"/>
      <c r="N15" s="22"/>
      <c r="O15" s="225"/>
      <c r="P15" s="68"/>
      <c r="Q15" s="22">
        <f t="shared" si="1"/>
        <v>4500</v>
      </c>
      <c r="R15" s="22">
        <f t="shared" si="2"/>
        <v>1125</v>
      </c>
      <c r="S15" s="215">
        <f t="shared" si="5"/>
        <v>25</v>
      </c>
    </row>
    <row r="16" spans="2:19" ht="14.25" customHeight="1" x14ac:dyDescent="0.25">
      <c r="B16" s="231">
        <f t="shared" si="3"/>
        <v>10</v>
      </c>
      <c r="C16" s="204"/>
      <c r="D16" s="204">
        <v>2</v>
      </c>
      <c r="E16" s="340" t="s">
        <v>16</v>
      </c>
      <c r="F16" s="303"/>
      <c r="G16" s="303"/>
      <c r="H16" s="303"/>
      <c r="I16" s="39">
        <f>I17</f>
        <v>500</v>
      </c>
      <c r="J16" s="39">
        <f>J17</f>
        <v>0</v>
      </c>
      <c r="K16" s="225">
        <f t="shared" si="4"/>
        <v>0</v>
      </c>
      <c r="L16" s="174"/>
      <c r="M16" s="39">
        <f>M17</f>
        <v>0</v>
      </c>
      <c r="N16" s="39">
        <f>N17</f>
        <v>0</v>
      </c>
      <c r="O16" s="225"/>
      <c r="P16" s="174"/>
      <c r="Q16" s="39">
        <f t="shared" si="1"/>
        <v>500</v>
      </c>
      <c r="R16" s="39">
        <f t="shared" si="2"/>
        <v>0</v>
      </c>
      <c r="S16" s="230">
        <f t="shared" si="5"/>
        <v>0</v>
      </c>
    </row>
    <row r="17" spans="1:19" x14ac:dyDescent="0.2">
      <c r="B17" s="231">
        <f t="shared" si="3"/>
        <v>11</v>
      </c>
      <c r="C17" s="11"/>
      <c r="D17" s="11"/>
      <c r="E17" s="11"/>
      <c r="F17" s="45" t="s">
        <v>73</v>
      </c>
      <c r="G17" s="11">
        <v>630</v>
      </c>
      <c r="H17" s="11" t="s">
        <v>127</v>
      </c>
      <c r="I17" s="42">
        <f>I18</f>
        <v>500</v>
      </c>
      <c r="J17" s="42">
        <f>J18</f>
        <v>0</v>
      </c>
      <c r="K17" s="225">
        <f t="shared" si="4"/>
        <v>0</v>
      </c>
      <c r="L17" s="114"/>
      <c r="M17" s="42">
        <f>M18</f>
        <v>0</v>
      </c>
      <c r="N17" s="42">
        <f>N18</f>
        <v>0</v>
      </c>
      <c r="O17" s="225"/>
      <c r="P17" s="114"/>
      <c r="Q17" s="42">
        <f t="shared" si="1"/>
        <v>500</v>
      </c>
      <c r="R17" s="42">
        <f t="shared" si="2"/>
        <v>0</v>
      </c>
      <c r="S17" s="215">
        <f t="shared" si="5"/>
        <v>0</v>
      </c>
    </row>
    <row r="18" spans="1:19" x14ac:dyDescent="0.2">
      <c r="B18" s="231">
        <f t="shared" si="3"/>
        <v>12</v>
      </c>
      <c r="C18" s="2"/>
      <c r="D18" s="2"/>
      <c r="E18" s="2"/>
      <c r="F18" s="46" t="s">
        <v>73</v>
      </c>
      <c r="G18" s="2">
        <v>633</v>
      </c>
      <c r="H18" s="2" t="s">
        <v>131</v>
      </c>
      <c r="I18" s="22">
        <v>500</v>
      </c>
      <c r="J18" s="22">
        <v>0</v>
      </c>
      <c r="K18" s="225">
        <f t="shared" si="4"/>
        <v>0</v>
      </c>
      <c r="L18" s="68"/>
      <c r="M18" s="22"/>
      <c r="N18" s="22"/>
      <c r="O18" s="225"/>
      <c r="P18" s="68"/>
      <c r="Q18" s="22">
        <f t="shared" si="1"/>
        <v>500</v>
      </c>
      <c r="R18" s="22">
        <f t="shared" si="2"/>
        <v>0</v>
      </c>
      <c r="S18" s="215">
        <f t="shared" si="5"/>
        <v>0</v>
      </c>
    </row>
    <row r="19" spans="1:19" ht="15" x14ac:dyDescent="0.25">
      <c r="B19" s="231">
        <f t="shared" si="3"/>
        <v>13</v>
      </c>
      <c r="C19" s="204"/>
      <c r="D19" s="204">
        <v>3</v>
      </c>
      <c r="E19" s="340" t="s">
        <v>17</v>
      </c>
      <c r="F19" s="303"/>
      <c r="G19" s="303"/>
      <c r="H19" s="303"/>
      <c r="I19" s="39">
        <f>I20</f>
        <v>500</v>
      </c>
      <c r="J19" s="39">
        <f>J20</f>
        <v>15</v>
      </c>
      <c r="K19" s="225">
        <f t="shared" si="4"/>
        <v>3</v>
      </c>
      <c r="L19" s="174"/>
      <c r="M19" s="39">
        <f>M20</f>
        <v>0</v>
      </c>
      <c r="N19" s="39">
        <f>N20</f>
        <v>0</v>
      </c>
      <c r="O19" s="225"/>
      <c r="P19" s="174"/>
      <c r="Q19" s="39">
        <f t="shared" si="1"/>
        <v>500</v>
      </c>
      <c r="R19" s="39">
        <f t="shared" si="2"/>
        <v>15</v>
      </c>
      <c r="S19" s="230">
        <f t="shared" si="5"/>
        <v>3</v>
      </c>
    </row>
    <row r="20" spans="1:19" x14ac:dyDescent="0.2">
      <c r="B20" s="231">
        <f t="shared" si="3"/>
        <v>14</v>
      </c>
      <c r="C20" s="11"/>
      <c r="D20" s="11"/>
      <c r="E20" s="11"/>
      <c r="F20" s="45" t="s">
        <v>73</v>
      </c>
      <c r="G20" s="11">
        <v>630</v>
      </c>
      <c r="H20" s="11" t="s">
        <v>127</v>
      </c>
      <c r="I20" s="42">
        <f>I21</f>
        <v>500</v>
      </c>
      <c r="J20" s="42">
        <f>J21</f>
        <v>15</v>
      </c>
      <c r="K20" s="225">
        <f t="shared" si="4"/>
        <v>3</v>
      </c>
      <c r="L20" s="114"/>
      <c r="M20" s="42">
        <f>M21</f>
        <v>0</v>
      </c>
      <c r="N20" s="42">
        <f>N21</f>
        <v>0</v>
      </c>
      <c r="O20" s="225"/>
      <c r="P20" s="114"/>
      <c r="Q20" s="42">
        <f t="shared" si="1"/>
        <v>500</v>
      </c>
      <c r="R20" s="42">
        <f t="shared" si="2"/>
        <v>15</v>
      </c>
      <c r="S20" s="215">
        <f t="shared" si="5"/>
        <v>3</v>
      </c>
    </row>
    <row r="21" spans="1:19" x14ac:dyDescent="0.2">
      <c r="B21" s="231">
        <f t="shared" si="3"/>
        <v>15</v>
      </c>
      <c r="C21" s="2"/>
      <c r="D21" s="2"/>
      <c r="E21" s="2"/>
      <c r="F21" s="46" t="s">
        <v>73</v>
      </c>
      <c r="G21" s="2">
        <v>633</v>
      </c>
      <c r="H21" s="2" t="s">
        <v>131</v>
      </c>
      <c r="I21" s="22">
        <v>500</v>
      </c>
      <c r="J21" s="22">
        <v>15</v>
      </c>
      <c r="K21" s="225">
        <f t="shared" si="4"/>
        <v>3</v>
      </c>
      <c r="L21" s="68"/>
      <c r="M21" s="22"/>
      <c r="N21" s="22"/>
      <c r="O21" s="225"/>
      <c r="P21" s="68"/>
      <c r="Q21" s="22">
        <f t="shared" si="1"/>
        <v>500</v>
      </c>
      <c r="R21" s="22">
        <f t="shared" si="2"/>
        <v>15</v>
      </c>
      <c r="S21" s="215">
        <f t="shared" si="5"/>
        <v>3</v>
      </c>
    </row>
    <row r="22" spans="1:19" ht="15" x14ac:dyDescent="0.25">
      <c r="B22" s="231">
        <f t="shared" si="3"/>
        <v>16</v>
      </c>
      <c r="C22" s="204"/>
      <c r="D22" s="204">
        <v>4</v>
      </c>
      <c r="E22" s="340" t="s">
        <v>28</v>
      </c>
      <c r="F22" s="303"/>
      <c r="G22" s="303"/>
      <c r="H22" s="303"/>
      <c r="I22" s="39">
        <f t="shared" ref="I22:N25" si="6">I23</f>
        <v>800</v>
      </c>
      <c r="J22" s="39">
        <f t="shared" si="6"/>
        <v>720</v>
      </c>
      <c r="K22" s="225">
        <f t="shared" si="4"/>
        <v>90</v>
      </c>
      <c r="L22" s="174"/>
      <c r="M22" s="39">
        <f t="shared" si="6"/>
        <v>0</v>
      </c>
      <c r="N22" s="39">
        <f t="shared" si="6"/>
        <v>0</v>
      </c>
      <c r="O22" s="225"/>
      <c r="P22" s="174"/>
      <c r="Q22" s="39">
        <f t="shared" si="1"/>
        <v>800</v>
      </c>
      <c r="R22" s="39">
        <f t="shared" si="2"/>
        <v>720</v>
      </c>
      <c r="S22" s="230">
        <f t="shared" si="5"/>
        <v>90</v>
      </c>
    </row>
    <row r="23" spans="1:19" ht="15" hidden="1" x14ac:dyDescent="0.25">
      <c r="B23" s="231">
        <f t="shared" si="3"/>
        <v>17</v>
      </c>
      <c r="C23" s="14"/>
      <c r="D23" s="14"/>
      <c r="E23" s="14"/>
      <c r="F23" s="43"/>
      <c r="G23" s="14"/>
      <c r="H23" s="14" t="s">
        <v>280</v>
      </c>
      <c r="I23" s="40">
        <f t="shared" si="6"/>
        <v>800</v>
      </c>
      <c r="J23" s="40">
        <f t="shared" si="6"/>
        <v>720</v>
      </c>
      <c r="K23" s="225">
        <f t="shared" si="4"/>
        <v>90</v>
      </c>
      <c r="L23" s="175"/>
      <c r="M23" s="40">
        <f t="shared" si="6"/>
        <v>0</v>
      </c>
      <c r="N23" s="40">
        <f t="shared" si="6"/>
        <v>0</v>
      </c>
      <c r="O23" s="225"/>
      <c r="P23" s="175"/>
      <c r="Q23" s="40">
        <f t="shared" si="1"/>
        <v>800</v>
      </c>
      <c r="R23" s="40">
        <f t="shared" si="2"/>
        <v>720</v>
      </c>
      <c r="S23" s="215">
        <f t="shared" si="5"/>
        <v>90</v>
      </c>
    </row>
    <row r="24" spans="1:19" hidden="1" x14ac:dyDescent="0.2">
      <c r="B24" s="231">
        <f t="shared" si="3"/>
        <v>18</v>
      </c>
      <c r="C24" s="10"/>
      <c r="D24" s="10"/>
      <c r="E24" s="10" t="s">
        <v>71</v>
      </c>
      <c r="F24" s="44"/>
      <c r="G24" s="10"/>
      <c r="H24" s="10"/>
      <c r="I24" s="41">
        <f t="shared" si="6"/>
        <v>800</v>
      </c>
      <c r="J24" s="41">
        <f t="shared" si="6"/>
        <v>720</v>
      </c>
      <c r="K24" s="225">
        <f t="shared" si="4"/>
        <v>90</v>
      </c>
      <c r="L24" s="114"/>
      <c r="M24" s="41">
        <f t="shared" si="6"/>
        <v>0</v>
      </c>
      <c r="N24" s="41">
        <f t="shared" si="6"/>
        <v>0</v>
      </c>
      <c r="O24" s="225"/>
      <c r="P24" s="114"/>
      <c r="Q24" s="41">
        <f t="shared" si="1"/>
        <v>800</v>
      </c>
      <c r="R24" s="41">
        <f t="shared" si="2"/>
        <v>720</v>
      </c>
      <c r="S24" s="215">
        <f t="shared" si="5"/>
        <v>90</v>
      </c>
    </row>
    <row r="25" spans="1:19" x14ac:dyDescent="0.2">
      <c r="B25" s="231">
        <f t="shared" si="3"/>
        <v>19</v>
      </c>
      <c r="C25" s="11"/>
      <c r="D25" s="11"/>
      <c r="E25" s="11"/>
      <c r="F25" s="45" t="s">
        <v>73</v>
      </c>
      <c r="G25" s="11">
        <v>630</v>
      </c>
      <c r="H25" s="11" t="s">
        <v>127</v>
      </c>
      <c r="I25" s="42">
        <f t="shared" si="6"/>
        <v>800</v>
      </c>
      <c r="J25" s="42">
        <f t="shared" si="6"/>
        <v>720</v>
      </c>
      <c r="K25" s="225">
        <f t="shared" si="4"/>
        <v>90</v>
      </c>
      <c r="L25" s="114"/>
      <c r="M25" s="42">
        <f t="shared" si="6"/>
        <v>0</v>
      </c>
      <c r="N25" s="42">
        <f t="shared" si="6"/>
        <v>0</v>
      </c>
      <c r="O25" s="225"/>
      <c r="P25" s="114"/>
      <c r="Q25" s="42">
        <f t="shared" si="1"/>
        <v>800</v>
      </c>
      <c r="R25" s="42">
        <f t="shared" si="2"/>
        <v>720</v>
      </c>
      <c r="S25" s="215">
        <f t="shared" si="5"/>
        <v>90</v>
      </c>
    </row>
    <row r="26" spans="1:19" x14ac:dyDescent="0.2">
      <c r="B26" s="231">
        <f t="shared" si="3"/>
        <v>20</v>
      </c>
      <c r="C26" s="2"/>
      <c r="D26" s="2"/>
      <c r="E26" s="2"/>
      <c r="F26" s="46" t="s">
        <v>73</v>
      </c>
      <c r="G26" s="2">
        <v>637</v>
      </c>
      <c r="H26" s="2" t="s">
        <v>128</v>
      </c>
      <c r="I26" s="22">
        <v>800</v>
      </c>
      <c r="J26" s="22">
        <v>720</v>
      </c>
      <c r="K26" s="225">
        <f t="shared" si="4"/>
        <v>90</v>
      </c>
      <c r="L26" s="68"/>
      <c r="M26" s="22"/>
      <c r="N26" s="22"/>
      <c r="O26" s="225"/>
      <c r="P26" s="68"/>
      <c r="Q26" s="22">
        <f t="shared" si="1"/>
        <v>800</v>
      </c>
      <c r="R26" s="22">
        <f t="shared" si="2"/>
        <v>720</v>
      </c>
      <c r="S26" s="215">
        <f t="shared" si="5"/>
        <v>90</v>
      </c>
    </row>
    <row r="27" spans="1:19" ht="15" x14ac:dyDescent="0.25">
      <c r="B27" s="231">
        <f t="shared" si="3"/>
        <v>21</v>
      </c>
      <c r="C27" s="204"/>
      <c r="D27" s="204">
        <v>5</v>
      </c>
      <c r="E27" s="340" t="s">
        <v>200</v>
      </c>
      <c r="F27" s="303"/>
      <c r="G27" s="303"/>
      <c r="H27" s="303"/>
      <c r="I27" s="39">
        <f>I28+I29</f>
        <v>160000</v>
      </c>
      <c r="J27" s="39">
        <f>J28+J29</f>
        <v>68040</v>
      </c>
      <c r="K27" s="225">
        <f t="shared" si="4"/>
        <v>42.524999999999999</v>
      </c>
      <c r="L27" s="174"/>
      <c r="M27" s="39">
        <f>M28+M29</f>
        <v>0</v>
      </c>
      <c r="N27" s="39">
        <f>N28+N29</f>
        <v>0</v>
      </c>
      <c r="O27" s="225"/>
      <c r="P27" s="174"/>
      <c r="Q27" s="39">
        <f t="shared" si="1"/>
        <v>160000</v>
      </c>
      <c r="R27" s="39">
        <f t="shared" si="2"/>
        <v>68040</v>
      </c>
      <c r="S27" s="230">
        <f t="shared" si="5"/>
        <v>42.524999999999999</v>
      </c>
    </row>
    <row r="28" spans="1:19" x14ac:dyDescent="0.2">
      <c r="A28" s="111"/>
      <c r="B28" s="231">
        <f t="shared" si="3"/>
        <v>22</v>
      </c>
      <c r="C28" s="11"/>
      <c r="D28" s="11"/>
      <c r="E28" s="11"/>
      <c r="F28" s="45" t="s">
        <v>73</v>
      </c>
      <c r="G28" s="11">
        <v>620</v>
      </c>
      <c r="H28" s="11" t="s">
        <v>130</v>
      </c>
      <c r="I28" s="42">
        <v>38450</v>
      </c>
      <c r="J28" s="42">
        <v>16092</v>
      </c>
      <c r="K28" s="225">
        <f t="shared" si="4"/>
        <v>41.851755526657996</v>
      </c>
      <c r="L28" s="114"/>
      <c r="M28" s="42"/>
      <c r="N28" s="42"/>
      <c r="O28" s="225"/>
      <c r="P28" s="114"/>
      <c r="Q28" s="42">
        <f t="shared" si="1"/>
        <v>38450</v>
      </c>
      <c r="R28" s="42">
        <f t="shared" si="2"/>
        <v>16092</v>
      </c>
      <c r="S28" s="215">
        <f t="shared" si="5"/>
        <v>41.851755526657996</v>
      </c>
    </row>
    <row r="29" spans="1:19" x14ac:dyDescent="0.2">
      <c r="A29" s="111"/>
      <c r="B29" s="231">
        <f t="shared" si="3"/>
        <v>23</v>
      </c>
      <c r="C29" s="11"/>
      <c r="D29" s="11"/>
      <c r="E29" s="11"/>
      <c r="F29" s="45" t="s">
        <v>73</v>
      </c>
      <c r="G29" s="11">
        <v>630</v>
      </c>
      <c r="H29" s="11" t="s">
        <v>127</v>
      </c>
      <c r="I29" s="42">
        <f>I31+I30</f>
        <v>121550</v>
      </c>
      <c r="J29" s="42">
        <f>J31+J30</f>
        <v>51948</v>
      </c>
      <c r="K29" s="225">
        <f t="shared" si="4"/>
        <v>42.737967914438499</v>
      </c>
      <c r="L29" s="114"/>
      <c r="M29" s="42">
        <f>M31+M30</f>
        <v>0</v>
      </c>
      <c r="N29" s="42">
        <f>N31+N30</f>
        <v>0</v>
      </c>
      <c r="O29" s="225"/>
      <c r="P29" s="114"/>
      <c r="Q29" s="42">
        <f t="shared" si="1"/>
        <v>121550</v>
      </c>
      <c r="R29" s="42">
        <f t="shared" si="2"/>
        <v>51948</v>
      </c>
      <c r="S29" s="215">
        <f t="shared" si="5"/>
        <v>42.737967914438499</v>
      </c>
    </row>
    <row r="30" spans="1:19" x14ac:dyDescent="0.2">
      <c r="A30" s="111"/>
      <c r="B30" s="231">
        <f t="shared" si="3"/>
        <v>24</v>
      </c>
      <c r="C30" s="2"/>
      <c r="D30" s="2"/>
      <c r="E30" s="2"/>
      <c r="F30" s="46" t="s">
        <v>73</v>
      </c>
      <c r="G30" s="2">
        <v>632</v>
      </c>
      <c r="H30" s="2" t="s">
        <v>138</v>
      </c>
      <c r="I30" s="51">
        <v>11550</v>
      </c>
      <c r="J30" s="51">
        <v>5270</v>
      </c>
      <c r="K30" s="225">
        <f t="shared" si="4"/>
        <v>45.62770562770563</v>
      </c>
      <c r="L30" s="68"/>
      <c r="M30" s="22"/>
      <c r="N30" s="22"/>
      <c r="O30" s="225"/>
      <c r="P30" s="68"/>
      <c r="Q30" s="22">
        <f t="shared" si="1"/>
        <v>11550</v>
      </c>
      <c r="R30" s="22">
        <f t="shared" si="2"/>
        <v>5270</v>
      </c>
      <c r="S30" s="215">
        <f t="shared" si="5"/>
        <v>45.62770562770563</v>
      </c>
    </row>
    <row r="31" spans="1:19" x14ac:dyDescent="0.2">
      <c r="A31" s="111"/>
      <c r="B31" s="231">
        <f t="shared" si="3"/>
        <v>25</v>
      </c>
      <c r="C31" s="2"/>
      <c r="D31" s="2"/>
      <c r="E31" s="2"/>
      <c r="F31" s="46" t="s">
        <v>73</v>
      </c>
      <c r="G31" s="2">
        <v>637</v>
      </c>
      <c r="H31" s="2" t="s">
        <v>128</v>
      </c>
      <c r="I31" s="22">
        <v>110000</v>
      </c>
      <c r="J31" s="22">
        <v>46678</v>
      </c>
      <c r="K31" s="225">
        <f t="shared" si="4"/>
        <v>42.43454545454545</v>
      </c>
      <c r="L31" s="68"/>
      <c r="M31" s="22"/>
      <c r="N31" s="22"/>
      <c r="O31" s="225"/>
      <c r="P31" s="68"/>
      <c r="Q31" s="22">
        <f t="shared" si="1"/>
        <v>110000</v>
      </c>
      <c r="R31" s="22">
        <f t="shared" si="2"/>
        <v>46678</v>
      </c>
      <c r="S31" s="215">
        <f t="shared" si="5"/>
        <v>42.43454545454545</v>
      </c>
    </row>
    <row r="32" spans="1:19" ht="15" x14ac:dyDescent="0.2">
      <c r="A32" s="111"/>
      <c r="B32" s="231">
        <f t="shared" si="3"/>
        <v>26</v>
      </c>
      <c r="C32" s="205">
        <v>2</v>
      </c>
      <c r="D32" s="302" t="s">
        <v>215</v>
      </c>
      <c r="E32" s="303"/>
      <c r="F32" s="303"/>
      <c r="G32" s="303"/>
      <c r="H32" s="303"/>
      <c r="I32" s="38">
        <f>I33+I34</f>
        <v>150200</v>
      </c>
      <c r="J32" s="38">
        <f>J33+J34</f>
        <v>8456</v>
      </c>
      <c r="K32" s="225">
        <f t="shared" si="4"/>
        <v>5.6298268974700401</v>
      </c>
      <c r="L32" s="173"/>
      <c r="M32" s="38">
        <f>M41</f>
        <v>45000</v>
      </c>
      <c r="N32" s="38">
        <f>N41</f>
        <v>0</v>
      </c>
      <c r="O32" s="225">
        <f t="shared" si="0"/>
        <v>0</v>
      </c>
      <c r="P32" s="173"/>
      <c r="Q32" s="38">
        <f t="shared" si="1"/>
        <v>195200</v>
      </c>
      <c r="R32" s="38">
        <f t="shared" si="2"/>
        <v>8456</v>
      </c>
      <c r="S32" s="230">
        <f t="shared" si="5"/>
        <v>4.331967213114754</v>
      </c>
    </row>
    <row r="33" spans="1:19" x14ac:dyDescent="0.2">
      <c r="A33" s="111"/>
      <c r="B33" s="231">
        <f t="shared" si="3"/>
        <v>27</v>
      </c>
      <c r="C33" s="11"/>
      <c r="D33" s="11"/>
      <c r="E33" s="11"/>
      <c r="F33" s="45" t="s">
        <v>214</v>
      </c>
      <c r="G33" s="11">
        <v>620</v>
      </c>
      <c r="H33" s="11" t="s">
        <v>130</v>
      </c>
      <c r="I33" s="42">
        <f>9000+1200</f>
        <v>10200</v>
      </c>
      <c r="J33" s="42">
        <v>1231</v>
      </c>
      <c r="K33" s="225">
        <f t="shared" si="4"/>
        <v>12.068627450980392</v>
      </c>
      <c r="L33" s="114"/>
      <c r="M33" s="42"/>
      <c r="N33" s="42"/>
      <c r="O33" s="225"/>
      <c r="P33" s="114"/>
      <c r="Q33" s="42">
        <f t="shared" si="1"/>
        <v>10200</v>
      </c>
      <c r="R33" s="42">
        <f t="shared" si="2"/>
        <v>1231</v>
      </c>
      <c r="S33" s="215">
        <f t="shared" si="5"/>
        <v>12.068627450980392</v>
      </c>
    </row>
    <row r="34" spans="1:19" x14ac:dyDescent="0.2">
      <c r="A34" s="111"/>
      <c r="B34" s="231">
        <f t="shared" si="3"/>
        <v>28</v>
      </c>
      <c r="C34" s="11"/>
      <c r="D34" s="11"/>
      <c r="E34" s="11"/>
      <c r="F34" s="45" t="s">
        <v>214</v>
      </c>
      <c r="G34" s="11">
        <v>630</v>
      </c>
      <c r="H34" s="11" t="s">
        <v>127</v>
      </c>
      <c r="I34" s="42">
        <f>I37+I36+I35</f>
        <v>140000</v>
      </c>
      <c r="J34" s="42">
        <f>J37+J36+J35</f>
        <v>7225</v>
      </c>
      <c r="K34" s="225">
        <f t="shared" si="4"/>
        <v>5.1607142857142856</v>
      </c>
      <c r="L34" s="114"/>
      <c r="M34" s="42">
        <f>M37+M36</f>
        <v>0</v>
      </c>
      <c r="N34" s="42">
        <f>N37+N36</f>
        <v>0</v>
      </c>
      <c r="O34" s="225"/>
      <c r="P34" s="114"/>
      <c r="Q34" s="42">
        <f t="shared" si="1"/>
        <v>140000</v>
      </c>
      <c r="R34" s="42">
        <f t="shared" si="2"/>
        <v>7225</v>
      </c>
      <c r="S34" s="215">
        <f t="shared" si="5"/>
        <v>5.1607142857142856</v>
      </c>
    </row>
    <row r="35" spans="1:19" x14ac:dyDescent="0.2">
      <c r="A35" s="111"/>
      <c r="B35" s="231">
        <f t="shared" si="3"/>
        <v>29</v>
      </c>
      <c r="C35" s="11"/>
      <c r="D35" s="11"/>
      <c r="E35" s="11"/>
      <c r="F35" s="46" t="s">
        <v>214</v>
      </c>
      <c r="G35" s="2">
        <v>633</v>
      </c>
      <c r="H35" s="2" t="s">
        <v>131</v>
      </c>
      <c r="I35" s="22">
        <v>2800</v>
      </c>
      <c r="J35" s="22">
        <v>1572</v>
      </c>
      <c r="K35" s="225">
        <f t="shared" si="4"/>
        <v>56.142857142857139</v>
      </c>
      <c r="L35" s="68"/>
      <c r="M35" s="22"/>
      <c r="N35" s="22"/>
      <c r="O35" s="225"/>
      <c r="P35" s="68"/>
      <c r="Q35" s="22">
        <f t="shared" ref="Q35" si="7">M35+I35</f>
        <v>2800</v>
      </c>
      <c r="R35" s="22">
        <f t="shared" si="2"/>
        <v>1572</v>
      </c>
      <c r="S35" s="215">
        <f t="shared" si="5"/>
        <v>56.142857142857139</v>
      </c>
    </row>
    <row r="36" spans="1:19" x14ac:dyDescent="0.2">
      <c r="B36" s="231">
        <f t="shared" si="3"/>
        <v>30</v>
      </c>
      <c r="C36" s="2"/>
      <c r="D36" s="2"/>
      <c r="E36" s="2"/>
      <c r="F36" s="46" t="s">
        <v>214</v>
      </c>
      <c r="G36" s="2">
        <v>635</v>
      </c>
      <c r="H36" s="2" t="s">
        <v>137</v>
      </c>
      <c r="I36" s="22">
        <f>4000-2150</f>
        <v>1850</v>
      </c>
      <c r="J36" s="22">
        <v>660</v>
      </c>
      <c r="K36" s="225">
        <f t="shared" si="4"/>
        <v>35.675675675675677</v>
      </c>
      <c r="L36" s="68"/>
      <c r="M36" s="22"/>
      <c r="N36" s="22"/>
      <c r="O36" s="225"/>
      <c r="P36" s="68"/>
      <c r="Q36" s="22">
        <f t="shared" si="1"/>
        <v>1850</v>
      </c>
      <c r="R36" s="22">
        <f t="shared" si="2"/>
        <v>660</v>
      </c>
      <c r="S36" s="215">
        <f t="shared" si="5"/>
        <v>35.675675675675677</v>
      </c>
    </row>
    <row r="37" spans="1:19" x14ac:dyDescent="0.2">
      <c r="B37" s="231">
        <f t="shared" si="3"/>
        <v>31</v>
      </c>
      <c r="C37" s="2"/>
      <c r="D37" s="2"/>
      <c r="E37" s="2"/>
      <c r="F37" s="46" t="s">
        <v>214</v>
      </c>
      <c r="G37" s="2">
        <v>637</v>
      </c>
      <c r="H37" s="2" t="s">
        <v>128</v>
      </c>
      <c r="I37" s="22">
        <f>I38+I39+I40</f>
        <v>135350</v>
      </c>
      <c r="J37" s="22">
        <f>J38+J39+J40</f>
        <v>4993</v>
      </c>
      <c r="K37" s="225">
        <f t="shared" si="4"/>
        <v>3.6889545622460287</v>
      </c>
      <c r="L37" s="68"/>
      <c r="M37" s="22"/>
      <c r="N37" s="22"/>
      <c r="O37" s="225"/>
      <c r="P37" s="68"/>
      <c r="Q37" s="22">
        <f t="shared" si="1"/>
        <v>135350</v>
      </c>
      <c r="R37" s="22">
        <f t="shared" si="2"/>
        <v>4993</v>
      </c>
      <c r="S37" s="215">
        <f t="shared" si="5"/>
        <v>3.6889545622460287</v>
      </c>
    </row>
    <row r="38" spans="1:19" x14ac:dyDescent="0.2">
      <c r="B38" s="231">
        <f t="shared" si="3"/>
        <v>32</v>
      </c>
      <c r="C38" s="2"/>
      <c r="D38" s="2"/>
      <c r="E38" s="2"/>
      <c r="F38" s="46"/>
      <c r="G38" s="2"/>
      <c r="H38" s="2" t="s">
        <v>357</v>
      </c>
      <c r="I38" s="22">
        <f>25000+25000+6000-650</f>
        <v>55350</v>
      </c>
      <c r="J38" s="22">
        <v>4993</v>
      </c>
      <c r="K38" s="225">
        <f t="shared" si="4"/>
        <v>9.0207768744354109</v>
      </c>
      <c r="L38" s="68"/>
      <c r="M38" s="22"/>
      <c r="N38" s="22"/>
      <c r="O38" s="225"/>
      <c r="P38" s="68"/>
      <c r="Q38" s="22">
        <f t="shared" si="1"/>
        <v>55350</v>
      </c>
      <c r="R38" s="22">
        <f t="shared" si="2"/>
        <v>4993</v>
      </c>
      <c r="S38" s="215">
        <f t="shared" si="5"/>
        <v>9.0207768744354109</v>
      </c>
    </row>
    <row r="39" spans="1:19" s="63" customFormat="1" ht="24" x14ac:dyDescent="0.2">
      <c r="A39" s="59"/>
      <c r="B39" s="231">
        <f t="shared" si="3"/>
        <v>33</v>
      </c>
      <c r="C39" s="71"/>
      <c r="D39" s="71"/>
      <c r="E39" s="71"/>
      <c r="F39" s="72"/>
      <c r="G39" s="71"/>
      <c r="H39" s="73" t="s">
        <v>358</v>
      </c>
      <c r="I39" s="55">
        <v>50000</v>
      </c>
      <c r="J39" s="55">
        <v>0</v>
      </c>
      <c r="K39" s="225">
        <f t="shared" si="4"/>
        <v>0</v>
      </c>
      <c r="L39" s="149"/>
      <c r="M39" s="55"/>
      <c r="N39" s="55"/>
      <c r="O39" s="225"/>
      <c r="P39" s="149"/>
      <c r="Q39" s="55">
        <f t="shared" si="1"/>
        <v>50000</v>
      </c>
      <c r="R39" s="55">
        <f t="shared" si="2"/>
        <v>0</v>
      </c>
      <c r="S39" s="232">
        <f t="shared" si="5"/>
        <v>0</v>
      </c>
    </row>
    <row r="40" spans="1:19" x14ac:dyDescent="0.2">
      <c r="B40" s="231">
        <f t="shared" si="3"/>
        <v>34</v>
      </c>
      <c r="C40" s="2"/>
      <c r="D40" s="2"/>
      <c r="E40" s="2"/>
      <c r="F40" s="46"/>
      <c r="G40" s="2"/>
      <c r="H40" s="2" t="s">
        <v>359</v>
      </c>
      <c r="I40" s="22">
        <v>30000</v>
      </c>
      <c r="J40" s="22">
        <v>0</v>
      </c>
      <c r="K40" s="225">
        <f t="shared" si="4"/>
        <v>0</v>
      </c>
      <c r="L40" s="68"/>
      <c r="M40" s="22"/>
      <c r="N40" s="22"/>
      <c r="O40" s="225"/>
      <c r="P40" s="68"/>
      <c r="Q40" s="22">
        <f t="shared" ref="Q40:Q72" si="8">M40+I40</f>
        <v>30000</v>
      </c>
      <c r="R40" s="22">
        <f t="shared" si="2"/>
        <v>0</v>
      </c>
      <c r="S40" s="215">
        <f t="shared" si="5"/>
        <v>0</v>
      </c>
    </row>
    <row r="41" spans="1:19" x14ac:dyDescent="0.2">
      <c r="B41" s="231">
        <f t="shared" si="3"/>
        <v>35</v>
      </c>
      <c r="C41" s="11"/>
      <c r="D41" s="11"/>
      <c r="E41" s="11"/>
      <c r="F41" s="45" t="s">
        <v>214</v>
      </c>
      <c r="G41" s="11">
        <v>710</v>
      </c>
      <c r="H41" s="11" t="s">
        <v>183</v>
      </c>
      <c r="I41" s="42">
        <f>I44+I42</f>
        <v>0</v>
      </c>
      <c r="J41" s="42">
        <f>J44+J42</f>
        <v>0</v>
      </c>
      <c r="K41" s="225">
        <v>0</v>
      </c>
      <c r="L41" s="114"/>
      <c r="M41" s="42">
        <f>M44+M42</f>
        <v>45000</v>
      </c>
      <c r="N41" s="42">
        <f>N44+N42</f>
        <v>0</v>
      </c>
      <c r="O41" s="225">
        <f t="shared" si="0"/>
        <v>0</v>
      </c>
      <c r="P41" s="114"/>
      <c r="Q41" s="42">
        <f t="shared" si="8"/>
        <v>45000</v>
      </c>
      <c r="R41" s="42">
        <f t="shared" si="2"/>
        <v>0</v>
      </c>
      <c r="S41" s="215">
        <f t="shared" si="5"/>
        <v>0</v>
      </c>
    </row>
    <row r="42" spans="1:19" x14ac:dyDescent="0.2">
      <c r="B42" s="231">
        <f t="shared" si="3"/>
        <v>36</v>
      </c>
      <c r="C42" s="2"/>
      <c r="D42" s="2"/>
      <c r="E42" s="2"/>
      <c r="F42" s="77" t="s">
        <v>214</v>
      </c>
      <c r="G42" s="78">
        <v>711</v>
      </c>
      <c r="H42" s="78" t="s">
        <v>222</v>
      </c>
      <c r="I42" s="79"/>
      <c r="J42" s="79"/>
      <c r="K42" s="225">
        <v>0</v>
      </c>
      <c r="L42" s="68"/>
      <c r="M42" s="79">
        <f>M43</f>
        <v>25000</v>
      </c>
      <c r="N42" s="79">
        <f>N43</f>
        <v>0</v>
      </c>
      <c r="O42" s="225">
        <f t="shared" si="0"/>
        <v>0</v>
      </c>
      <c r="P42" s="68"/>
      <c r="Q42" s="79">
        <f t="shared" si="8"/>
        <v>25000</v>
      </c>
      <c r="R42" s="79">
        <f t="shared" si="2"/>
        <v>0</v>
      </c>
      <c r="S42" s="215">
        <f t="shared" si="5"/>
        <v>0</v>
      </c>
    </row>
    <row r="43" spans="1:19" s="63" customFormat="1" ht="24" x14ac:dyDescent="0.2">
      <c r="A43" s="59"/>
      <c r="B43" s="231">
        <f t="shared" si="3"/>
        <v>37</v>
      </c>
      <c r="C43" s="71"/>
      <c r="D43" s="71"/>
      <c r="E43" s="71"/>
      <c r="F43" s="72"/>
      <c r="G43" s="71"/>
      <c r="H43" s="73" t="s">
        <v>360</v>
      </c>
      <c r="I43" s="55"/>
      <c r="J43" s="55"/>
      <c r="K43" s="225">
        <v>0</v>
      </c>
      <c r="L43" s="149"/>
      <c r="M43" s="55">
        <v>25000</v>
      </c>
      <c r="N43" s="55">
        <v>0</v>
      </c>
      <c r="O43" s="225">
        <f t="shared" si="0"/>
        <v>0</v>
      </c>
      <c r="P43" s="149"/>
      <c r="Q43" s="55">
        <f t="shared" si="8"/>
        <v>25000</v>
      </c>
      <c r="R43" s="55">
        <f t="shared" si="2"/>
        <v>0</v>
      </c>
      <c r="S43" s="232">
        <f t="shared" si="5"/>
        <v>0</v>
      </c>
    </row>
    <row r="44" spans="1:19" x14ac:dyDescent="0.2">
      <c r="B44" s="231">
        <f t="shared" si="3"/>
        <v>38</v>
      </c>
      <c r="C44" s="2"/>
      <c r="D44" s="2"/>
      <c r="E44" s="2"/>
      <c r="F44" s="77" t="s">
        <v>214</v>
      </c>
      <c r="G44" s="78">
        <v>716</v>
      </c>
      <c r="H44" s="78" t="s">
        <v>0</v>
      </c>
      <c r="I44" s="79"/>
      <c r="J44" s="79"/>
      <c r="K44" s="225">
        <v>0</v>
      </c>
      <c r="L44" s="68"/>
      <c r="M44" s="79">
        <f>SUM(M45:M46)</f>
        <v>20000</v>
      </c>
      <c r="N44" s="79">
        <f>SUM(N45:N46)</f>
        <v>0</v>
      </c>
      <c r="O44" s="225">
        <f t="shared" si="0"/>
        <v>0</v>
      </c>
      <c r="P44" s="68"/>
      <c r="Q44" s="79">
        <f t="shared" si="8"/>
        <v>20000</v>
      </c>
      <c r="R44" s="79">
        <f t="shared" si="2"/>
        <v>0</v>
      </c>
      <c r="S44" s="215">
        <f t="shared" si="5"/>
        <v>0</v>
      </c>
    </row>
    <row r="45" spans="1:19" x14ac:dyDescent="0.2">
      <c r="B45" s="231">
        <f t="shared" si="3"/>
        <v>39</v>
      </c>
      <c r="C45" s="2"/>
      <c r="D45" s="2"/>
      <c r="E45" s="2"/>
      <c r="F45" s="46"/>
      <c r="G45" s="2"/>
      <c r="H45" s="2" t="s">
        <v>331</v>
      </c>
      <c r="I45" s="22"/>
      <c r="J45" s="22"/>
      <c r="K45" s="225">
        <v>0</v>
      </c>
      <c r="L45" s="68"/>
      <c r="M45" s="22">
        <v>10000</v>
      </c>
      <c r="N45" s="22">
        <v>0</v>
      </c>
      <c r="O45" s="225">
        <f t="shared" si="0"/>
        <v>0</v>
      </c>
      <c r="P45" s="68"/>
      <c r="Q45" s="22">
        <f t="shared" si="8"/>
        <v>10000</v>
      </c>
      <c r="R45" s="22">
        <f t="shared" si="2"/>
        <v>0</v>
      </c>
      <c r="S45" s="215">
        <f t="shared" si="5"/>
        <v>0</v>
      </c>
    </row>
    <row r="46" spans="1:19" x14ac:dyDescent="0.2">
      <c r="B46" s="231">
        <f t="shared" si="3"/>
        <v>40</v>
      </c>
      <c r="C46" s="2"/>
      <c r="D46" s="2"/>
      <c r="E46" s="2"/>
      <c r="F46" s="46"/>
      <c r="G46" s="2"/>
      <c r="H46" s="2" t="s">
        <v>439</v>
      </c>
      <c r="I46" s="22"/>
      <c r="J46" s="22"/>
      <c r="K46" s="225">
        <v>0</v>
      </c>
      <c r="L46" s="68"/>
      <c r="M46" s="22">
        <v>10000</v>
      </c>
      <c r="N46" s="22">
        <v>0</v>
      </c>
      <c r="O46" s="225">
        <f t="shared" si="0"/>
        <v>0</v>
      </c>
      <c r="P46" s="68"/>
      <c r="Q46" s="22">
        <f t="shared" si="8"/>
        <v>10000</v>
      </c>
      <c r="R46" s="22">
        <f t="shared" si="2"/>
        <v>0</v>
      </c>
      <c r="S46" s="215">
        <f t="shared" si="5"/>
        <v>0</v>
      </c>
    </row>
    <row r="47" spans="1:19" ht="15" x14ac:dyDescent="0.2">
      <c r="B47" s="231">
        <f t="shared" si="3"/>
        <v>41</v>
      </c>
      <c r="C47" s="205">
        <v>3</v>
      </c>
      <c r="D47" s="302" t="s">
        <v>140</v>
      </c>
      <c r="E47" s="303"/>
      <c r="F47" s="303"/>
      <c r="G47" s="303"/>
      <c r="H47" s="303"/>
      <c r="I47" s="38">
        <f>I49+I55+I48</f>
        <v>52290</v>
      </c>
      <c r="J47" s="38">
        <f>J49+J55+J48</f>
        <v>3301</v>
      </c>
      <c r="K47" s="225">
        <f t="shared" si="4"/>
        <v>6.3128705297380003</v>
      </c>
      <c r="L47" s="173"/>
      <c r="M47" s="38">
        <f>M49+M55</f>
        <v>254470</v>
      </c>
      <c r="N47" s="38">
        <f>N49+N55</f>
        <v>0</v>
      </c>
      <c r="O47" s="225">
        <f t="shared" si="0"/>
        <v>0</v>
      </c>
      <c r="P47" s="173"/>
      <c r="Q47" s="38">
        <f t="shared" si="8"/>
        <v>306760</v>
      </c>
      <c r="R47" s="38">
        <f t="shared" si="2"/>
        <v>3301</v>
      </c>
      <c r="S47" s="230">
        <f t="shared" si="5"/>
        <v>1.0760855391837267</v>
      </c>
    </row>
    <row r="48" spans="1:19" x14ac:dyDescent="0.2">
      <c r="B48" s="231">
        <f t="shared" si="3"/>
        <v>42</v>
      </c>
      <c r="C48" s="11"/>
      <c r="D48" s="11"/>
      <c r="E48" s="11"/>
      <c r="F48" s="45" t="s">
        <v>73</v>
      </c>
      <c r="G48" s="11">
        <v>620</v>
      </c>
      <c r="H48" s="11" t="s">
        <v>130</v>
      </c>
      <c r="I48" s="42">
        <v>5500</v>
      </c>
      <c r="J48" s="42">
        <v>127</v>
      </c>
      <c r="K48" s="225">
        <f t="shared" si="4"/>
        <v>2.3090909090909091</v>
      </c>
      <c r="L48" s="114"/>
      <c r="M48" s="42">
        <f>M52+M51+M50+M49+M53</f>
        <v>0</v>
      </c>
      <c r="N48" s="42">
        <f>N52+N51+N50+N49+N53</f>
        <v>0</v>
      </c>
      <c r="O48" s="225"/>
      <c r="P48" s="114"/>
      <c r="Q48" s="42">
        <f t="shared" ref="Q48" si="9">M48+I48</f>
        <v>5500</v>
      </c>
      <c r="R48" s="42">
        <f t="shared" si="2"/>
        <v>127</v>
      </c>
      <c r="S48" s="215">
        <f t="shared" si="5"/>
        <v>2.3090909090909091</v>
      </c>
    </row>
    <row r="49" spans="2:20" x14ac:dyDescent="0.2">
      <c r="B49" s="231">
        <f t="shared" si="3"/>
        <v>43</v>
      </c>
      <c r="C49" s="11"/>
      <c r="D49" s="11"/>
      <c r="E49" s="11"/>
      <c r="F49" s="45" t="s">
        <v>73</v>
      </c>
      <c r="G49" s="11">
        <v>630</v>
      </c>
      <c r="H49" s="11" t="s">
        <v>127</v>
      </c>
      <c r="I49" s="42">
        <f>I53+I52+I51+I50+I54</f>
        <v>46790</v>
      </c>
      <c r="J49" s="42">
        <f>J53+J52+J51+J50+J54</f>
        <v>3174</v>
      </c>
      <c r="K49" s="225">
        <f t="shared" si="4"/>
        <v>6.7835007480230818</v>
      </c>
      <c r="L49" s="114"/>
      <c r="M49" s="42">
        <f>M53+M52+M51+M50+M54</f>
        <v>0</v>
      </c>
      <c r="N49" s="42">
        <f>N53+N52+N51+N50+N54</f>
        <v>0</v>
      </c>
      <c r="O49" s="225"/>
      <c r="P49" s="114"/>
      <c r="Q49" s="42">
        <f t="shared" si="8"/>
        <v>46790</v>
      </c>
      <c r="R49" s="42">
        <f t="shared" si="2"/>
        <v>3174</v>
      </c>
      <c r="S49" s="215">
        <f t="shared" si="5"/>
        <v>6.7835007480230818</v>
      </c>
    </row>
    <row r="50" spans="2:20" x14ac:dyDescent="0.2">
      <c r="B50" s="231">
        <f t="shared" ref="B50:B76" si="10">B49+1</f>
        <v>44</v>
      </c>
      <c r="C50" s="2"/>
      <c r="D50" s="2"/>
      <c r="E50" s="2"/>
      <c r="F50" s="46" t="s">
        <v>73</v>
      </c>
      <c r="G50" s="2">
        <v>631</v>
      </c>
      <c r="H50" s="2" t="s">
        <v>133</v>
      </c>
      <c r="I50" s="22">
        <v>1000</v>
      </c>
      <c r="J50" s="22">
        <v>0</v>
      </c>
      <c r="K50" s="225">
        <f t="shared" si="4"/>
        <v>0</v>
      </c>
      <c r="L50" s="68"/>
      <c r="M50" s="22"/>
      <c r="N50" s="22"/>
      <c r="O50" s="225"/>
      <c r="P50" s="68"/>
      <c r="Q50" s="22">
        <f t="shared" si="8"/>
        <v>1000</v>
      </c>
      <c r="R50" s="22">
        <f t="shared" si="2"/>
        <v>0</v>
      </c>
      <c r="S50" s="215">
        <f t="shared" si="5"/>
        <v>0</v>
      </c>
    </row>
    <row r="51" spans="2:20" x14ac:dyDescent="0.2">
      <c r="B51" s="231">
        <f t="shared" si="10"/>
        <v>45</v>
      </c>
      <c r="C51" s="2"/>
      <c r="D51" s="2"/>
      <c r="E51" s="2"/>
      <c r="F51" s="46" t="s">
        <v>73</v>
      </c>
      <c r="G51" s="2">
        <v>633</v>
      </c>
      <c r="H51" s="2" t="s">
        <v>131</v>
      </c>
      <c r="I51" s="22">
        <v>1500</v>
      </c>
      <c r="J51" s="22">
        <v>25</v>
      </c>
      <c r="K51" s="225">
        <f t="shared" si="4"/>
        <v>1.6666666666666667</v>
      </c>
      <c r="L51" s="68"/>
      <c r="M51" s="22"/>
      <c r="N51" s="22"/>
      <c r="O51" s="225"/>
      <c r="P51" s="68"/>
      <c r="Q51" s="22">
        <f t="shared" si="8"/>
        <v>1500</v>
      </c>
      <c r="R51" s="22">
        <f t="shared" si="2"/>
        <v>25</v>
      </c>
      <c r="S51" s="215">
        <f t="shared" si="5"/>
        <v>1.6666666666666667</v>
      </c>
    </row>
    <row r="52" spans="2:20" x14ac:dyDescent="0.2">
      <c r="B52" s="231">
        <f t="shared" si="10"/>
        <v>46</v>
      </c>
      <c r="C52" s="2"/>
      <c r="D52" s="2"/>
      <c r="E52" s="2"/>
      <c r="F52" s="46" t="s">
        <v>73</v>
      </c>
      <c r="G52" s="2">
        <v>636</v>
      </c>
      <c r="H52" s="2" t="s">
        <v>132</v>
      </c>
      <c r="I52" s="51">
        <v>500</v>
      </c>
      <c r="J52" s="51">
        <v>0</v>
      </c>
      <c r="K52" s="225">
        <f t="shared" si="4"/>
        <v>0</v>
      </c>
      <c r="L52" s="68"/>
      <c r="M52" s="22"/>
      <c r="N52" s="22"/>
      <c r="O52" s="225"/>
      <c r="P52" s="68"/>
      <c r="Q52" s="22">
        <f t="shared" si="8"/>
        <v>500</v>
      </c>
      <c r="R52" s="22">
        <f t="shared" si="2"/>
        <v>0</v>
      </c>
      <c r="S52" s="215">
        <f t="shared" si="5"/>
        <v>0</v>
      </c>
    </row>
    <row r="53" spans="2:20" x14ac:dyDescent="0.2">
      <c r="B53" s="231">
        <f t="shared" si="10"/>
        <v>47</v>
      </c>
      <c r="C53" s="2"/>
      <c r="D53" s="2"/>
      <c r="E53" s="2"/>
      <c r="F53" s="46" t="s">
        <v>73</v>
      </c>
      <c r="G53" s="2">
        <v>637</v>
      </c>
      <c r="H53" s="2" t="s">
        <v>128</v>
      </c>
      <c r="I53" s="51">
        <f>56500-20000-5500-7210</f>
        <v>23790</v>
      </c>
      <c r="J53" s="51">
        <v>2444</v>
      </c>
      <c r="K53" s="225">
        <f t="shared" si="4"/>
        <v>10.273224043715846</v>
      </c>
      <c r="L53" s="68"/>
      <c r="M53" s="22"/>
      <c r="N53" s="22"/>
      <c r="O53" s="225"/>
      <c r="P53" s="68"/>
      <c r="Q53" s="22">
        <f t="shared" si="8"/>
        <v>23790</v>
      </c>
      <c r="R53" s="22">
        <f t="shared" si="2"/>
        <v>2444</v>
      </c>
      <c r="S53" s="215">
        <f t="shared" si="5"/>
        <v>10.273224043715846</v>
      </c>
    </row>
    <row r="54" spans="2:20" x14ac:dyDescent="0.2">
      <c r="B54" s="231">
        <f t="shared" si="10"/>
        <v>48</v>
      </c>
      <c r="C54" s="2"/>
      <c r="D54" s="2"/>
      <c r="E54" s="2"/>
      <c r="F54" s="46" t="s">
        <v>73</v>
      </c>
      <c r="G54" s="2">
        <v>637</v>
      </c>
      <c r="H54" s="2" t="s">
        <v>79</v>
      </c>
      <c r="I54" s="51">
        <v>20000</v>
      </c>
      <c r="J54" s="51">
        <v>705</v>
      </c>
      <c r="K54" s="225">
        <f t="shared" si="4"/>
        <v>3.5249999999999995</v>
      </c>
      <c r="L54" s="68"/>
      <c r="M54" s="22"/>
      <c r="N54" s="22"/>
      <c r="O54" s="225"/>
      <c r="P54" s="68"/>
      <c r="Q54" s="22">
        <f t="shared" si="8"/>
        <v>20000</v>
      </c>
      <c r="R54" s="22">
        <f t="shared" si="2"/>
        <v>705</v>
      </c>
      <c r="S54" s="215">
        <f t="shared" si="5"/>
        <v>3.5249999999999995</v>
      </c>
    </row>
    <row r="55" spans="2:20" x14ac:dyDescent="0.2">
      <c r="B55" s="231">
        <f t="shared" si="10"/>
        <v>49</v>
      </c>
      <c r="C55" s="11"/>
      <c r="D55" s="11"/>
      <c r="E55" s="11"/>
      <c r="F55" s="45" t="s">
        <v>73</v>
      </c>
      <c r="G55" s="11">
        <v>710</v>
      </c>
      <c r="H55" s="11" t="s">
        <v>183</v>
      </c>
      <c r="I55" s="42">
        <f>I58+I56</f>
        <v>0</v>
      </c>
      <c r="J55" s="42">
        <f>J58+J56</f>
        <v>0</v>
      </c>
      <c r="K55" s="225">
        <v>0</v>
      </c>
      <c r="L55" s="114"/>
      <c r="M55" s="42">
        <f>M58+M56</f>
        <v>254470</v>
      </c>
      <c r="N55" s="42">
        <f>N58+N56</f>
        <v>0</v>
      </c>
      <c r="O55" s="225">
        <f t="shared" si="0"/>
        <v>0</v>
      </c>
      <c r="P55" s="114"/>
      <c r="Q55" s="42">
        <f t="shared" si="8"/>
        <v>254470</v>
      </c>
      <c r="R55" s="42">
        <f t="shared" si="2"/>
        <v>0</v>
      </c>
      <c r="S55" s="215">
        <f t="shared" si="5"/>
        <v>0</v>
      </c>
    </row>
    <row r="56" spans="2:20" x14ac:dyDescent="0.2">
      <c r="B56" s="231">
        <f t="shared" si="10"/>
        <v>50</v>
      </c>
      <c r="C56" s="2"/>
      <c r="D56" s="2"/>
      <c r="E56" s="2"/>
      <c r="F56" s="77" t="s">
        <v>73</v>
      </c>
      <c r="G56" s="78">
        <v>716</v>
      </c>
      <c r="H56" s="78" t="s">
        <v>0</v>
      </c>
      <c r="I56" s="79"/>
      <c r="J56" s="79"/>
      <c r="K56" s="225">
        <v>0</v>
      </c>
      <c r="L56" s="68"/>
      <c r="M56" s="79">
        <f>M57</f>
        <v>28220</v>
      </c>
      <c r="N56" s="79">
        <f>N57</f>
        <v>0</v>
      </c>
      <c r="O56" s="225">
        <f t="shared" si="0"/>
        <v>0</v>
      </c>
      <c r="P56" s="68"/>
      <c r="Q56" s="79">
        <f t="shared" si="8"/>
        <v>28220</v>
      </c>
      <c r="R56" s="79">
        <f t="shared" si="2"/>
        <v>0</v>
      </c>
      <c r="S56" s="215">
        <f t="shared" si="5"/>
        <v>0</v>
      </c>
    </row>
    <row r="57" spans="2:20" x14ac:dyDescent="0.2">
      <c r="B57" s="231">
        <f t="shared" si="10"/>
        <v>51</v>
      </c>
      <c r="C57" s="2"/>
      <c r="D57" s="2"/>
      <c r="E57" s="2"/>
      <c r="F57" s="46"/>
      <c r="G57" s="2"/>
      <c r="H57" s="2" t="s">
        <v>468</v>
      </c>
      <c r="I57" s="22"/>
      <c r="J57" s="22"/>
      <c r="K57" s="225">
        <v>0</v>
      </c>
      <c r="L57" s="68"/>
      <c r="M57" s="22">
        <f>48000-10800-28980+20000</f>
        <v>28220</v>
      </c>
      <c r="N57" s="22">
        <v>0</v>
      </c>
      <c r="O57" s="225">
        <f t="shared" si="0"/>
        <v>0</v>
      </c>
      <c r="P57" s="68"/>
      <c r="Q57" s="22">
        <f t="shared" si="8"/>
        <v>28220</v>
      </c>
      <c r="R57" s="22">
        <f t="shared" si="2"/>
        <v>0</v>
      </c>
      <c r="S57" s="215">
        <f t="shared" si="5"/>
        <v>0</v>
      </c>
    </row>
    <row r="58" spans="2:20" x14ac:dyDescent="0.2">
      <c r="B58" s="231">
        <f t="shared" si="10"/>
        <v>52</v>
      </c>
      <c r="C58" s="2"/>
      <c r="D58" s="2"/>
      <c r="E58" s="2"/>
      <c r="F58" s="77" t="s">
        <v>73</v>
      </c>
      <c r="G58" s="78">
        <v>717</v>
      </c>
      <c r="H58" s="78" t="s">
        <v>193</v>
      </c>
      <c r="I58" s="79"/>
      <c r="J58" s="79"/>
      <c r="K58" s="225">
        <v>0</v>
      </c>
      <c r="L58" s="68"/>
      <c r="M58" s="79">
        <f>SUM(M59:M64)</f>
        <v>226250</v>
      </c>
      <c r="N58" s="79">
        <f>SUM(N59:N64)</f>
        <v>0</v>
      </c>
      <c r="O58" s="225">
        <f t="shared" si="0"/>
        <v>0</v>
      </c>
      <c r="P58" s="68"/>
      <c r="Q58" s="79">
        <f t="shared" si="8"/>
        <v>226250</v>
      </c>
      <c r="R58" s="79">
        <f t="shared" si="2"/>
        <v>0</v>
      </c>
      <c r="S58" s="215">
        <f t="shared" si="5"/>
        <v>0</v>
      </c>
    </row>
    <row r="59" spans="2:20" x14ac:dyDescent="0.2">
      <c r="B59" s="231">
        <f t="shared" si="10"/>
        <v>53</v>
      </c>
      <c r="C59" s="2"/>
      <c r="D59" s="2"/>
      <c r="E59" s="2"/>
      <c r="F59" s="46"/>
      <c r="G59" s="2"/>
      <c r="H59" s="2" t="s">
        <v>469</v>
      </c>
      <c r="I59" s="22"/>
      <c r="J59" s="22"/>
      <c r="K59" s="225">
        <v>0</v>
      </c>
      <c r="L59" s="68"/>
      <c r="M59" s="22">
        <f>150000+55000-33000</f>
        <v>172000</v>
      </c>
      <c r="N59" s="22">
        <v>0</v>
      </c>
      <c r="O59" s="225">
        <f t="shared" si="0"/>
        <v>0</v>
      </c>
      <c r="P59" s="68"/>
      <c r="Q59" s="22">
        <f t="shared" si="8"/>
        <v>172000</v>
      </c>
      <c r="R59" s="22">
        <f t="shared" si="2"/>
        <v>0</v>
      </c>
      <c r="S59" s="215">
        <f t="shared" si="5"/>
        <v>0</v>
      </c>
    </row>
    <row r="60" spans="2:20" x14ac:dyDescent="0.2">
      <c r="B60" s="231">
        <f t="shared" si="10"/>
        <v>54</v>
      </c>
      <c r="C60" s="2"/>
      <c r="D60" s="2"/>
      <c r="E60" s="2"/>
      <c r="F60" s="46"/>
      <c r="G60" s="2"/>
      <c r="H60" s="233" t="s">
        <v>332</v>
      </c>
      <c r="I60" s="129"/>
      <c r="J60" s="129"/>
      <c r="K60" s="225">
        <v>0</v>
      </c>
      <c r="L60" s="68"/>
      <c r="M60" s="129">
        <f>100000-85650-3000-2500</f>
        <v>8850</v>
      </c>
      <c r="N60" s="129">
        <v>0</v>
      </c>
      <c r="O60" s="225">
        <f t="shared" si="0"/>
        <v>0</v>
      </c>
      <c r="P60" s="68"/>
      <c r="Q60" s="129">
        <f t="shared" si="8"/>
        <v>8850</v>
      </c>
      <c r="R60" s="129">
        <f t="shared" si="2"/>
        <v>0</v>
      </c>
      <c r="S60" s="215">
        <f t="shared" si="5"/>
        <v>0</v>
      </c>
    </row>
    <row r="61" spans="2:20" x14ac:dyDescent="0.2">
      <c r="B61" s="231">
        <f t="shared" si="10"/>
        <v>55</v>
      </c>
      <c r="C61" s="2"/>
      <c r="D61" s="2"/>
      <c r="E61" s="2"/>
      <c r="F61" s="46"/>
      <c r="G61" s="2"/>
      <c r="H61" s="234" t="s">
        <v>333</v>
      </c>
      <c r="I61" s="123"/>
      <c r="J61" s="123"/>
      <c r="K61" s="225">
        <v>0</v>
      </c>
      <c r="L61" s="68"/>
      <c r="M61" s="123">
        <f>100000-98600</f>
        <v>1400</v>
      </c>
      <c r="N61" s="123">
        <v>0</v>
      </c>
      <c r="O61" s="225">
        <f t="shared" si="0"/>
        <v>0</v>
      </c>
      <c r="P61" s="68"/>
      <c r="Q61" s="123">
        <f t="shared" si="8"/>
        <v>1400</v>
      </c>
      <c r="R61" s="123">
        <f t="shared" si="2"/>
        <v>0</v>
      </c>
      <c r="S61" s="215">
        <f t="shared" si="5"/>
        <v>0</v>
      </c>
    </row>
    <row r="62" spans="2:20" x14ac:dyDescent="0.2">
      <c r="B62" s="231">
        <f t="shared" si="10"/>
        <v>56</v>
      </c>
      <c r="C62" s="2"/>
      <c r="D62" s="2"/>
      <c r="E62" s="2"/>
      <c r="F62" s="46"/>
      <c r="G62" s="2"/>
      <c r="H62" s="235" t="s">
        <v>334</v>
      </c>
      <c r="I62" s="124"/>
      <c r="J62" s="124"/>
      <c r="K62" s="225">
        <v>0</v>
      </c>
      <c r="L62" s="68"/>
      <c r="M62" s="124">
        <f>100000-100000</f>
        <v>0</v>
      </c>
      <c r="N62" s="124">
        <v>0</v>
      </c>
      <c r="O62" s="225"/>
      <c r="P62" s="68"/>
      <c r="Q62" s="124">
        <f t="shared" si="8"/>
        <v>0</v>
      </c>
      <c r="R62" s="124">
        <f t="shared" si="2"/>
        <v>0</v>
      </c>
      <c r="S62" s="215">
        <v>0</v>
      </c>
    </row>
    <row r="63" spans="2:20" x14ac:dyDescent="0.2">
      <c r="B63" s="231">
        <f t="shared" si="10"/>
        <v>57</v>
      </c>
      <c r="C63" s="2"/>
      <c r="D63" s="2"/>
      <c r="E63" s="2"/>
      <c r="F63" s="46"/>
      <c r="G63" s="2"/>
      <c r="H63" s="236" t="s">
        <v>335</v>
      </c>
      <c r="I63" s="115"/>
      <c r="J63" s="115"/>
      <c r="K63" s="225">
        <v>0</v>
      </c>
      <c r="L63" s="68"/>
      <c r="M63" s="115">
        <f>100000-100000+150000-150000</f>
        <v>0</v>
      </c>
      <c r="N63" s="115">
        <v>0</v>
      </c>
      <c r="O63" s="225"/>
      <c r="P63" s="68"/>
      <c r="Q63" s="115">
        <f t="shared" si="8"/>
        <v>0</v>
      </c>
      <c r="R63" s="115">
        <f t="shared" si="2"/>
        <v>0</v>
      </c>
      <c r="S63" s="215">
        <v>0</v>
      </c>
      <c r="T63" s="17"/>
    </row>
    <row r="64" spans="2:20" x14ac:dyDescent="0.2">
      <c r="B64" s="231">
        <f t="shared" si="10"/>
        <v>58</v>
      </c>
      <c r="C64" s="2"/>
      <c r="D64" s="2"/>
      <c r="E64" s="2"/>
      <c r="F64" s="46"/>
      <c r="G64" s="2"/>
      <c r="H64" s="237" t="s">
        <v>336</v>
      </c>
      <c r="I64" s="22"/>
      <c r="J64" s="22"/>
      <c r="K64" s="225">
        <v>0</v>
      </c>
      <c r="L64" s="68"/>
      <c r="M64" s="22">
        <f>55000-11000</f>
        <v>44000</v>
      </c>
      <c r="N64" s="22"/>
      <c r="O64" s="225">
        <f t="shared" si="0"/>
        <v>0</v>
      </c>
      <c r="P64" s="68"/>
      <c r="Q64" s="22">
        <f t="shared" si="8"/>
        <v>44000</v>
      </c>
      <c r="R64" s="22">
        <f t="shared" si="2"/>
        <v>0</v>
      </c>
      <c r="S64" s="215">
        <f t="shared" si="5"/>
        <v>0</v>
      </c>
    </row>
    <row r="65" spans="2:19" ht="15" x14ac:dyDescent="0.2">
      <c r="B65" s="231">
        <f t="shared" si="10"/>
        <v>59</v>
      </c>
      <c r="C65" s="205">
        <v>4</v>
      </c>
      <c r="D65" s="302" t="s">
        <v>472</v>
      </c>
      <c r="E65" s="303"/>
      <c r="F65" s="303"/>
      <c r="G65" s="303"/>
      <c r="H65" s="303"/>
      <c r="I65" s="38">
        <v>0</v>
      </c>
      <c r="J65" s="38">
        <v>0</v>
      </c>
      <c r="K65" s="225">
        <v>0</v>
      </c>
      <c r="L65" s="173"/>
      <c r="M65" s="38">
        <f t="shared" ref="M65:N68" si="11">M66+M67</f>
        <v>0</v>
      </c>
      <c r="N65" s="38">
        <f t="shared" si="11"/>
        <v>0</v>
      </c>
      <c r="O65" s="225"/>
      <c r="P65" s="173"/>
      <c r="Q65" s="38">
        <f t="shared" si="8"/>
        <v>0</v>
      </c>
      <c r="R65" s="38">
        <f t="shared" si="2"/>
        <v>0</v>
      </c>
      <c r="S65" s="230">
        <v>0</v>
      </c>
    </row>
    <row r="66" spans="2:19" ht="15" x14ac:dyDescent="0.2">
      <c r="B66" s="231">
        <f t="shared" si="10"/>
        <v>60</v>
      </c>
      <c r="C66" s="205">
        <v>5</v>
      </c>
      <c r="D66" s="302" t="s">
        <v>473</v>
      </c>
      <c r="E66" s="303"/>
      <c r="F66" s="303"/>
      <c r="G66" s="303"/>
      <c r="H66" s="303"/>
      <c r="I66" s="38">
        <v>0</v>
      </c>
      <c r="J66" s="38">
        <v>0</v>
      </c>
      <c r="K66" s="225">
        <v>0</v>
      </c>
      <c r="L66" s="173"/>
      <c r="M66" s="38">
        <f t="shared" si="11"/>
        <v>0</v>
      </c>
      <c r="N66" s="38">
        <f t="shared" si="11"/>
        <v>0</v>
      </c>
      <c r="O66" s="225"/>
      <c r="P66" s="173"/>
      <c r="Q66" s="38">
        <f t="shared" si="8"/>
        <v>0</v>
      </c>
      <c r="R66" s="38">
        <f t="shared" si="2"/>
        <v>0</v>
      </c>
      <c r="S66" s="230">
        <v>0</v>
      </c>
    </row>
    <row r="67" spans="2:19" ht="15" x14ac:dyDescent="0.2">
      <c r="B67" s="231">
        <f t="shared" si="10"/>
        <v>61</v>
      </c>
      <c r="C67" s="205">
        <v>6</v>
      </c>
      <c r="D67" s="302" t="s">
        <v>474</v>
      </c>
      <c r="E67" s="303"/>
      <c r="F67" s="303"/>
      <c r="G67" s="303"/>
      <c r="H67" s="303"/>
      <c r="I67" s="38">
        <v>0</v>
      </c>
      <c r="J67" s="38">
        <v>0</v>
      </c>
      <c r="K67" s="225">
        <v>0</v>
      </c>
      <c r="L67" s="173"/>
      <c r="M67" s="38">
        <f t="shared" si="11"/>
        <v>0</v>
      </c>
      <c r="N67" s="38">
        <f t="shared" si="11"/>
        <v>0</v>
      </c>
      <c r="O67" s="225"/>
      <c r="P67" s="173"/>
      <c r="Q67" s="38">
        <f t="shared" si="8"/>
        <v>0</v>
      </c>
      <c r="R67" s="38">
        <f t="shared" si="2"/>
        <v>0</v>
      </c>
      <c r="S67" s="230">
        <v>0</v>
      </c>
    </row>
    <row r="68" spans="2:19" ht="15" x14ac:dyDescent="0.2">
      <c r="B68" s="231">
        <f t="shared" si="10"/>
        <v>62</v>
      </c>
      <c r="C68" s="205">
        <v>7</v>
      </c>
      <c r="D68" s="302" t="s">
        <v>35</v>
      </c>
      <c r="E68" s="303"/>
      <c r="F68" s="303"/>
      <c r="G68" s="303"/>
      <c r="H68" s="303"/>
      <c r="I68" s="38">
        <f>I69+I70</f>
        <v>70310</v>
      </c>
      <c r="J68" s="38">
        <f>J69+J70</f>
        <v>20738</v>
      </c>
      <c r="K68" s="225">
        <f t="shared" si="4"/>
        <v>29.495093158867867</v>
      </c>
      <c r="L68" s="173"/>
      <c r="M68" s="38">
        <f t="shared" si="11"/>
        <v>0</v>
      </c>
      <c r="N68" s="38">
        <f t="shared" si="11"/>
        <v>0</v>
      </c>
      <c r="O68" s="225"/>
      <c r="P68" s="173"/>
      <c r="Q68" s="38">
        <f t="shared" si="8"/>
        <v>70310</v>
      </c>
      <c r="R68" s="38">
        <f t="shared" si="2"/>
        <v>20738</v>
      </c>
      <c r="S68" s="230">
        <f t="shared" si="5"/>
        <v>29.495093158867867</v>
      </c>
    </row>
    <row r="69" spans="2:19" x14ac:dyDescent="0.2">
      <c r="B69" s="231">
        <f t="shared" si="10"/>
        <v>63</v>
      </c>
      <c r="C69" s="11"/>
      <c r="D69" s="11"/>
      <c r="E69" s="11"/>
      <c r="F69" s="45" t="s">
        <v>73</v>
      </c>
      <c r="G69" s="11">
        <v>620</v>
      </c>
      <c r="H69" s="11" t="s">
        <v>130</v>
      </c>
      <c r="I69" s="42">
        <f>6600+960</f>
        <v>7560</v>
      </c>
      <c r="J69" s="42">
        <v>390</v>
      </c>
      <c r="K69" s="225">
        <f t="shared" si="4"/>
        <v>5.1587301587301582</v>
      </c>
      <c r="L69" s="114"/>
      <c r="M69" s="42"/>
      <c r="N69" s="42"/>
      <c r="O69" s="225"/>
      <c r="P69" s="114"/>
      <c r="Q69" s="42">
        <f t="shared" si="8"/>
        <v>7560</v>
      </c>
      <c r="R69" s="42">
        <f t="shared" si="2"/>
        <v>390</v>
      </c>
      <c r="S69" s="215">
        <f t="shared" si="5"/>
        <v>5.1587301587301582</v>
      </c>
    </row>
    <row r="70" spans="2:19" x14ac:dyDescent="0.2">
      <c r="B70" s="231">
        <f t="shared" si="10"/>
        <v>64</v>
      </c>
      <c r="C70" s="11"/>
      <c r="D70" s="11"/>
      <c r="E70" s="11"/>
      <c r="F70" s="45" t="s">
        <v>73</v>
      </c>
      <c r="G70" s="11">
        <v>630</v>
      </c>
      <c r="H70" s="11" t="s">
        <v>127</v>
      </c>
      <c r="I70" s="42">
        <f>SUM(I71:I73)</f>
        <v>62750</v>
      </c>
      <c r="J70" s="42">
        <f>SUM(J71:J73)</f>
        <v>20348</v>
      </c>
      <c r="K70" s="225">
        <f t="shared" si="4"/>
        <v>32.427091633466141</v>
      </c>
      <c r="L70" s="114"/>
      <c r="M70" s="42">
        <f>SUM(M71:M73)</f>
        <v>0</v>
      </c>
      <c r="N70" s="42">
        <f>SUM(N71:N73)</f>
        <v>0</v>
      </c>
      <c r="O70" s="225"/>
      <c r="P70" s="114"/>
      <c r="Q70" s="42">
        <f t="shared" si="8"/>
        <v>62750</v>
      </c>
      <c r="R70" s="42">
        <f t="shared" si="2"/>
        <v>20348</v>
      </c>
      <c r="S70" s="215">
        <f t="shared" si="5"/>
        <v>32.427091633466141</v>
      </c>
    </row>
    <row r="71" spans="2:19" x14ac:dyDescent="0.2">
      <c r="B71" s="231">
        <f t="shared" si="10"/>
        <v>65</v>
      </c>
      <c r="C71" s="2"/>
      <c r="D71" s="2"/>
      <c r="E71" s="2"/>
      <c r="F71" s="46" t="s">
        <v>73</v>
      </c>
      <c r="G71" s="2">
        <v>632</v>
      </c>
      <c r="H71" s="2" t="s">
        <v>138</v>
      </c>
      <c r="I71" s="22">
        <v>20000</v>
      </c>
      <c r="J71" s="22">
        <v>6120</v>
      </c>
      <c r="K71" s="225">
        <f t="shared" si="4"/>
        <v>30.599999999999998</v>
      </c>
      <c r="L71" s="68"/>
      <c r="M71" s="22"/>
      <c r="N71" s="22"/>
      <c r="O71" s="225"/>
      <c r="P71" s="68"/>
      <c r="Q71" s="22">
        <f t="shared" si="8"/>
        <v>20000</v>
      </c>
      <c r="R71" s="22">
        <f t="shared" ref="R71:R76" si="12">N71+J71</f>
        <v>6120</v>
      </c>
      <c r="S71" s="215">
        <f t="shared" si="5"/>
        <v>30.599999999999998</v>
      </c>
    </row>
    <row r="72" spans="2:19" x14ac:dyDescent="0.2">
      <c r="B72" s="231">
        <f t="shared" si="10"/>
        <v>66</v>
      </c>
      <c r="C72" s="2"/>
      <c r="D72" s="2"/>
      <c r="E72" s="2"/>
      <c r="F72" s="46" t="s">
        <v>73</v>
      </c>
      <c r="G72" s="2">
        <v>633</v>
      </c>
      <c r="H72" s="2" t="s">
        <v>131</v>
      </c>
      <c r="I72" s="22">
        <v>5500</v>
      </c>
      <c r="J72" s="22">
        <v>999</v>
      </c>
      <c r="K72" s="225">
        <f t="shared" ref="K72:K76" si="13">J72/I72*100</f>
        <v>18.163636363636364</v>
      </c>
      <c r="L72" s="68"/>
      <c r="M72" s="22"/>
      <c r="N72" s="22"/>
      <c r="O72" s="225"/>
      <c r="P72" s="68"/>
      <c r="Q72" s="22">
        <f t="shared" si="8"/>
        <v>5500</v>
      </c>
      <c r="R72" s="22">
        <f t="shared" si="12"/>
        <v>999</v>
      </c>
      <c r="S72" s="215">
        <f t="shared" si="5"/>
        <v>18.163636363636364</v>
      </c>
    </row>
    <row r="73" spans="2:19" x14ac:dyDescent="0.2">
      <c r="B73" s="231">
        <f t="shared" si="10"/>
        <v>67</v>
      </c>
      <c r="C73" s="2"/>
      <c r="D73" s="2"/>
      <c r="E73" s="2"/>
      <c r="F73" s="46" t="s">
        <v>73</v>
      </c>
      <c r="G73" s="2">
        <v>637</v>
      </c>
      <c r="H73" s="2" t="s">
        <v>128</v>
      </c>
      <c r="I73" s="22">
        <f>20000+6000+8500+2750</f>
        <v>37250</v>
      </c>
      <c r="J73" s="22">
        <v>13229</v>
      </c>
      <c r="K73" s="225">
        <f t="shared" si="13"/>
        <v>35.514093959731547</v>
      </c>
      <c r="L73" s="68"/>
      <c r="M73" s="22"/>
      <c r="N73" s="22"/>
      <c r="O73" s="225"/>
      <c r="P73" s="68"/>
      <c r="Q73" s="22">
        <f>M73+I73</f>
        <v>37250</v>
      </c>
      <c r="R73" s="22">
        <f t="shared" si="12"/>
        <v>13229</v>
      </c>
      <c r="S73" s="215">
        <f t="shared" ref="S73:S76" si="14">R73/Q73*100</f>
        <v>35.514093959731547</v>
      </c>
    </row>
    <row r="74" spans="2:19" ht="15" x14ac:dyDescent="0.2">
      <c r="B74" s="231">
        <f t="shared" si="10"/>
        <v>68</v>
      </c>
      <c r="C74" s="205">
        <v>8</v>
      </c>
      <c r="D74" s="302" t="s">
        <v>231</v>
      </c>
      <c r="E74" s="303"/>
      <c r="F74" s="303"/>
      <c r="G74" s="303"/>
      <c r="H74" s="303"/>
      <c r="I74" s="38">
        <f>I75</f>
        <v>16000</v>
      </c>
      <c r="J74" s="38">
        <f>J75</f>
        <v>14976</v>
      </c>
      <c r="K74" s="225">
        <f t="shared" si="13"/>
        <v>93.600000000000009</v>
      </c>
      <c r="L74" s="173"/>
      <c r="M74" s="38">
        <f>M75</f>
        <v>0</v>
      </c>
      <c r="N74" s="38">
        <f>N75</f>
        <v>0</v>
      </c>
      <c r="O74" s="225"/>
      <c r="P74" s="173"/>
      <c r="Q74" s="38">
        <f>M74+I74</f>
        <v>16000</v>
      </c>
      <c r="R74" s="38">
        <f t="shared" si="12"/>
        <v>14976</v>
      </c>
      <c r="S74" s="230">
        <f t="shared" si="14"/>
        <v>93.600000000000009</v>
      </c>
    </row>
    <row r="75" spans="2:19" x14ac:dyDescent="0.2">
      <c r="B75" s="231">
        <f t="shared" si="10"/>
        <v>69</v>
      </c>
      <c r="C75" s="11"/>
      <c r="D75" s="11"/>
      <c r="E75" s="11"/>
      <c r="F75" s="45" t="s">
        <v>149</v>
      </c>
      <c r="G75" s="11">
        <v>640</v>
      </c>
      <c r="H75" s="11" t="s">
        <v>134</v>
      </c>
      <c r="I75" s="42">
        <v>16000</v>
      </c>
      <c r="J75" s="42">
        <v>14976</v>
      </c>
      <c r="K75" s="225">
        <f t="shared" si="13"/>
        <v>93.600000000000009</v>
      </c>
      <c r="L75" s="114"/>
      <c r="M75" s="42"/>
      <c r="N75" s="42"/>
      <c r="O75" s="225"/>
      <c r="P75" s="114"/>
      <c r="Q75" s="42">
        <f>M75+I75</f>
        <v>16000</v>
      </c>
      <c r="R75" s="42">
        <f t="shared" si="12"/>
        <v>14976</v>
      </c>
      <c r="S75" s="215">
        <f t="shared" si="14"/>
        <v>93.600000000000009</v>
      </c>
    </row>
    <row r="76" spans="2:19" ht="15.75" thickBot="1" x14ac:dyDescent="0.25">
      <c r="B76" s="238">
        <f t="shared" si="10"/>
        <v>70</v>
      </c>
      <c r="C76" s="239">
        <v>9</v>
      </c>
      <c r="D76" s="304" t="s">
        <v>187</v>
      </c>
      <c r="E76" s="305"/>
      <c r="F76" s="305"/>
      <c r="G76" s="305"/>
      <c r="H76" s="305"/>
      <c r="I76" s="240">
        <v>44273</v>
      </c>
      <c r="J76" s="240">
        <v>44304</v>
      </c>
      <c r="K76" s="241">
        <f t="shared" si="13"/>
        <v>100.07002010254557</v>
      </c>
      <c r="L76" s="242"/>
      <c r="M76" s="240">
        <v>0</v>
      </c>
      <c r="N76" s="240"/>
      <c r="O76" s="241"/>
      <c r="P76" s="242"/>
      <c r="Q76" s="240">
        <f>M76+I76</f>
        <v>44273</v>
      </c>
      <c r="R76" s="240">
        <f t="shared" si="12"/>
        <v>44304</v>
      </c>
      <c r="S76" s="243">
        <f t="shared" si="14"/>
        <v>100.07002010254557</v>
      </c>
    </row>
    <row r="127" spans="2:17" ht="12.75" customHeight="1" x14ac:dyDescent="0.2"/>
    <row r="128" spans="2:17" ht="33" customHeight="1" x14ac:dyDescent="0.35">
      <c r="B128" s="306" t="s">
        <v>281</v>
      </c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</row>
    <row r="129" spans="2:19" ht="15.75" customHeight="1" x14ac:dyDescent="0.2">
      <c r="B129" s="308" t="s">
        <v>279</v>
      </c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181"/>
      <c r="O129" s="181"/>
      <c r="P129" s="182"/>
      <c r="Q129" s="310" t="s">
        <v>590</v>
      </c>
      <c r="R129" s="310" t="s">
        <v>693</v>
      </c>
      <c r="S129" s="337" t="s">
        <v>691</v>
      </c>
    </row>
    <row r="130" spans="2:19" ht="12.75" customHeight="1" x14ac:dyDescent="0.2">
      <c r="B130" s="313" t="s">
        <v>111</v>
      </c>
      <c r="C130" s="315" t="s">
        <v>119</v>
      </c>
      <c r="D130" s="315" t="s">
        <v>120</v>
      </c>
      <c r="E130" s="317" t="s">
        <v>124</v>
      </c>
      <c r="F130" s="315" t="s">
        <v>121</v>
      </c>
      <c r="G130" s="315" t="s">
        <v>122</v>
      </c>
      <c r="H130" s="320" t="s">
        <v>123</v>
      </c>
      <c r="I130" s="310" t="s">
        <v>587</v>
      </c>
      <c r="J130" s="310" t="s">
        <v>690</v>
      </c>
      <c r="K130" s="337" t="s">
        <v>691</v>
      </c>
      <c r="L130" s="169"/>
      <c r="M130" s="310" t="s">
        <v>588</v>
      </c>
      <c r="N130" s="311" t="s">
        <v>692</v>
      </c>
      <c r="O130" s="337" t="s">
        <v>691</v>
      </c>
      <c r="P130" s="170"/>
      <c r="Q130" s="311"/>
      <c r="R130" s="311"/>
      <c r="S130" s="338"/>
    </row>
    <row r="131" spans="2:19" ht="15.75" customHeight="1" x14ac:dyDescent="0.2">
      <c r="B131" s="313"/>
      <c r="C131" s="315"/>
      <c r="D131" s="315"/>
      <c r="E131" s="318"/>
      <c r="F131" s="315"/>
      <c r="G131" s="315"/>
      <c r="H131" s="320"/>
      <c r="I131" s="311"/>
      <c r="J131" s="311"/>
      <c r="K131" s="338"/>
      <c r="L131" s="170"/>
      <c r="M131" s="311"/>
      <c r="N131" s="311"/>
      <c r="O131" s="338"/>
      <c r="P131" s="170"/>
      <c r="Q131" s="311"/>
      <c r="R131" s="311"/>
      <c r="S131" s="338"/>
    </row>
    <row r="132" spans="2:19" x14ac:dyDescent="0.2">
      <c r="B132" s="313"/>
      <c r="C132" s="315"/>
      <c r="D132" s="315"/>
      <c r="E132" s="318"/>
      <c r="F132" s="315"/>
      <c r="G132" s="315"/>
      <c r="H132" s="320"/>
      <c r="I132" s="311"/>
      <c r="J132" s="311"/>
      <c r="K132" s="338"/>
      <c r="L132" s="170"/>
      <c r="M132" s="311"/>
      <c r="N132" s="311"/>
      <c r="O132" s="338"/>
      <c r="P132" s="170"/>
      <c r="Q132" s="311"/>
      <c r="R132" s="311"/>
      <c r="S132" s="338"/>
    </row>
    <row r="133" spans="2:19" ht="13.5" thickBot="1" x14ac:dyDescent="0.25">
      <c r="B133" s="314"/>
      <c r="C133" s="316"/>
      <c r="D133" s="316"/>
      <c r="E133" s="319"/>
      <c r="F133" s="316"/>
      <c r="G133" s="316"/>
      <c r="H133" s="321"/>
      <c r="I133" s="312"/>
      <c r="J133" s="312"/>
      <c r="K133" s="339"/>
      <c r="L133" s="171"/>
      <c r="M133" s="312"/>
      <c r="N133" s="312"/>
      <c r="O133" s="339"/>
      <c r="P133" s="171"/>
      <c r="Q133" s="312"/>
      <c r="R133" s="312"/>
      <c r="S133" s="339"/>
    </row>
    <row r="134" spans="2:19" ht="16.5" thickTop="1" x14ac:dyDescent="0.2">
      <c r="B134" s="66">
        <v>1</v>
      </c>
      <c r="C134" s="322" t="s">
        <v>281</v>
      </c>
      <c r="D134" s="323"/>
      <c r="E134" s="323"/>
      <c r="F134" s="323"/>
      <c r="G134" s="323"/>
      <c r="H134" s="324"/>
      <c r="I134" s="98">
        <f>I140+I135</f>
        <v>92018</v>
      </c>
      <c r="J134" s="98">
        <f>J140+J135</f>
        <v>36519</v>
      </c>
      <c r="K134" s="225">
        <f t="shared" ref="K134:K144" si="15">J134/I134*100</f>
        <v>39.68680040861571</v>
      </c>
      <c r="L134" s="172"/>
      <c r="M134" s="98">
        <f>M140+M135</f>
        <v>0</v>
      </c>
      <c r="N134" s="98"/>
      <c r="O134" s="172"/>
      <c r="P134" s="172"/>
      <c r="Q134" s="37">
        <f t="shared" ref="Q134:Q144" si="16">I134+M134</f>
        <v>92018</v>
      </c>
      <c r="R134" s="37">
        <f t="shared" ref="R134:R144" si="17">J134+N134</f>
        <v>36519</v>
      </c>
      <c r="S134" s="244">
        <f t="shared" ref="S134:S144" si="18">R134/Q134*100</f>
        <v>39.68680040861571</v>
      </c>
    </row>
    <row r="135" spans="2:19" ht="15" x14ac:dyDescent="0.2">
      <c r="B135" s="67">
        <f t="shared" ref="B135:B144" si="19">B134+1</f>
        <v>2</v>
      </c>
      <c r="C135" s="166">
        <v>1</v>
      </c>
      <c r="D135" s="325" t="s">
        <v>207</v>
      </c>
      <c r="E135" s="326"/>
      <c r="F135" s="326"/>
      <c r="G135" s="326"/>
      <c r="H135" s="327"/>
      <c r="I135" s="38">
        <f>I136</f>
        <v>60500</v>
      </c>
      <c r="J135" s="38">
        <f>J136</f>
        <v>11088</v>
      </c>
      <c r="K135" s="225">
        <f t="shared" si="15"/>
        <v>18.327272727272728</v>
      </c>
      <c r="L135" s="173"/>
      <c r="M135" s="38">
        <f>M136</f>
        <v>0</v>
      </c>
      <c r="N135" s="38"/>
      <c r="O135" s="173"/>
      <c r="P135" s="173"/>
      <c r="Q135" s="38">
        <f t="shared" si="16"/>
        <v>60500</v>
      </c>
      <c r="R135" s="38">
        <f t="shared" si="17"/>
        <v>11088</v>
      </c>
      <c r="S135" s="244">
        <f t="shared" si="18"/>
        <v>18.327272727272728</v>
      </c>
    </row>
    <row r="136" spans="2:19" x14ac:dyDescent="0.2">
      <c r="B136" s="67">
        <f t="shared" si="19"/>
        <v>3</v>
      </c>
      <c r="C136" s="11"/>
      <c r="D136" s="11"/>
      <c r="E136" s="11"/>
      <c r="F136" s="45"/>
      <c r="G136" s="11">
        <v>630</v>
      </c>
      <c r="H136" s="11" t="s">
        <v>127</v>
      </c>
      <c r="I136" s="42">
        <f>SUM(I137:I139)</f>
        <v>60500</v>
      </c>
      <c r="J136" s="42">
        <f>SUM(J137:J139)</f>
        <v>11088</v>
      </c>
      <c r="K136" s="225">
        <f t="shared" si="15"/>
        <v>18.327272727272728</v>
      </c>
      <c r="L136" s="114"/>
      <c r="M136" s="42">
        <f>SUM(M137:M139)</f>
        <v>0</v>
      </c>
      <c r="N136" s="42"/>
      <c r="O136" s="114"/>
      <c r="P136" s="114"/>
      <c r="Q136" s="42">
        <f t="shared" si="16"/>
        <v>60500</v>
      </c>
      <c r="R136" s="42">
        <f t="shared" si="17"/>
        <v>11088</v>
      </c>
      <c r="S136" s="244">
        <f t="shared" si="18"/>
        <v>18.327272727272728</v>
      </c>
    </row>
    <row r="137" spans="2:19" x14ac:dyDescent="0.2">
      <c r="B137" s="67">
        <f t="shared" si="19"/>
        <v>4</v>
      </c>
      <c r="C137" s="2"/>
      <c r="D137" s="2"/>
      <c r="E137" s="2"/>
      <c r="F137" s="57" t="s">
        <v>32</v>
      </c>
      <c r="G137" s="53">
        <v>637</v>
      </c>
      <c r="H137" s="53" t="s">
        <v>486</v>
      </c>
      <c r="I137" s="51">
        <v>8500</v>
      </c>
      <c r="J137" s="51">
        <v>0</v>
      </c>
      <c r="K137" s="225">
        <f t="shared" si="15"/>
        <v>0</v>
      </c>
      <c r="L137" s="68"/>
      <c r="M137" s="22"/>
      <c r="N137" s="22"/>
      <c r="O137" s="68"/>
      <c r="P137" s="68"/>
      <c r="Q137" s="22">
        <f t="shared" si="16"/>
        <v>8500</v>
      </c>
      <c r="R137" s="22">
        <f t="shared" si="17"/>
        <v>0</v>
      </c>
      <c r="S137" s="244">
        <f t="shared" si="18"/>
        <v>0</v>
      </c>
    </row>
    <row r="138" spans="2:19" x14ac:dyDescent="0.2">
      <c r="B138" s="67">
        <f t="shared" si="19"/>
        <v>5</v>
      </c>
      <c r="C138" s="2"/>
      <c r="D138" s="2"/>
      <c r="E138" s="2"/>
      <c r="F138" s="57" t="s">
        <v>73</v>
      </c>
      <c r="G138" s="53">
        <v>637</v>
      </c>
      <c r="H138" s="53" t="s">
        <v>487</v>
      </c>
      <c r="I138" s="51">
        <f>20000-5000+7000</f>
        <v>22000</v>
      </c>
      <c r="J138" s="51">
        <v>4464</v>
      </c>
      <c r="K138" s="225">
        <f t="shared" si="15"/>
        <v>20.290909090909089</v>
      </c>
      <c r="L138" s="68"/>
      <c r="M138" s="22"/>
      <c r="N138" s="22"/>
      <c r="O138" s="68"/>
      <c r="P138" s="68"/>
      <c r="Q138" s="22">
        <f t="shared" si="16"/>
        <v>22000</v>
      </c>
      <c r="R138" s="22">
        <f t="shared" si="17"/>
        <v>4464</v>
      </c>
      <c r="S138" s="244">
        <f t="shared" si="18"/>
        <v>20.290909090909089</v>
      </c>
    </row>
    <row r="139" spans="2:19" x14ac:dyDescent="0.2">
      <c r="B139" s="67">
        <f t="shared" si="19"/>
        <v>6</v>
      </c>
      <c r="C139" s="2"/>
      <c r="D139" s="48"/>
      <c r="E139" s="2"/>
      <c r="F139" s="49" t="s">
        <v>2</v>
      </c>
      <c r="G139" s="2">
        <v>637</v>
      </c>
      <c r="H139" s="29" t="s">
        <v>423</v>
      </c>
      <c r="I139" s="22">
        <f>23000+5000+2000</f>
        <v>30000</v>
      </c>
      <c r="J139" s="22">
        <v>6624</v>
      </c>
      <c r="K139" s="225">
        <f t="shared" si="15"/>
        <v>22.08</v>
      </c>
      <c r="L139" s="68"/>
      <c r="M139" s="22"/>
      <c r="N139" s="22"/>
      <c r="O139" s="68"/>
      <c r="P139" s="68"/>
      <c r="Q139" s="22">
        <f t="shared" si="16"/>
        <v>30000</v>
      </c>
      <c r="R139" s="22">
        <f t="shared" si="17"/>
        <v>6624</v>
      </c>
      <c r="S139" s="244">
        <f t="shared" si="18"/>
        <v>22.08</v>
      </c>
    </row>
    <row r="140" spans="2:19" ht="15" x14ac:dyDescent="0.2">
      <c r="B140" s="67">
        <f t="shared" si="19"/>
        <v>7</v>
      </c>
      <c r="C140" s="166">
        <v>2</v>
      </c>
      <c r="D140" s="325" t="s">
        <v>33</v>
      </c>
      <c r="E140" s="326"/>
      <c r="F140" s="326"/>
      <c r="G140" s="326"/>
      <c r="H140" s="327"/>
      <c r="I140" s="38">
        <f>I141+I143</f>
        <v>31518</v>
      </c>
      <c r="J140" s="38">
        <f>J141+J143</f>
        <v>25431</v>
      </c>
      <c r="K140" s="225">
        <f t="shared" si="15"/>
        <v>80.687226346849414</v>
      </c>
      <c r="L140" s="173"/>
      <c r="M140" s="38">
        <f>M141</f>
        <v>0</v>
      </c>
      <c r="N140" s="38"/>
      <c r="O140" s="173"/>
      <c r="P140" s="173"/>
      <c r="Q140" s="38">
        <f t="shared" si="16"/>
        <v>31518</v>
      </c>
      <c r="R140" s="38">
        <f t="shared" si="17"/>
        <v>25431</v>
      </c>
      <c r="S140" s="244">
        <f t="shared" si="18"/>
        <v>80.687226346849414</v>
      </c>
    </row>
    <row r="141" spans="2:19" x14ac:dyDescent="0.2">
      <c r="B141" s="67">
        <f t="shared" si="19"/>
        <v>8</v>
      </c>
      <c r="C141" s="11"/>
      <c r="D141" s="11"/>
      <c r="E141" s="11"/>
      <c r="F141" s="45" t="s">
        <v>32</v>
      </c>
      <c r="G141" s="11">
        <v>630</v>
      </c>
      <c r="H141" s="11" t="s">
        <v>127</v>
      </c>
      <c r="I141" s="42">
        <f>I142</f>
        <v>8000</v>
      </c>
      <c r="J141" s="42">
        <f>J142</f>
        <v>1913</v>
      </c>
      <c r="K141" s="225">
        <f t="shared" si="15"/>
        <v>23.912500000000001</v>
      </c>
      <c r="L141" s="114"/>
      <c r="M141" s="42">
        <f>M142</f>
        <v>0</v>
      </c>
      <c r="N141" s="42"/>
      <c r="O141" s="114"/>
      <c r="P141" s="114"/>
      <c r="Q141" s="42">
        <f t="shared" si="16"/>
        <v>8000</v>
      </c>
      <c r="R141" s="42">
        <f t="shared" si="17"/>
        <v>1913</v>
      </c>
      <c r="S141" s="244">
        <f t="shared" si="18"/>
        <v>23.912500000000001</v>
      </c>
    </row>
    <row r="142" spans="2:19" x14ac:dyDescent="0.2">
      <c r="B142" s="67">
        <f t="shared" si="19"/>
        <v>9</v>
      </c>
      <c r="C142" s="2"/>
      <c r="D142" s="2"/>
      <c r="E142" s="2"/>
      <c r="F142" s="46" t="s">
        <v>32</v>
      </c>
      <c r="G142" s="2">
        <v>637</v>
      </c>
      <c r="H142" s="2" t="s">
        <v>128</v>
      </c>
      <c r="I142" s="22">
        <v>8000</v>
      </c>
      <c r="J142" s="22">
        <v>1913</v>
      </c>
      <c r="K142" s="225">
        <f t="shared" si="15"/>
        <v>23.912500000000001</v>
      </c>
      <c r="L142" s="68"/>
      <c r="M142" s="22"/>
      <c r="N142" s="22"/>
      <c r="O142" s="68"/>
      <c r="P142" s="68"/>
      <c r="Q142" s="22">
        <f t="shared" si="16"/>
        <v>8000</v>
      </c>
      <c r="R142" s="22">
        <f t="shared" si="17"/>
        <v>1913</v>
      </c>
      <c r="S142" s="244">
        <f t="shared" si="18"/>
        <v>23.912500000000001</v>
      </c>
    </row>
    <row r="143" spans="2:19" x14ac:dyDescent="0.2">
      <c r="B143" s="67">
        <f t="shared" si="19"/>
        <v>10</v>
      </c>
      <c r="C143" s="2"/>
      <c r="D143" s="2"/>
      <c r="E143" s="2"/>
      <c r="F143" s="94" t="s">
        <v>32</v>
      </c>
      <c r="G143" s="1">
        <v>640</v>
      </c>
      <c r="H143" s="1" t="s">
        <v>134</v>
      </c>
      <c r="I143" s="21">
        <f>I144</f>
        <v>23518</v>
      </c>
      <c r="J143" s="21">
        <f>J144</f>
        <v>23518</v>
      </c>
      <c r="K143" s="225">
        <f t="shared" si="15"/>
        <v>100</v>
      </c>
      <c r="L143" s="114"/>
      <c r="M143" s="21"/>
      <c r="N143" s="21"/>
      <c r="O143" s="114"/>
      <c r="P143" s="114"/>
      <c r="Q143" s="21">
        <f t="shared" si="16"/>
        <v>23518</v>
      </c>
      <c r="R143" s="21">
        <f t="shared" si="17"/>
        <v>23518</v>
      </c>
      <c r="S143" s="244">
        <f t="shared" si="18"/>
        <v>100</v>
      </c>
    </row>
    <row r="144" spans="2:19" x14ac:dyDescent="0.2">
      <c r="B144" s="67">
        <f t="shared" si="19"/>
        <v>11</v>
      </c>
      <c r="C144" s="2"/>
      <c r="D144" s="2"/>
      <c r="E144" s="2"/>
      <c r="F144" s="46"/>
      <c r="G144" s="2"/>
      <c r="H144" s="2" t="s">
        <v>425</v>
      </c>
      <c r="I144" s="22">
        <f>19000+15000-9700-5300+4518</f>
        <v>23518</v>
      </c>
      <c r="J144" s="22">
        <v>23518</v>
      </c>
      <c r="K144" s="225">
        <f t="shared" si="15"/>
        <v>100</v>
      </c>
      <c r="L144" s="68"/>
      <c r="M144" s="22"/>
      <c r="N144" s="22"/>
      <c r="O144" s="68"/>
      <c r="P144" s="68"/>
      <c r="Q144" s="22">
        <f t="shared" si="16"/>
        <v>23518</v>
      </c>
      <c r="R144" s="22">
        <f t="shared" si="17"/>
        <v>23518</v>
      </c>
      <c r="S144" s="244">
        <f t="shared" si="18"/>
        <v>100</v>
      </c>
    </row>
    <row r="193" spans="2:19" ht="27" x14ac:dyDescent="0.35">
      <c r="B193" s="306" t="s">
        <v>282</v>
      </c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</row>
    <row r="194" spans="2:19" ht="12.75" customHeight="1" x14ac:dyDescent="0.2">
      <c r="B194" s="308" t="s">
        <v>279</v>
      </c>
      <c r="C194" s="309"/>
      <c r="D194" s="309"/>
      <c r="E194" s="309"/>
      <c r="F194" s="309"/>
      <c r="G194" s="309"/>
      <c r="H194" s="309"/>
      <c r="I194" s="309"/>
      <c r="J194" s="309"/>
      <c r="K194" s="309"/>
      <c r="L194" s="309"/>
      <c r="M194" s="309"/>
      <c r="N194" s="181"/>
      <c r="O194" s="182"/>
      <c r="P194" s="182"/>
      <c r="Q194" s="310" t="s">
        <v>590</v>
      </c>
      <c r="R194" s="310" t="s">
        <v>693</v>
      </c>
      <c r="S194" s="337" t="s">
        <v>691</v>
      </c>
    </row>
    <row r="195" spans="2:19" ht="12.75" customHeight="1" x14ac:dyDescent="0.2">
      <c r="B195" s="313" t="s">
        <v>111</v>
      </c>
      <c r="C195" s="315" t="s">
        <v>119</v>
      </c>
      <c r="D195" s="315" t="s">
        <v>120</v>
      </c>
      <c r="E195" s="317" t="s">
        <v>124</v>
      </c>
      <c r="F195" s="315" t="s">
        <v>121</v>
      </c>
      <c r="G195" s="315" t="s">
        <v>122</v>
      </c>
      <c r="H195" s="320" t="s">
        <v>123</v>
      </c>
      <c r="I195" s="310" t="s">
        <v>587</v>
      </c>
      <c r="J195" s="310" t="s">
        <v>690</v>
      </c>
      <c r="K195" s="337" t="s">
        <v>691</v>
      </c>
      <c r="L195" s="169"/>
      <c r="M195" s="310" t="s">
        <v>588</v>
      </c>
      <c r="N195" s="311" t="s">
        <v>692</v>
      </c>
      <c r="O195" s="337" t="s">
        <v>691</v>
      </c>
      <c r="P195" s="170"/>
      <c r="Q195" s="311"/>
      <c r="R195" s="311"/>
      <c r="S195" s="338"/>
    </row>
    <row r="196" spans="2:19" x14ac:dyDescent="0.2">
      <c r="B196" s="313"/>
      <c r="C196" s="315"/>
      <c r="D196" s="315"/>
      <c r="E196" s="318"/>
      <c r="F196" s="315"/>
      <c r="G196" s="315"/>
      <c r="H196" s="320"/>
      <c r="I196" s="311"/>
      <c r="J196" s="311"/>
      <c r="K196" s="338"/>
      <c r="L196" s="170"/>
      <c r="M196" s="311"/>
      <c r="N196" s="311"/>
      <c r="O196" s="338"/>
      <c r="P196" s="170"/>
      <c r="Q196" s="311"/>
      <c r="R196" s="311"/>
      <c r="S196" s="338"/>
    </row>
    <row r="197" spans="2:19" x14ac:dyDescent="0.2">
      <c r="B197" s="313"/>
      <c r="C197" s="315"/>
      <c r="D197" s="315"/>
      <c r="E197" s="318"/>
      <c r="F197" s="315"/>
      <c r="G197" s="315"/>
      <c r="H197" s="320"/>
      <c r="I197" s="311"/>
      <c r="J197" s="311"/>
      <c r="K197" s="338"/>
      <c r="L197" s="170"/>
      <c r="M197" s="311"/>
      <c r="N197" s="311"/>
      <c r="O197" s="338"/>
      <c r="P197" s="170"/>
      <c r="Q197" s="311"/>
      <c r="R197" s="311"/>
      <c r="S197" s="338"/>
    </row>
    <row r="198" spans="2:19" ht="13.5" thickBot="1" x14ac:dyDescent="0.25">
      <c r="B198" s="314"/>
      <c r="C198" s="316"/>
      <c r="D198" s="316"/>
      <c r="E198" s="319"/>
      <c r="F198" s="316"/>
      <c r="G198" s="316"/>
      <c r="H198" s="321"/>
      <c r="I198" s="312"/>
      <c r="J198" s="312"/>
      <c r="K198" s="339"/>
      <c r="L198" s="171"/>
      <c r="M198" s="312"/>
      <c r="N198" s="312"/>
      <c r="O198" s="339"/>
      <c r="P198" s="171"/>
      <c r="Q198" s="312"/>
      <c r="R198" s="312"/>
      <c r="S198" s="339"/>
    </row>
    <row r="199" spans="2:19" ht="16.5" thickTop="1" x14ac:dyDescent="0.2">
      <c r="B199" s="66">
        <v>1</v>
      </c>
      <c r="C199" s="322" t="s">
        <v>282</v>
      </c>
      <c r="D199" s="323"/>
      <c r="E199" s="323"/>
      <c r="F199" s="323"/>
      <c r="G199" s="323"/>
      <c r="H199" s="324"/>
      <c r="I199" s="98">
        <f>I275+I265+I261+I246+I224+I220+I203+I200</f>
        <v>3820325</v>
      </c>
      <c r="J199" s="98">
        <f>J275+J265+J261+J246+J224+J220+J203+J200</f>
        <v>1647700</v>
      </c>
      <c r="K199" s="225">
        <f t="shared" ref="K199:K261" si="20">J199/I199*100</f>
        <v>43.129838429976509</v>
      </c>
      <c r="L199" s="172"/>
      <c r="M199" s="98">
        <f>M275+M265+M261+M246+M224+M220+M203+M200</f>
        <v>525030</v>
      </c>
      <c r="N199" s="98">
        <f>N275+N265+N261+N246+N224+N220+N203+N200</f>
        <v>18602</v>
      </c>
      <c r="O199" s="225">
        <f t="shared" ref="O199:O260" si="21">N199/M199*100</f>
        <v>3.5430356360588915</v>
      </c>
      <c r="P199" s="172"/>
      <c r="Q199" s="37">
        <f>I199+M199</f>
        <v>4345355</v>
      </c>
      <c r="R199" s="37">
        <f t="shared" ref="R199:R214" si="22">J199+N199</f>
        <v>1666302</v>
      </c>
      <c r="S199" s="244">
        <f t="shared" ref="S199:S261" si="23">R199/Q199*100</f>
        <v>38.346740369889226</v>
      </c>
    </row>
    <row r="200" spans="2:19" ht="15" x14ac:dyDescent="0.2">
      <c r="B200" s="67">
        <f t="shared" ref="B200:B262" si="24">B199+1</f>
        <v>2</v>
      </c>
      <c r="C200" s="166">
        <v>1</v>
      </c>
      <c r="D200" s="325" t="s">
        <v>148</v>
      </c>
      <c r="E200" s="326"/>
      <c r="F200" s="326"/>
      <c r="G200" s="326"/>
      <c r="H200" s="327"/>
      <c r="I200" s="38">
        <f>I201</f>
        <v>55400</v>
      </c>
      <c r="J200" s="38">
        <f>J201</f>
        <v>16021</v>
      </c>
      <c r="K200" s="225">
        <f t="shared" si="20"/>
        <v>28.918772563176898</v>
      </c>
      <c r="L200" s="173"/>
      <c r="M200" s="38">
        <f>M201</f>
        <v>0</v>
      </c>
      <c r="N200" s="38">
        <f>N201</f>
        <v>0</v>
      </c>
      <c r="O200" s="225"/>
      <c r="P200" s="173"/>
      <c r="Q200" s="38">
        <f t="shared" ref="Q200:Q262" si="25">I200+M200</f>
        <v>55400</v>
      </c>
      <c r="R200" s="38">
        <f t="shared" si="22"/>
        <v>16021</v>
      </c>
      <c r="S200" s="244">
        <f t="shared" si="23"/>
        <v>28.918772563176898</v>
      </c>
    </row>
    <row r="201" spans="2:19" x14ac:dyDescent="0.2">
      <c r="B201" s="67">
        <f t="shared" si="24"/>
        <v>3</v>
      </c>
      <c r="C201" s="11"/>
      <c r="D201" s="11"/>
      <c r="E201" s="11"/>
      <c r="F201" s="45" t="s">
        <v>73</v>
      </c>
      <c r="G201" s="11">
        <v>630</v>
      </c>
      <c r="H201" s="11" t="s">
        <v>127</v>
      </c>
      <c r="I201" s="42">
        <f>I202</f>
        <v>55400</v>
      </c>
      <c r="J201" s="42">
        <f>J202</f>
        <v>16021</v>
      </c>
      <c r="K201" s="225">
        <f t="shared" si="20"/>
        <v>28.918772563176898</v>
      </c>
      <c r="L201" s="114"/>
      <c r="M201" s="42">
        <f>M202</f>
        <v>0</v>
      </c>
      <c r="N201" s="42">
        <f>N202</f>
        <v>0</v>
      </c>
      <c r="O201" s="225"/>
      <c r="P201" s="114"/>
      <c r="Q201" s="42">
        <f t="shared" si="25"/>
        <v>55400</v>
      </c>
      <c r="R201" s="42">
        <f t="shared" si="22"/>
        <v>16021</v>
      </c>
      <c r="S201" s="244">
        <f t="shared" si="23"/>
        <v>28.918772563176898</v>
      </c>
    </row>
    <row r="202" spans="2:19" x14ac:dyDescent="0.2">
      <c r="B202" s="67">
        <f t="shared" si="24"/>
        <v>4</v>
      </c>
      <c r="C202" s="2"/>
      <c r="D202" s="2"/>
      <c r="E202" s="2"/>
      <c r="F202" s="46" t="s">
        <v>73</v>
      </c>
      <c r="G202" s="2">
        <v>637</v>
      </c>
      <c r="H202" s="2" t="s">
        <v>128</v>
      </c>
      <c r="I202" s="22">
        <f>73000-17600</f>
        <v>55400</v>
      </c>
      <c r="J202" s="22">
        <v>16021</v>
      </c>
      <c r="K202" s="225">
        <f t="shared" si="20"/>
        <v>28.918772563176898</v>
      </c>
      <c r="L202" s="68"/>
      <c r="M202" s="22"/>
      <c r="N202" s="22"/>
      <c r="O202" s="225"/>
      <c r="P202" s="68"/>
      <c r="Q202" s="22">
        <f t="shared" si="25"/>
        <v>55400</v>
      </c>
      <c r="R202" s="22">
        <f t="shared" si="22"/>
        <v>16021</v>
      </c>
      <c r="S202" s="244">
        <f t="shared" si="23"/>
        <v>28.918772563176898</v>
      </c>
    </row>
    <row r="203" spans="2:19" ht="15" x14ac:dyDescent="0.2">
      <c r="B203" s="67">
        <f t="shared" si="24"/>
        <v>5</v>
      </c>
      <c r="C203" s="166">
        <v>2</v>
      </c>
      <c r="D203" s="325" t="s">
        <v>147</v>
      </c>
      <c r="E203" s="326"/>
      <c r="F203" s="326"/>
      <c r="G203" s="326"/>
      <c r="H203" s="327"/>
      <c r="I203" s="38">
        <f>I214+I207+I204</f>
        <v>94570</v>
      </c>
      <c r="J203" s="38">
        <f>J214+J207+J204</f>
        <v>35078</v>
      </c>
      <c r="K203" s="225">
        <f t="shared" si="20"/>
        <v>37.092101089140314</v>
      </c>
      <c r="L203" s="173"/>
      <c r="M203" s="38">
        <f>M214+M207+M204</f>
        <v>303910</v>
      </c>
      <c r="N203" s="38">
        <f>N214+N207+N204</f>
        <v>14865</v>
      </c>
      <c r="O203" s="225">
        <f t="shared" si="21"/>
        <v>4.8912506992201639</v>
      </c>
      <c r="P203" s="173"/>
      <c r="Q203" s="38">
        <f t="shared" si="25"/>
        <v>398480</v>
      </c>
      <c r="R203" s="38">
        <f t="shared" si="22"/>
        <v>49943</v>
      </c>
      <c r="S203" s="244">
        <f t="shared" si="23"/>
        <v>12.533376831961455</v>
      </c>
    </row>
    <row r="204" spans="2:19" ht="15" x14ac:dyDescent="0.25">
      <c r="B204" s="67">
        <f t="shared" si="24"/>
        <v>6</v>
      </c>
      <c r="C204" s="165"/>
      <c r="D204" s="165">
        <v>1</v>
      </c>
      <c r="E204" s="341" t="s">
        <v>153</v>
      </c>
      <c r="F204" s="326"/>
      <c r="G204" s="326"/>
      <c r="H204" s="327"/>
      <c r="I204" s="39">
        <f>I205</f>
        <v>2300</v>
      </c>
      <c r="J204" s="39">
        <f>J205</f>
        <v>1229</v>
      </c>
      <c r="K204" s="225">
        <f t="shared" si="20"/>
        <v>53.434782608695656</v>
      </c>
      <c r="L204" s="174"/>
      <c r="M204" s="39">
        <f>M205</f>
        <v>0</v>
      </c>
      <c r="N204" s="39">
        <f>N205</f>
        <v>0</v>
      </c>
      <c r="O204" s="225"/>
      <c r="P204" s="174"/>
      <c r="Q204" s="39">
        <f t="shared" si="25"/>
        <v>2300</v>
      </c>
      <c r="R204" s="39">
        <f t="shared" si="22"/>
        <v>1229</v>
      </c>
      <c r="S204" s="244">
        <f t="shared" si="23"/>
        <v>53.434782608695656</v>
      </c>
    </row>
    <row r="205" spans="2:19" x14ac:dyDescent="0.2">
      <c r="B205" s="67">
        <f t="shared" si="24"/>
        <v>7</v>
      </c>
      <c r="C205" s="11"/>
      <c r="D205" s="11"/>
      <c r="E205" s="11"/>
      <c r="F205" s="45" t="s">
        <v>73</v>
      </c>
      <c r="G205" s="11">
        <v>630</v>
      </c>
      <c r="H205" s="11" t="s">
        <v>127</v>
      </c>
      <c r="I205" s="42">
        <f>I206</f>
        <v>2300</v>
      </c>
      <c r="J205" s="42">
        <f>J206</f>
        <v>1229</v>
      </c>
      <c r="K205" s="225">
        <f t="shared" si="20"/>
        <v>53.434782608695656</v>
      </c>
      <c r="L205" s="114"/>
      <c r="M205" s="42">
        <f>M206</f>
        <v>0</v>
      </c>
      <c r="N205" s="42">
        <f>N206</f>
        <v>0</v>
      </c>
      <c r="O205" s="225"/>
      <c r="P205" s="114"/>
      <c r="Q205" s="42">
        <f t="shared" si="25"/>
        <v>2300</v>
      </c>
      <c r="R205" s="42">
        <f t="shared" si="22"/>
        <v>1229</v>
      </c>
      <c r="S205" s="244">
        <f t="shared" si="23"/>
        <v>53.434782608695656</v>
      </c>
    </row>
    <row r="206" spans="2:19" x14ac:dyDescent="0.2">
      <c r="B206" s="67">
        <f t="shared" si="24"/>
        <v>8</v>
      </c>
      <c r="C206" s="2"/>
      <c r="D206" s="2"/>
      <c r="E206" s="2"/>
      <c r="F206" s="46" t="s">
        <v>73</v>
      </c>
      <c r="G206" s="2">
        <v>637</v>
      </c>
      <c r="H206" s="2" t="s">
        <v>128</v>
      </c>
      <c r="I206" s="22">
        <v>2300</v>
      </c>
      <c r="J206" s="22">
        <v>1229</v>
      </c>
      <c r="K206" s="225">
        <f t="shared" si="20"/>
        <v>53.434782608695656</v>
      </c>
      <c r="L206" s="68"/>
      <c r="M206" s="22"/>
      <c r="N206" s="22"/>
      <c r="O206" s="225"/>
      <c r="P206" s="68"/>
      <c r="Q206" s="22">
        <f t="shared" si="25"/>
        <v>2300</v>
      </c>
      <c r="R206" s="22">
        <f t="shared" si="22"/>
        <v>1229</v>
      </c>
      <c r="S206" s="244">
        <f t="shared" si="23"/>
        <v>53.434782608695656</v>
      </c>
    </row>
    <row r="207" spans="2:19" ht="15" x14ac:dyDescent="0.25">
      <c r="B207" s="67">
        <f t="shared" si="24"/>
        <v>9</v>
      </c>
      <c r="C207" s="165"/>
      <c r="D207" s="165">
        <v>2</v>
      </c>
      <c r="E207" s="341" t="s">
        <v>146</v>
      </c>
      <c r="F207" s="326"/>
      <c r="G207" s="326"/>
      <c r="H207" s="327"/>
      <c r="I207" s="39">
        <f>I208+I211</f>
        <v>20160</v>
      </c>
      <c r="J207" s="39">
        <f>J208+J211</f>
        <v>8201</v>
      </c>
      <c r="K207" s="225">
        <f t="shared" si="20"/>
        <v>40.679563492063494</v>
      </c>
      <c r="L207" s="174"/>
      <c r="M207" s="39">
        <f>M208+M211</f>
        <v>32800</v>
      </c>
      <c r="N207" s="39">
        <f>N208+N211</f>
        <v>4</v>
      </c>
      <c r="O207" s="225">
        <f t="shared" si="21"/>
        <v>1.2195121951219513E-2</v>
      </c>
      <c r="P207" s="174"/>
      <c r="Q207" s="39">
        <f t="shared" si="25"/>
        <v>52960</v>
      </c>
      <c r="R207" s="39">
        <f t="shared" si="22"/>
        <v>8205</v>
      </c>
      <c r="S207" s="244">
        <f t="shared" si="23"/>
        <v>15.492824773413897</v>
      </c>
    </row>
    <row r="208" spans="2:19" x14ac:dyDescent="0.2">
      <c r="B208" s="67">
        <f t="shared" si="24"/>
        <v>10</v>
      </c>
      <c r="C208" s="11"/>
      <c r="D208" s="11"/>
      <c r="E208" s="11"/>
      <c r="F208" s="45" t="s">
        <v>73</v>
      </c>
      <c r="G208" s="11">
        <v>630</v>
      </c>
      <c r="H208" s="11" t="s">
        <v>127</v>
      </c>
      <c r="I208" s="42">
        <f>I210+I209</f>
        <v>20160</v>
      </c>
      <c r="J208" s="42">
        <f>J210+J209</f>
        <v>8201</v>
      </c>
      <c r="K208" s="225">
        <f t="shared" si="20"/>
        <v>40.679563492063494</v>
      </c>
      <c r="L208" s="114"/>
      <c r="M208" s="42">
        <f>M210+M209</f>
        <v>0</v>
      </c>
      <c r="N208" s="42">
        <f>N210+N209</f>
        <v>0</v>
      </c>
      <c r="O208" s="225"/>
      <c r="P208" s="114"/>
      <c r="Q208" s="42">
        <f t="shared" si="25"/>
        <v>20160</v>
      </c>
      <c r="R208" s="42">
        <f t="shared" si="22"/>
        <v>8201</v>
      </c>
      <c r="S208" s="244">
        <f t="shared" si="23"/>
        <v>40.679563492063494</v>
      </c>
    </row>
    <row r="209" spans="2:19" x14ac:dyDescent="0.2">
      <c r="B209" s="67">
        <f t="shared" si="24"/>
        <v>11</v>
      </c>
      <c r="C209" s="2"/>
      <c r="D209" s="2"/>
      <c r="E209" s="2"/>
      <c r="F209" s="46" t="s">
        <v>73</v>
      </c>
      <c r="G209" s="2">
        <v>636</v>
      </c>
      <c r="H209" s="2" t="s">
        <v>132</v>
      </c>
      <c r="I209" s="22">
        <v>9410</v>
      </c>
      <c r="J209" s="22">
        <v>4704</v>
      </c>
      <c r="K209" s="225">
        <f t="shared" si="20"/>
        <v>49.9893730074389</v>
      </c>
      <c r="L209" s="68"/>
      <c r="M209" s="22"/>
      <c r="N209" s="22"/>
      <c r="O209" s="225"/>
      <c r="P209" s="68"/>
      <c r="Q209" s="22">
        <f t="shared" si="25"/>
        <v>9410</v>
      </c>
      <c r="R209" s="22">
        <f t="shared" si="22"/>
        <v>4704</v>
      </c>
      <c r="S209" s="244">
        <f t="shared" si="23"/>
        <v>49.9893730074389</v>
      </c>
    </row>
    <row r="210" spans="2:19" x14ac:dyDescent="0.2">
      <c r="B210" s="67">
        <f t="shared" si="24"/>
        <v>12</v>
      </c>
      <c r="C210" s="2"/>
      <c r="D210" s="2"/>
      <c r="E210" s="2"/>
      <c r="F210" s="46" t="s">
        <v>73</v>
      </c>
      <c r="G210" s="2">
        <v>637</v>
      </c>
      <c r="H210" s="2" t="s">
        <v>128</v>
      </c>
      <c r="I210" s="22">
        <v>10750</v>
      </c>
      <c r="J210" s="22">
        <v>3497</v>
      </c>
      <c r="K210" s="225">
        <f t="shared" si="20"/>
        <v>32.530232558139531</v>
      </c>
      <c r="L210" s="68"/>
      <c r="M210" s="22"/>
      <c r="N210" s="22"/>
      <c r="O210" s="225"/>
      <c r="P210" s="68"/>
      <c r="Q210" s="22">
        <f t="shared" si="25"/>
        <v>10750</v>
      </c>
      <c r="R210" s="22">
        <f t="shared" si="22"/>
        <v>3497</v>
      </c>
      <c r="S210" s="244">
        <f t="shared" si="23"/>
        <v>32.530232558139531</v>
      </c>
    </row>
    <row r="211" spans="2:19" x14ac:dyDescent="0.2">
      <c r="B211" s="67">
        <f t="shared" si="24"/>
        <v>13</v>
      </c>
      <c r="C211" s="11"/>
      <c r="D211" s="11"/>
      <c r="E211" s="11"/>
      <c r="F211" s="45" t="s">
        <v>73</v>
      </c>
      <c r="G211" s="11">
        <v>710</v>
      </c>
      <c r="H211" s="11" t="s">
        <v>183</v>
      </c>
      <c r="I211" s="42">
        <f>I212</f>
        <v>0</v>
      </c>
      <c r="J211" s="42">
        <f>J212</f>
        <v>0</v>
      </c>
      <c r="K211" s="225"/>
      <c r="L211" s="114"/>
      <c r="M211" s="42">
        <f>SUM(M212:M213)</f>
        <v>32800</v>
      </c>
      <c r="N211" s="42">
        <f>SUM(N212:N213)</f>
        <v>4</v>
      </c>
      <c r="O211" s="225">
        <f t="shared" si="21"/>
        <v>1.2195121951219513E-2</v>
      </c>
      <c r="P211" s="114"/>
      <c r="Q211" s="42">
        <f t="shared" si="25"/>
        <v>32800</v>
      </c>
      <c r="R211" s="42">
        <f t="shared" si="22"/>
        <v>4</v>
      </c>
      <c r="S211" s="244">
        <f t="shared" si="23"/>
        <v>1.2195121951219513E-2</v>
      </c>
    </row>
    <row r="212" spans="2:19" x14ac:dyDescent="0.2">
      <c r="B212" s="67">
        <f t="shared" si="24"/>
        <v>14</v>
      </c>
      <c r="C212" s="2"/>
      <c r="D212" s="2"/>
      <c r="E212" s="2"/>
      <c r="F212" s="77" t="s">
        <v>73</v>
      </c>
      <c r="G212" s="78">
        <v>712</v>
      </c>
      <c r="H212" s="78" t="s">
        <v>243</v>
      </c>
      <c r="I212" s="79"/>
      <c r="J212" s="79"/>
      <c r="K212" s="225"/>
      <c r="L212" s="68"/>
      <c r="M212" s="79">
        <v>100</v>
      </c>
      <c r="N212" s="79">
        <v>4</v>
      </c>
      <c r="O212" s="225">
        <f t="shared" si="21"/>
        <v>4</v>
      </c>
      <c r="P212" s="68"/>
      <c r="Q212" s="79">
        <f t="shared" si="25"/>
        <v>100</v>
      </c>
      <c r="R212" s="79">
        <f t="shared" si="22"/>
        <v>4</v>
      </c>
      <c r="S212" s="244">
        <f t="shared" si="23"/>
        <v>4</v>
      </c>
    </row>
    <row r="213" spans="2:19" x14ac:dyDescent="0.2">
      <c r="B213" s="67">
        <f t="shared" si="24"/>
        <v>15</v>
      </c>
      <c r="C213" s="2"/>
      <c r="D213" s="2"/>
      <c r="E213" s="2"/>
      <c r="F213" s="77" t="s">
        <v>73</v>
      </c>
      <c r="G213" s="78">
        <v>712</v>
      </c>
      <c r="H213" s="78" t="s">
        <v>488</v>
      </c>
      <c r="I213" s="79"/>
      <c r="J213" s="79"/>
      <c r="K213" s="225"/>
      <c r="L213" s="68"/>
      <c r="M213" s="79">
        <v>32700</v>
      </c>
      <c r="N213" s="79">
        <v>0</v>
      </c>
      <c r="O213" s="225">
        <f t="shared" si="21"/>
        <v>0</v>
      </c>
      <c r="P213" s="68"/>
      <c r="Q213" s="79">
        <f t="shared" si="25"/>
        <v>32700</v>
      </c>
      <c r="R213" s="79">
        <f t="shared" si="22"/>
        <v>0</v>
      </c>
      <c r="S213" s="244">
        <f t="shared" si="23"/>
        <v>0</v>
      </c>
    </row>
    <row r="214" spans="2:19" ht="15" x14ac:dyDescent="0.25">
      <c r="B214" s="67">
        <f t="shared" si="24"/>
        <v>16</v>
      </c>
      <c r="C214" s="165"/>
      <c r="D214" s="165">
        <v>3</v>
      </c>
      <c r="E214" s="341" t="s">
        <v>219</v>
      </c>
      <c r="F214" s="326"/>
      <c r="G214" s="326"/>
      <c r="H214" s="327"/>
      <c r="I214" s="39">
        <f>I215+I218</f>
        <v>72110</v>
      </c>
      <c r="J214" s="39">
        <f>J215+J218</f>
        <v>25648</v>
      </c>
      <c r="K214" s="225">
        <f t="shared" si="20"/>
        <v>35.56788240188601</v>
      </c>
      <c r="L214" s="174"/>
      <c r="M214" s="39">
        <f>M215+M218</f>
        <v>271110</v>
      </c>
      <c r="N214" s="39">
        <f>N215+N218</f>
        <v>14861</v>
      </c>
      <c r="O214" s="225">
        <f t="shared" si="21"/>
        <v>5.4815388587658145</v>
      </c>
      <c r="P214" s="174"/>
      <c r="Q214" s="39">
        <f t="shared" si="25"/>
        <v>343220</v>
      </c>
      <c r="R214" s="39">
        <f t="shared" si="22"/>
        <v>40509</v>
      </c>
      <c r="S214" s="244">
        <f t="shared" si="23"/>
        <v>11.802633879144572</v>
      </c>
    </row>
    <row r="215" spans="2:19" x14ac:dyDescent="0.2">
      <c r="B215" s="67">
        <f t="shared" si="24"/>
        <v>17</v>
      </c>
      <c r="C215" s="11"/>
      <c r="D215" s="11"/>
      <c r="E215" s="11"/>
      <c r="F215" s="45" t="s">
        <v>73</v>
      </c>
      <c r="G215" s="11">
        <v>630</v>
      </c>
      <c r="H215" s="11" t="s">
        <v>127</v>
      </c>
      <c r="I215" s="42">
        <f>I217+I216</f>
        <v>72110</v>
      </c>
      <c r="J215" s="42">
        <f>J217+J216</f>
        <v>25648</v>
      </c>
      <c r="K215" s="225">
        <f t="shared" si="20"/>
        <v>35.56788240188601</v>
      </c>
      <c r="L215" s="114"/>
      <c r="M215" s="42">
        <f>M217+M216</f>
        <v>0</v>
      </c>
      <c r="N215" s="42">
        <f>N217+N216</f>
        <v>0</v>
      </c>
      <c r="O215" s="225"/>
      <c r="P215" s="114"/>
      <c r="Q215" s="42">
        <f t="shared" si="25"/>
        <v>72110</v>
      </c>
      <c r="R215" s="42">
        <f t="shared" ref="R215:R229" si="26">J215+N215</f>
        <v>25648</v>
      </c>
      <c r="S215" s="244">
        <f t="shared" si="23"/>
        <v>35.56788240188601</v>
      </c>
    </row>
    <row r="216" spans="2:19" x14ac:dyDescent="0.2">
      <c r="B216" s="67">
        <f t="shared" si="24"/>
        <v>18</v>
      </c>
      <c r="C216" s="2"/>
      <c r="D216" s="2"/>
      <c r="E216" s="2"/>
      <c r="F216" s="46" t="s">
        <v>73</v>
      </c>
      <c r="G216" s="2">
        <v>636</v>
      </c>
      <c r="H216" s="2" t="s">
        <v>132</v>
      </c>
      <c r="I216" s="22">
        <v>62250</v>
      </c>
      <c r="J216" s="22">
        <v>23622</v>
      </c>
      <c r="K216" s="225">
        <f t="shared" si="20"/>
        <v>37.946987951807223</v>
      </c>
      <c r="L216" s="68"/>
      <c r="M216" s="22"/>
      <c r="N216" s="22"/>
      <c r="O216" s="225"/>
      <c r="P216" s="68"/>
      <c r="Q216" s="22">
        <f t="shared" si="25"/>
        <v>62250</v>
      </c>
      <c r="R216" s="22">
        <f t="shared" si="26"/>
        <v>23622</v>
      </c>
      <c r="S216" s="244">
        <f t="shared" si="23"/>
        <v>37.946987951807223</v>
      </c>
    </row>
    <row r="217" spans="2:19" x14ac:dyDescent="0.2">
      <c r="B217" s="67">
        <f t="shared" si="24"/>
        <v>19</v>
      </c>
      <c r="C217" s="2"/>
      <c r="D217" s="2"/>
      <c r="E217" s="2"/>
      <c r="F217" s="46" t="s">
        <v>73</v>
      </c>
      <c r="G217" s="2">
        <v>637</v>
      </c>
      <c r="H217" s="2" t="s">
        <v>128</v>
      </c>
      <c r="I217" s="22">
        <v>9860</v>
      </c>
      <c r="J217" s="22">
        <v>2026</v>
      </c>
      <c r="K217" s="225">
        <f t="shared" si="20"/>
        <v>20.54766734279919</v>
      </c>
      <c r="L217" s="68"/>
      <c r="M217" s="22"/>
      <c r="N217" s="22"/>
      <c r="O217" s="225"/>
      <c r="P217" s="68"/>
      <c r="Q217" s="22">
        <f t="shared" si="25"/>
        <v>9860</v>
      </c>
      <c r="R217" s="22">
        <f t="shared" si="26"/>
        <v>2026</v>
      </c>
      <c r="S217" s="244">
        <f t="shared" si="23"/>
        <v>20.54766734279919</v>
      </c>
    </row>
    <row r="218" spans="2:19" x14ac:dyDescent="0.2">
      <c r="B218" s="67">
        <f t="shared" si="24"/>
        <v>20</v>
      </c>
      <c r="C218" s="11"/>
      <c r="D218" s="11"/>
      <c r="E218" s="11"/>
      <c r="F218" s="45" t="s">
        <v>73</v>
      </c>
      <c r="G218" s="11">
        <v>710</v>
      </c>
      <c r="H218" s="11" t="s">
        <v>183</v>
      </c>
      <c r="I218" s="42">
        <f>I219</f>
        <v>0</v>
      </c>
      <c r="J218" s="42">
        <f>J219</f>
        <v>0</v>
      </c>
      <c r="K218" s="225"/>
      <c r="L218" s="114"/>
      <c r="M218" s="42">
        <f>M219</f>
        <v>271110</v>
      </c>
      <c r="N218" s="42">
        <f>N219</f>
        <v>14861</v>
      </c>
      <c r="O218" s="225">
        <f t="shared" si="21"/>
        <v>5.4815388587658145</v>
      </c>
      <c r="P218" s="114"/>
      <c r="Q218" s="42">
        <f t="shared" si="25"/>
        <v>271110</v>
      </c>
      <c r="R218" s="42">
        <f t="shared" si="26"/>
        <v>14861</v>
      </c>
      <c r="S218" s="244">
        <f t="shared" si="23"/>
        <v>5.4815388587658145</v>
      </c>
    </row>
    <row r="219" spans="2:19" x14ac:dyDescent="0.2">
      <c r="B219" s="67">
        <f t="shared" si="24"/>
        <v>21</v>
      </c>
      <c r="C219" s="2"/>
      <c r="D219" s="2"/>
      <c r="E219" s="2"/>
      <c r="F219" s="77" t="s">
        <v>73</v>
      </c>
      <c r="G219" s="78">
        <v>711</v>
      </c>
      <c r="H219" s="78" t="s">
        <v>222</v>
      </c>
      <c r="I219" s="79"/>
      <c r="J219" s="79"/>
      <c r="K219" s="225"/>
      <c r="L219" s="68"/>
      <c r="M219" s="79">
        <f>275000-100-2700+5000-8000-2394-10000-5696+20000</f>
        <v>271110</v>
      </c>
      <c r="N219" s="79">
        <v>14861</v>
      </c>
      <c r="O219" s="225">
        <f t="shared" si="21"/>
        <v>5.4815388587658145</v>
      </c>
      <c r="P219" s="68"/>
      <c r="Q219" s="79">
        <f t="shared" si="25"/>
        <v>271110</v>
      </c>
      <c r="R219" s="79">
        <f t="shared" si="26"/>
        <v>14861</v>
      </c>
      <c r="S219" s="244">
        <f t="shared" si="23"/>
        <v>5.4815388587658145</v>
      </c>
    </row>
    <row r="220" spans="2:19" ht="15" x14ac:dyDescent="0.2">
      <c r="B220" s="67">
        <f t="shared" si="24"/>
        <v>22</v>
      </c>
      <c r="C220" s="166">
        <v>3</v>
      </c>
      <c r="D220" s="325" t="s">
        <v>154</v>
      </c>
      <c r="E220" s="326"/>
      <c r="F220" s="326"/>
      <c r="G220" s="326"/>
      <c r="H220" s="327"/>
      <c r="I220" s="38">
        <f>I221</f>
        <v>7100</v>
      </c>
      <c r="J220" s="38">
        <f>J221</f>
        <v>3097</v>
      </c>
      <c r="K220" s="225">
        <f t="shared" si="20"/>
        <v>43.619718309859159</v>
      </c>
      <c r="L220" s="173"/>
      <c r="M220" s="38">
        <f>M221</f>
        <v>0</v>
      </c>
      <c r="N220" s="38">
        <f>N221</f>
        <v>0</v>
      </c>
      <c r="O220" s="225"/>
      <c r="P220" s="173"/>
      <c r="Q220" s="38">
        <f t="shared" si="25"/>
        <v>7100</v>
      </c>
      <c r="R220" s="38">
        <f t="shared" si="26"/>
        <v>3097</v>
      </c>
      <c r="S220" s="244">
        <f t="shared" si="23"/>
        <v>43.619718309859159</v>
      </c>
    </row>
    <row r="221" spans="2:19" x14ac:dyDescent="0.2">
      <c r="B221" s="67">
        <f t="shared" si="24"/>
        <v>23</v>
      </c>
      <c r="C221" s="11"/>
      <c r="D221" s="11"/>
      <c r="E221" s="11"/>
      <c r="F221" s="45" t="s">
        <v>73</v>
      </c>
      <c r="G221" s="11">
        <v>630</v>
      </c>
      <c r="H221" s="11" t="s">
        <v>127</v>
      </c>
      <c r="I221" s="42">
        <f>I223+I222</f>
        <v>7100</v>
      </c>
      <c r="J221" s="42">
        <f>J223+J222</f>
        <v>3097</v>
      </c>
      <c r="K221" s="225">
        <f t="shared" si="20"/>
        <v>43.619718309859159</v>
      </c>
      <c r="L221" s="114"/>
      <c r="M221" s="42">
        <f>M223+M222</f>
        <v>0</v>
      </c>
      <c r="N221" s="42">
        <f>N223+N222</f>
        <v>0</v>
      </c>
      <c r="O221" s="225"/>
      <c r="P221" s="114"/>
      <c r="Q221" s="42">
        <f t="shared" si="25"/>
        <v>7100</v>
      </c>
      <c r="R221" s="42">
        <f t="shared" si="26"/>
        <v>3097</v>
      </c>
      <c r="S221" s="244">
        <f t="shared" si="23"/>
        <v>43.619718309859159</v>
      </c>
    </row>
    <row r="222" spans="2:19" ht="12.75" customHeight="1" x14ac:dyDescent="0.2">
      <c r="B222" s="67">
        <f t="shared" si="24"/>
        <v>24</v>
      </c>
      <c r="C222" s="2"/>
      <c r="D222" s="2"/>
      <c r="E222" s="2"/>
      <c r="F222" s="46" t="s">
        <v>73</v>
      </c>
      <c r="G222" s="2">
        <v>633</v>
      </c>
      <c r="H222" s="2" t="s">
        <v>131</v>
      </c>
      <c r="I222" s="22">
        <v>500</v>
      </c>
      <c r="J222" s="22">
        <v>252</v>
      </c>
      <c r="K222" s="225">
        <f t="shared" si="20"/>
        <v>50.4</v>
      </c>
      <c r="L222" s="68"/>
      <c r="M222" s="22"/>
      <c r="N222" s="22"/>
      <c r="O222" s="225"/>
      <c r="P222" s="68"/>
      <c r="Q222" s="22">
        <f t="shared" si="25"/>
        <v>500</v>
      </c>
      <c r="R222" s="22">
        <f t="shared" si="26"/>
        <v>252</v>
      </c>
      <c r="S222" s="244">
        <f t="shared" si="23"/>
        <v>50.4</v>
      </c>
    </row>
    <row r="223" spans="2:19" ht="15.75" customHeight="1" x14ac:dyDescent="0.2">
      <c r="B223" s="67">
        <f t="shared" si="24"/>
        <v>25</v>
      </c>
      <c r="C223" s="2"/>
      <c r="D223" s="2"/>
      <c r="E223" s="2"/>
      <c r="F223" s="46" t="s">
        <v>73</v>
      </c>
      <c r="G223" s="2">
        <v>637</v>
      </c>
      <c r="H223" s="2" t="s">
        <v>128</v>
      </c>
      <c r="I223" s="22">
        <v>6600</v>
      </c>
      <c r="J223" s="22">
        <v>2845</v>
      </c>
      <c r="K223" s="225">
        <f t="shared" si="20"/>
        <v>43.106060606060602</v>
      </c>
      <c r="L223" s="68"/>
      <c r="M223" s="22"/>
      <c r="N223" s="22"/>
      <c r="O223" s="225"/>
      <c r="P223" s="68"/>
      <c r="Q223" s="22">
        <f t="shared" si="25"/>
        <v>6600</v>
      </c>
      <c r="R223" s="22">
        <f t="shared" si="26"/>
        <v>2845</v>
      </c>
      <c r="S223" s="244">
        <f t="shared" si="23"/>
        <v>43.106060606060602</v>
      </c>
    </row>
    <row r="224" spans="2:19" ht="15" x14ac:dyDescent="0.2">
      <c r="B224" s="67">
        <f t="shared" si="24"/>
        <v>26</v>
      </c>
      <c r="C224" s="166">
        <v>4</v>
      </c>
      <c r="D224" s="325" t="s">
        <v>202</v>
      </c>
      <c r="E224" s="326"/>
      <c r="F224" s="326"/>
      <c r="G224" s="326"/>
      <c r="H224" s="327"/>
      <c r="I224" s="38">
        <f>I225+I229+I235</f>
        <v>279910</v>
      </c>
      <c r="J224" s="38">
        <f>J225+J229+J235</f>
        <v>120798</v>
      </c>
      <c r="K224" s="225">
        <f t="shared" si="20"/>
        <v>43.156014433210679</v>
      </c>
      <c r="L224" s="173"/>
      <c r="M224" s="38">
        <f>M225+M229+M235</f>
        <v>137810</v>
      </c>
      <c r="N224" s="38">
        <f>N225+N229+N235</f>
        <v>427</v>
      </c>
      <c r="O224" s="225">
        <f t="shared" si="21"/>
        <v>0.30984689064654236</v>
      </c>
      <c r="P224" s="173"/>
      <c r="Q224" s="38">
        <f t="shared" si="25"/>
        <v>417720</v>
      </c>
      <c r="R224" s="38">
        <f t="shared" si="26"/>
        <v>121225</v>
      </c>
      <c r="S224" s="244">
        <f t="shared" si="23"/>
        <v>29.020635832615149</v>
      </c>
    </row>
    <row r="225" spans="2:19" x14ac:dyDescent="0.2">
      <c r="B225" s="67">
        <f t="shared" si="24"/>
        <v>27</v>
      </c>
      <c r="C225" s="11"/>
      <c r="D225" s="11"/>
      <c r="E225" s="11"/>
      <c r="F225" s="45" t="s">
        <v>73</v>
      </c>
      <c r="G225" s="11">
        <v>630</v>
      </c>
      <c r="H225" s="11" t="s">
        <v>127</v>
      </c>
      <c r="I225" s="42">
        <f>I227+I226+I228</f>
        <v>29570</v>
      </c>
      <c r="J225" s="42">
        <f>J227+J226+J228</f>
        <v>3362</v>
      </c>
      <c r="K225" s="225">
        <f t="shared" si="20"/>
        <v>11.369631383158607</v>
      </c>
      <c r="L225" s="114"/>
      <c r="M225" s="42">
        <f>M227+M226+M228</f>
        <v>0</v>
      </c>
      <c r="N225" s="42">
        <f>N227+N226+N228</f>
        <v>0</v>
      </c>
      <c r="O225" s="225"/>
      <c r="P225" s="114"/>
      <c r="Q225" s="42">
        <f t="shared" si="25"/>
        <v>29570</v>
      </c>
      <c r="R225" s="42">
        <f t="shared" si="26"/>
        <v>3362</v>
      </c>
      <c r="S225" s="244">
        <f t="shared" si="23"/>
        <v>11.369631383158607</v>
      </c>
    </row>
    <row r="226" spans="2:19" ht="16.5" customHeight="1" x14ac:dyDescent="0.2">
      <c r="B226" s="67">
        <f t="shared" si="24"/>
        <v>28</v>
      </c>
      <c r="C226" s="2"/>
      <c r="D226" s="2"/>
      <c r="E226" s="2"/>
      <c r="F226" s="46" t="s">
        <v>73</v>
      </c>
      <c r="G226" s="2">
        <v>635</v>
      </c>
      <c r="H226" s="2" t="s">
        <v>137</v>
      </c>
      <c r="I226" s="22">
        <f>12000-4000</f>
        <v>8000</v>
      </c>
      <c r="J226" s="22">
        <v>1547</v>
      </c>
      <c r="K226" s="225">
        <f t="shared" si="20"/>
        <v>19.337499999999999</v>
      </c>
      <c r="L226" s="68"/>
      <c r="M226" s="22"/>
      <c r="N226" s="22"/>
      <c r="O226" s="225"/>
      <c r="P226" s="68"/>
      <c r="Q226" s="22">
        <f t="shared" si="25"/>
        <v>8000</v>
      </c>
      <c r="R226" s="22">
        <f t="shared" si="26"/>
        <v>1547</v>
      </c>
      <c r="S226" s="244">
        <f t="shared" si="23"/>
        <v>19.337499999999999</v>
      </c>
    </row>
    <row r="227" spans="2:19" x14ac:dyDescent="0.2">
      <c r="B227" s="67">
        <f t="shared" si="24"/>
        <v>29</v>
      </c>
      <c r="C227" s="2"/>
      <c r="D227" s="2"/>
      <c r="E227" s="2"/>
      <c r="F227" s="46" t="s">
        <v>73</v>
      </c>
      <c r="G227" s="2">
        <v>637</v>
      </c>
      <c r="H227" s="2" t="s">
        <v>128</v>
      </c>
      <c r="I227" s="22">
        <f>2570+4000</f>
        <v>6570</v>
      </c>
      <c r="J227" s="22">
        <v>1815</v>
      </c>
      <c r="K227" s="225">
        <f t="shared" si="20"/>
        <v>27.62557077625571</v>
      </c>
      <c r="L227" s="68"/>
      <c r="M227" s="22"/>
      <c r="N227" s="22"/>
      <c r="O227" s="225"/>
      <c r="P227" s="68"/>
      <c r="Q227" s="22">
        <f t="shared" si="25"/>
        <v>6570</v>
      </c>
      <c r="R227" s="22">
        <f t="shared" si="26"/>
        <v>1815</v>
      </c>
      <c r="S227" s="244">
        <f t="shared" si="23"/>
        <v>27.62557077625571</v>
      </c>
    </row>
    <row r="228" spans="2:19" x14ac:dyDescent="0.2">
      <c r="B228" s="67">
        <f t="shared" si="24"/>
        <v>30</v>
      </c>
      <c r="C228" s="2"/>
      <c r="D228" s="2"/>
      <c r="E228" s="2"/>
      <c r="F228" s="46" t="s">
        <v>73</v>
      </c>
      <c r="G228" s="2">
        <v>630</v>
      </c>
      <c r="H228" s="2" t="s">
        <v>418</v>
      </c>
      <c r="I228" s="22">
        <v>15000</v>
      </c>
      <c r="J228" s="22">
        <v>0</v>
      </c>
      <c r="K228" s="225">
        <f t="shared" si="20"/>
        <v>0</v>
      </c>
      <c r="L228" s="68"/>
      <c r="M228" s="22"/>
      <c r="N228" s="22"/>
      <c r="O228" s="225"/>
      <c r="P228" s="68"/>
      <c r="Q228" s="22">
        <f t="shared" si="25"/>
        <v>15000</v>
      </c>
      <c r="R228" s="22">
        <f t="shared" si="26"/>
        <v>0</v>
      </c>
      <c r="S228" s="244">
        <f t="shared" si="23"/>
        <v>0</v>
      </c>
    </row>
    <row r="229" spans="2:19" x14ac:dyDescent="0.2">
      <c r="B229" s="67">
        <f t="shared" si="24"/>
        <v>31</v>
      </c>
      <c r="C229" s="11"/>
      <c r="D229" s="11"/>
      <c r="E229" s="11"/>
      <c r="F229" s="45" t="s">
        <v>73</v>
      </c>
      <c r="G229" s="11">
        <v>710</v>
      </c>
      <c r="H229" s="11" t="s">
        <v>183</v>
      </c>
      <c r="I229" s="42">
        <f>I232</f>
        <v>0</v>
      </c>
      <c r="J229" s="42">
        <f>J232</f>
        <v>0</v>
      </c>
      <c r="K229" s="225"/>
      <c r="L229" s="114"/>
      <c r="M229" s="42">
        <f>M232+M230</f>
        <v>137810</v>
      </c>
      <c r="N229" s="42">
        <f>N232+N230</f>
        <v>427</v>
      </c>
      <c r="O229" s="225">
        <f t="shared" si="21"/>
        <v>0.30984689064654236</v>
      </c>
      <c r="P229" s="114"/>
      <c r="Q229" s="42">
        <f t="shared" si="25"/>
        <v>137810</v>
      </c>
      <c r="R229" s="42">
        <f t="shared" si="26"/>
        <v>427</v>
      </c>
      <c r="S229" s="244">
        <f t="shared" si="23"/>
        <v>0.30984689064654236</v>
      </c>
    </row>
    <row r="230" spans="2:19" x14ac:dyDescent="0.2">
      <c r="B230" s="67">
        <f t="shared" si="24"/>
        <v>32</v>
      </c>
      <c r="C230" s="11"/>
      <c r="D230" s="11"/>
      <c r="E230" s="11"/>
      <c r="F230" s="77" t="s">
        <v>73</v>
      </c>
      <c r="G230" s="78">
        <v>716</v>
      </c>
      <c r="H230" s="78" t="s">
        <v>0</v>
      </c>
      <c r="I230" s="79">
        <v>0</v>
      </c>
      <c r="J230" s="79"/>
      <c r="K230" s="225"/>
      <c r="L230" s="68"/>
      <c r="M230" s="79">
        <f>SUM(M231:M231)</f>
        <v>4500</v>
      </c>
      <c r="N230" s="79">
        <f>SUM(N231:N231)</f>
        <v>0</v>
      </c>
      <c r="O230" s="225">
        <f t="shared" si="21"/>
        <v>0</v>
      </c>
      <c r="P230" s="68"/>
      <c r="Q230" s="79">
        <f t="shared" ref="Q230:Q231" si="27">M230+I230</f>
        <v>4500</v>
      </c>
      <c r="R230" s="79">
        <f t="shared" ref="R230:R231" si="28">N230+J230</f>
        <v>0</v>
      </c>
      <c r="S230" s="244">
        <f t="shared" si="23"/>
        <v>0</v>
      </c>
    </row>
    <row r="231" spans="2:19" x14ac:dyDescent="0.2">
      <c r="B231" s="67">
        <f t="shared" si="24"/>
        <v>33</v>
      </c>
      <c r="C231" s="11"/>
      <c r="D231" s="11"/>
      <c r="E231" s="11"/>
      <c r="F231" s="57"/>
      <c r="G231" s="53"/>
      <c r="H231" s="53" t="s">
        <v>592</v>
      </c>
      <c r="I231" s="51"/>
      <c r="J231" s="51"/>
      <c r="K231" s="225"/>
      <c r="L231" s="68"/>
      <c r="M231" s="51">
        <v>4500</v>
      </c>
      <c r="N231" s="51">
        <v>0</v>
      </c>
      <c r="O231" s="225">
        <f t="shared" si="21"/>
        <v>0</v>
      </c>
      <c r="P231" s="68"/>
      <c r="Q231" s="22">
        <f t="shared" si="27"/>
        <v>4500</v>
      </c>
      <c r="R231" s="22">
        <f t="shared" si="28"/>
        <v>0</v>
      </c>
      <c r="S231" s="244">
        <f t="shared" si="23"/>
        <v>0</v>
      </c>
    </row>
    <row r="232" spans="2:19" x14ac:dyDescent="0.2">
      <c r="B232" s="67">
        <f t="shared" si="24"/>
        <v>34</v>
      </c>
      <c r="C232" s="2"/>
      <c r="D232" s="2"/>
      <c r="E232" s="2"/>
      <c r="F232" s="77" t="s">
        <v>73</v>
      </c>
      <c r="G232" s="78">
        <v>717</v>
      </c>
      <c r="H232" s="78" t="s">
        <v>193</v>
      </c>
      <c r="I232" s="79"/>
      <c r="J232" s="79"/>
      <c r="K232" s="225"/>
      <c r="L232" s="68"/>
      <c r="M232" s="79">
        <f>SUM(M233:M234)</f>
        <v>133310</v>
      </c>
      <c r="N232" s="79">
        <f>SUM(N233:N234)</f>
        <v>427</v>
      </c>
      <c r="O232" s="225">
        <f t="shared" si="21"/>
        <v>0.32030605355937286</v>
      </c>
      <c r="P232" s="68"/>
      <c r="Q232" s="79">
        <f t="shared" si="25"/>
        <v>133310</v>
      </c>
      <c r="R232" s="79">
        <f t="shared" ref="R232:R278" si="29">J232+N232</f>
        <v>427</v>
      </c>
      <c r="S232" s="244">
        <f t="shared" si="23"/>
        <v>0.32030605355937286</v>
      </c>
    </row>
    <row r="233" spans="2:19" x14ac:dyDescent="0.2">
      <c r="B233" s="67">
        <f t="shared" si="24"/>
        <v>35</v>
      </c>
      <c r="C233" s="2"/>
      <c r="D233" s="2"/>
      <c r="E233" s="2"/>
      <c r="F233" s="46"/>
      <c r="G233" s="2"/>
      <c r="H233" s="2" t="s">
        <v>442</v>
      </c>
      <c r="I233" s="22"/>
      <c r="J233" s="22"/>
      <c r="K233" s="225"/>
      <c r="L233" s="68"/>
      <c r="M233" s="22">
        <v>112810</v>
      </c>
      <c r="N233" s="22">
        <v>427</v>
      </c>
      <c r="O233" s="225">
        <f t="shared" si="21"/>
        <v>0.37851254321425404</v>
      </c>
      <c r="P233" s="68"/>
      <c r="Q233" s="22">
        <f t="shared" si="25"/>
        <v>112810</v>
      </c>
      <c r="R233" s="22">
        <f t="shared" si="29"/>
        <v>427</v>
      </c>
      <c r="S233" s="244">
        <f t="shared" si="23"/>
        <v>0.37851254321425404</v>
      </c>
    </row>
    <row r="234" spans="2:19" x14ac:dyDescent="0.2">
      <c r="B234" s="67">
        <f t="shared" si="24"/>
        <v>36</v>
      </c>
      <c r="C234" s="2"/>
      <c r="D234" s="2"/>
      <c r="E234" s="2"/>
      <c r="F234" s="46"/>
      <c r="G234" s="2"/>
      <c r="H234" s="2" t="s">
        <v>453</v>
      </c>
      <c r="I234" s="22"/>
      <c r="J234" s="22"/>
      <c r="K234" s="225"/>
      <c r="L234" s="68"/>
      <c r="M234" s="22">
        <f>25000-4500</f>
        <v>20500</v>
      </c>
      <c r="N234" s="22">
        <v>0</v>
      </c>
      <c r="O234" s="225">
        <f t="shared" si="21"/>
        <v>0</v>
      </c>
      <c r="P234" s="68"/>
      <c r="Q234" s="22">
        <f t="shared" si="25"/>
        <v>20500</v>
      </c>
      <c r="R234" s="22">
        <f t="shared" si="29"/>
        <v>0</v>
      </c>
      <c r="S234" s="244">
        <f t="shared" si="23"/>
        <v>0</v>
      </c>
    </row>
    <row r="235" spans="2:19" ht="15" x14ac:dyDescent="0.25">
      <c r="B235" s="67">
        <f t="shared" si="24"/>
        <v>37</v>
      </c>
      <c r="C235" s="14"/>
      <c r="D235" s="14"/>
      <c r="E235" s="14">
        <v>2</v>
      </c>
      <c r="F235" s="43"/>
      <c r="G235" s="14"/>
      <c r="H235" s="109" t="s">
        <v>255</v>
      </c>
      <c r="I235" s="40">
        <f>I236+I237+I238+I245</f>
        <v>250340</v>
      </c>
      <c r="J235" s="40">
        <f>J236+J237+J238+J245</f>
        <v>117436</v>
      </c>
      <c r="K235" s="225">
        <f t="shared" si="20"/>
        <v>46.910601581848688</v>
      </c>
      <c r="L235" s="175"/>
      <c r="M235" s="40">
        <v>0</v>
      </c>
      <c r="N235" s="40"/>
      <c r="O235" s="225"/>
      <c r="P235" s="175"/>
      <c r="Q235" s="40">
        <f t="shared" si="25"/>
        <v>250340</v>
      </c>
      <c r="R235" s="40">
        <f t="shared" si="29"/>
        <v>117436</v>
      </c>
      <c r="S235" s="244">
        <f t="shared" si="23"/>
        <v>46.910601581848688</v>
      </c>
    </row>
    <row r="236" spans="2:19" x14ac:dyDescent="0.2">
      <c r="B236" s="67">
        <f t="shared" si="24"/>
        <v>38</v>
      </c>
      <c r="C236" s="11"/>
      <c r="D236" s="11"/>
      <c r="E236" s="11"/>
      <c r="F236" s="45" t="s">
        <v>158</v>
      </c>
      <c r="G236" s="11">
        <v>610</v>
      </c>
      <c r="H236" s="11" t="s">
        <v>135</v>
      </c>
      <c r="I236" s="42">
        <v>63900</v>
      </c>
      <c r="J236" s="42">
        <v>30018</v>
      </c>
      <c r="K236" s="225">
        <f t="shared" si="20"/>
        <v>46.97652582159624</v>
      </c>
      <c r="L236" s="114"/>
      <c r="M236" s="42"/>
      <c r="N236" s="42"/>
      <c r="O236" s="225"/>
      <c r="P236" s="114"/>
      <c r="Q236" s="42">
        <f t="shared" si="25"/>
        <v>63900</v>
      </c>
      <c r="R236" s="42">
        <f t="shared" si="29"/>
        <v>30018</v>
      </c>
      <c r="S236" s="244">
        <f t="shared" si="23"/>
        <v>46.97652582159624</v>
      </c>
    </row>
    <row r="237" spans="2:19" x14ac:dyDescent="0.2">
      <c r="B237" s="67">
        <f t="shared" si="24"/>
        <v>39</v>
      </c>
      <c r="C237" s="11"/>
      <c r="D237" s="11"/>
      <c r="E237" s="11"/>
      <c r="F237" s="45" t="s">
        <v>158</v>
      </c>
      <c r="G237" s="11">
        <v>620</v>
      </c>
      <c r="H237" s="11" t="s">
        <v>130</v>
      </c>
      <c r="I237" s="42">
        <v>24000</v>
      </c>
      <c r="J237" s="42">
        <v>11268</v>
      </c>
      <c r="K237" s="225">
        <f t="shared" si="20"/>
        <v>46.949999999999996</v>
      </c>
      <c r="L237" s="114"/>
      <c r="M237" s="42"/>
      <c r="N237" s="42"/>
      <c r="O237" s="225"/>
      <c r="P237" s="114"/>
      <c r="Q237" s="42">
        <f t="shared" si="25"/>
        <v>24000</v>
      </c>
      <c r="R237" s="42">
        <f t="shared" si="29"/>
        <v>11268</v>
      </c>
      <c r="S237" s="244">
        <f t="shared" si="23"/>
        <v>46.949999999999996</v>
      </c>
    </row>
    <row r="238" spans="2:19" x14ac:dyDescent="0.2">
      <c r="B238" s="67">
        <f t="shared" si="24"/>
        <v>40</v>
      </c>
      <c r="C238" s="11"/>
      <c r="D238" s="11"/>
      <c r="E238" s="11"/>
      <c r="F238" s="45" t="s">
        <v>158</v>
      </c>
      <c r="G238" s="11">
        <v>630</v>
      </c>
      <c r="H238" s="11" t="s">
        <v>127</v>
      </c>
      <c r="I238" s="42">
        <f>I244+I243+I242+I241+I240+I239</f>
        <v>160240</v>
      </c>
      <c r="J238" s="42">
        <f>J244+J243+J242+J241+J240+J239</f>
        <v>74095</v>
      </c>
      <c r="K238" s="225">
        <f t="shared" si="20"/>
        <v>46.240014977533697</v>
      </c>
      <c r="L238" s="114"/>
      <c r="M238" s="42">
        <f>M244+M243+M242+M241+M240+M239</f>
        <v>0</v>
      </c>
      <c r="N238" s="42">
        <f>N244+N243+N242+N241+N240+N239</f>
        <v>0</v>
      </c>
      <c r="O238" s="225"/>
      <c r="P238" s="114"/>
      <c r="Q238" s="42">
        <f t="shared" si="25"/>
        <v>160240</v>
      </c>
      <c r="R238" s="42">
        <f t="shared" si="29"/>
        <v>74095</v>
      </c>
      <c r="S238" s="244">
        <f t="shared" si="23"/>
        <v>46.240014977533697</v>
      </c>
    </row>
    <row r="239" spans="2:19" x14ac:dyDescent="0.2">
      <c r="B239" s="67">
        <f t="shared" si="24"/>
        <v>41</v>
      </c>
      <c r="C239" s="2"/>
      <c r="D239" s="2"/>
      <c r="E239" s="2"/>
      <c r="F239" s="46" t="s">
        <v>158</v>
      </c>
      <c r="G239" s="2">
        <v>632</v>
      </c>
      <c r="H239" s="2" t="s">
        <v>138</v>
      </c>
      <c r="I239" s="22">
        <v>90000</v>
      </c>
      <c r="J239" s="22">
        <v>47765</v>
      </c>
      <c r="K239" s="225">
        <f t="shared" si="20"/>
        <v>53.072222222222223</v>
      </c>
      <c r="L239" s="68"/>
      <c r="M239" s="22"/>
      <c r="N239" s="22"/>
      <c r="O239" s="225"/>
      <c r="P239" s="68"/>
      <c r="Q239" s="22">
        <f t="shared" si="25"/>
        <v>90000</v>
      </c>
      <c r="R239" s="22">
        <f t="shared" si="29"/>
        <v>47765</v>
      </c>
      <c r="S239" s="244">
        <f t="shared" si="23"/>
        <v>53.072222222222223</v>
      </c>
    </row>
    <row r="240" spans="2:19" x14ac:dyDescent="0.2">
      <c r="B240" s="67">
        <f t="shared" si="24"/>
        <v>42</v>
      </c>
      <c r="C240" s="2"/>
      <c r="D240" s="2"/>
      <c r="E240" s="2"/>
      <c r="F240" s="46" t="s">
        <v>158</v>
      </c>
      <c r="G240" s="2">
        <v>633</v>
      </c>
      <c r="H240" s="2" t="s">
        <v>131</v>
      </c>
      <c r="I240" s="22">
        <v>5250</v>
      </c>
      <c r="J240" s="22">
        <v>2083</v>
      </c>
      <c r="K240" s="225">
        <f t="shared" si="20"/>
        <v>39.676190476190477</v>
      </c>
      <c r="L240" s="68"/>
      <c r="M240" s="22"/>
      <c r="N240" s="22"/>
      <c r="O240" s="225"/>
      <c r="P240" s="68"/>
      <c r="Q240" s="22">
        <f t="shared" si="25"/>
        <v>5250</v>
      </c>
      <c r="R240" s="22">
        <f t="shared" si="29"/>
        <v>2083</v>
      </c>
      <c r="S240" s="244">
        <f t="shared" si="23"/>
        <v>39.676190476190477</v>
      </c>
    </row>
    <row r="241" spans="1:19" x14ac:dyDescent="0.2">
      <c r="B241" s="67">
        <f t="shared" si="24"/>
        <v>43</v>
      </c>
      <c r="C241" s="2"/>
      <c r="D241" s="2"/>
      <c r="E241" s="2"/>
      <c r="F241" s="46" t="s">
        <v>158</v>
      </c>
      <c r="G241" s="2">
        <v>634</v>
      </c>
      <c r="H241" s="2" t="s">
        <v>136</v>
      </c>
      <c r="I241" s="22">
        <v>4200</v>
      </c>
      <c r="J241" s="22">
        <v>940</v>
      </c>
      <c r="K241" s="225">
        <f t="shared" si="20"/>
        <v>22.380952380952383</v>
      </c>
      <c r="L241" s="68"/>
      <c r="M241" s="22"/>
      <c r="N241" s="22"/>
      <c r="O241" s="225"/>
      <c r="P241" s="68"/>
      <c r="Q241" s="22">
        <f t="shared" si="25"/>
        <v>4200</v>
      </c>
      <c r="R241" s="22">
        <f t="shared" si="29"/>
        <v>940</v>
      </c>
      <c r="S241" s="244">
        <f t="shared" si="23"/>
        <v>22.380952380952383</v>
      </c>
    </row>
    <row r="242" spans="1:19" x14ac:dyDescent="0.2">
      <c r="B242" s="67">
        <f t="shared" si="24"/>
        <v>44</v>
      </c>
      <c r="C242" s="2"/>
      <c r="D242" s="2"/>
      <c r="E242" s="2"/>
      <c r="F242" s="46" t="s">
        <v>158</v>
      </c>
      <c r="G242" s="2">
        <v>635</v>
      </c>
      <c r="H242" s="2" t="s">
        <v>137</v>
      </c>
      <c r="I242" s="22">
        <f>38000+8000</f>
        <v>46000</v>
      </c>
      <c r="J242" s="22">
        <v>17990</v>
      </c>
      <c r="K242" s="225">
        <f t="shared" si="20"/>
        <v>39.108695652173914</v>
      </c>
      <c r="L242" s="68"/>
      <c r="M242" s="22"/>
      <c r="N242" s="22"/>
      <c r="O242" s="225"/>
      <c r="P242" s="68"/>
      <c r="Q242" s="22">
        <f t="shared" si="25"/>
        <v>46000</v>
      </c>
      <c r="R242" s="22">
        <f t="shared" si="29"/>
        <v>17990</v>
      </c>
      <c r="S242" s="244">
        <f t="shared" si="23"/>
        <v>39.108695652173914</v>
      </c>
    </row>
    <row r="243" spans="1:19" x14ac:dyDescent="0.2">
      <c r="B243" s="67">
        <f t="shared" si="24"/>
        <v>45</v>
      </c>
      <c r="C243" s="2"/>
      <c r="D243" s="2"/>
      <c r="E243" s="2"/>
      <c r="F243" s="46" t="s">
        <v>158</v>
      </c>
      <c r="G243" s="2">
        <v>636</v>
      </c>
      <c r="H243" s="2" t="s">
        <v>132</v>
      </c>
      <c r="I243" s="22">
        <v>50</v>
      </c>
      <c r="J243" s="22">
        <v>0</v>
      </c>
      <c r="K243" s="225">
        <f t="shared" si="20"/>
        <v>0</v>
      </c>
      <c r="L243" s="68"/>
      <c r="M243" s="22"/>
      <c r="N243" s="22"/>
      <c r="O243" s="225"/>
      <c r="P243" s="68"/>
      <c r="Q243" s="22">
        <f t="shared" si="25"/>
        <v>50</v>
      </c>
      <c r="R243" s="22">
        <f t="shared" si="29"/>
        <v>0</v>
      </c>
      <c r="S243" s="244">
        <f t="shared" si="23"/>
        <v>0</v>
      </c>
    </row>
    <row r="244" spans="1:19" x14ac:dyDescent="0.2">
      <c r="B244" s="67">
        <f t="shared" si="24"/>
        <v>46</v>
      </c>
      <c r="C244" s="2"/>
      <c r="D244" s="2"/>
      <c r="E244" s="2"/>
      <c r="F244" s="46" t="s">
        <v>158</v>
      </c>
      <c r="G244" s="2">
        <v>637</v>
      </c>
      <c r="H244" s="2" t="s">
        <v>128</v>
      </c>
      <c r="I244" s="22">
        <f>17050+690-3000</f>
        <v>14740</v>
      </c>
      <c r="J244" s="22">
        <v>5317</v>
      </c>
      <c r="K244" s="225">
        <f t="shared" si="20"/>
        <v>36.071913161465403</v>
      </c>
      <c r="L244" s="68"/>
      <c r="M244" s="22"/>
      <c r="N244" s="22"/>
      <c r="O244" s="225"/>
      <c r="P244" s="68"/>
      <c r="Q244" s="22">
        <f t="shared" si="25"/>
        <v>14740</v>
      </c>
      <c r="R244" s="22">
        <f t="shared" si="29"/>
        <v>5317</v>
      </c>
      <c r="S244" s="244">
        <f t="shared" si="23"/>
        <v>36.071913161465403</v>
      </c>
    </row>
    <row r="245" spans="1:19" x14ac:dyDescent="0.2">
      <c r="B245" s="67">
        <f t="shared" si="24"/>
        <v>47</v>
      </c>
      <c r="C245" s="11"/>
      <c r="D245" s="11"/>
      <c r="E245" s="11"/>
      <c r="F245" s="45" t="s">
        <v>158</v>
      </c>
      <c r="G245" s="11">
        <v>640</v>
      </c>
      <c r="H245" s="11" t="s">
        <v>134</v>
      </c>
      <c r="I245" s="42">
        <v>2200</v>
      </c>
      <c r="J245" s="42">
        <v>2055</v>
      </c>
      <c r="K245" s="225">
        <f t="shared" si="20"/>
        <v>93.409090909090907</v>
      </c>
      <c r="L245" s="114"/>
      <c r="M245" s="42"/>
      <c r="N245" s="42"/>
      <c r="O245" s="225"/>
      <c r="P245" s="114"/>
      <c r="Q245" s="42">
        <f t="shared" si="25"/>
        <v>2200</v>
      </c>
      <c r="R245" s="42">
        <f t="shared" si="29"/>
        <v>2055</v>
      </c>
      <c r="S245" s="244">
        <f t="shared" si="23"/>
        <v>93.409090909090907</v>
      </c>
    </row>
    <row r="246" spans="1:19" ht="15" x14ac:dyDescent="0.2">
      <c r="B246" s="67">
        <f t="shared" si="24"/>
        <v>48</v>
      </c>
      <c r="C246" s="166">
        <v>5</v>
      </c>
      <c r="D246" s="325" t="s">
        <v>157</v>
      </c>
      <c r="E246" s="326"/>
      <c r="F246" s="326"/>
      <c r="G246" s="326"/>
      <c r="H246" s="327"/>
      <c r="I246" s="38">
        <f>I247+I248+I249+I254+I255+I257+I258</f>
        <v>3197645</v>
      </c>
      <c r="J246" s="38">
        <f>J247+J248+J249+J254+J255+J257+J258</f>
        <v>1382049</v>
      </c>
      <c r="K246" s="225">
        <f t="shared" si="20"/>
        <v>43.220839086265052</v>
      </c>
      <c r="L246" s="173"/>
      <c r="M246" s="38">
        <f>M247+M248+M249+M254+M255+M257+M258</f>
        <v>3310</v>
      </c>
      <c r="N246" s="38">
        <f>N247+N248+N249+N254+N255+N257+N258</f>
        <v>3310</v>
      </c>
      <c r="O246" s="225">
        <f t="shared" si="21"/>
        <v>100</v>
      </c>
      <c r="P246" s="173"/>
      <c r="Q246" s="38">
        <f t="shared" si="25"/>
        <v>3200955</v>
      </c>
      <c r="R246" s="38">
        <f t="shared" si="29"/>
        <v>1385359</v>
      </c>
      <c r="S246" s="244">
        <f t="shared" si="23"/>
        <v>43.279552508548228</v>
      </c>
    </row>
    <row r="247" spans="1:19" x14ac:dyDescent="0.2">
      <c r="B247" s="67">
        <f t="shared" si="24"/>
        <v>49</v>
      </c>
      <c r="C247" s="11"/>
      <c r="D247" s="11"/>
      <c r="E247" s="11"/>
      <c r="F247" s="45" t="s">
        <v>73</v>
      </c>
      <c r="G247" s="11">
        <v>610</v>
      </c>
      <c r="H247" s="11" t="s">
        <v>135</v>
      </c>
      <c r="I247" s="42">
        <v>1700000</v>
      </c>
      <c r="J247" s="42">
        <v>772332</v>
      </c>
      <c r="K247" s="225">
        <f t="shared" si="20"/>
        <v>45.431294117647056</v>
      </c>
      <c r="L247" s="114"/>
      <c r="M247" s="42"/>
      <c r="N247" s="42"/>
      <c r="O247" s="225"/>
      <c r="P247" s="114"/>
      <c r="Q247" s="42">
        <f t="shared" si="25"/>
        <v>1700000</v>
      </c>
      <c r="R247" s="42">
        <f t="shared" si="29"/>
        <v>772332</v>
      </c>
      <c r="S247" s="244">
        <f t="shared" si="23"/>
        <v>45.431294117647056</v>
      </c>
    </row>
    <row r="248" spans="1:19" x14ac:dyDescent="0.2">
      <c r="B248" s="67">
        <f t="shared" si="24"/>
        <v>50</v>
      </c>
      <c r="C248" s="11"/>
      <c r="D248" s="11"/>
      <c r="E248" s="11"/>
      <c r="F248" s="45" t="s">
        <v>73</v>
      </c>
      <c r="G248" s="11">
        <v>620</v>
      </c>
      <c r="H248" s="11" t="s">
        <v>130</v>
      </c>
      <c r="I248" s="42">
        <v>679450</v>
      </c>
      <c r="J248" s="42">
        <v>299535</v>
      </c>
      <c r="K248" s="225">
        <f t="shared" si="20"/>
        <v>44.084921627787182</v>
      </c>
      <c r="L248" s="114"/>
      <c r="M248" s="42"/>
      <c r="N248" s="42"/>
      <c r="O248" s="225"/>
      <c r="P248" s="114"/>
      <c r="Q248" s="42">
        <f t="shared" si="25"/>
        <v>679450</v>
      </c>
      <c r="R248" s="42">
        <f t="shared" si="29"/>
        <v>299535</v>
      </c>
      <c r="S248" s="244">
        <f t="shared" si="23"/>
        <v>44.084921627787182</v>
      </c>
    </row>
    <row r="249" spans="1:19" x14ac:dyDescent="0.2">
      <c r="B249" s="67">
        <f t="shared" si="24"/>
        <v>51</v>
      </c>
      <c r="C249" s="11"/>
      <c r="D249" s="11"/>
      <c r="E249" s="11"/>
      <c r="F249" s="45" t="s">
        <v>73</v>
      </c>
      <c r="G249" s="11">
        <v>630</v>
      </c>
      <c r="H249" s="11" t="s">
        <v>127</v>
      </c>
      <c r="I249" s="42">
        <f>SUM(I250:I253)</f>
        <v>460470</v>
      </c>
      <c r="J249" s="42">
        <f>SUM(J250:J253)</f>
        <v>220015</v>
      </c>
      <c r="K249" s="225">
        <f t="shared" si="20"/>
        <v>47.780528590353335</v>
      </c>
      <c r="L249" s="114"/>
      <c r="M249" s="42">
        <f>SUM(M250:M253)</f>
        <v>0</v>
      </c>
      <c r="N249" s="42">
        <f>SUM(N250:N253)</f>
        <v>0</v>
      </c>
      <c r="O249" s="225"/>
      <c r="P249" s="114"/>
      <c r="Q249" s="42">
        <f t="shared" si="25"/>
        <v>460470</v>
      </c>
      <c r="R249" s="42">
        <f t="shared" si="29"/>
        <v>220015</v>
      </c>
      <c r="S249" s="244">
        <f t="shared" si="23"/>
        <v>47.780528590353335</v>
      </c>
    </row>
    <row r="250" spans="1:19" x14ac:dyDescent="0.2">
      <c r="A250" s="301"/>
      <c r="B250" s="67">
        <f t="shared" si="24"/>
        <v>52</v>
      </c>
      <c r="C250" s="2"/>
      <c r="D250" s="2"/>
      <c r="E250" s="2"/>
      <c r="F250" s="46" t="s">
        <v>73</v>
      </c>
      <c r="G250" s="2">
        <v>632</v>
      </c>
      <c r="H250" s="2" t="s">
        <v>138</v>
      </c>
      <c r="I250" s="22">
        <f>161770</f>
        <v>161770</v>
      </c>
      <c r="J250" s="22">
        <v>77881</v>
      </c>
      <c r="K250" s="225">
        <f t="shared" si="20"/>
        <v>48.143042591333376</v>
      </c>
      <c r="L250" s="68"/>
      <c r="M250" s="22"/>
      <c r="N250" s="22"/>
      <c r="O250" s="225"/>
      <c r="P250" s="68"/>
      <c r="Q250" s="22">
        <f t="shared" si="25"/>
        <v>161770</v>
      </c>
      <c r="R250" s="22">
        <f t="shared" si="29"/>
        <v>77881</v>
      </c>
      <c r="S250" s="244">
        <f t="shared" si="23"/>
        <v>48.143042591333376</v>
      </c>
    </row>
    <row r="251" spans="1:19" x14ac:dyDescent="0.2">
      <c r="A251" s="301"/>
      <c r="B251" s="67">
        <f t="shared" si="24"/>
        <v>53</v>
      </c>
      <c r="C251" s="2"/>
      <c r="D251" s="2"/>
      <c r="E251" s="2"/>
      <c r="F251" s="46" t="s">
        <v>73</v>
      </c>
      <c r="G251" s="2">
        <v>633</v>
      </c>
      <c r="H251" s="2" t="s">
        <v>131</v>
      </c>
      <c r="I251" s="22">
        <f>38000+2700</f>
        <v>40700</v>
      </c>
      <c r="J251" s="22">
        <v>21188</v>
      </c>
      <c r="K251" s="225">
        <f t="shared" si="20"/>
        <v>52.058968058968055</v>
      </c>
      <c r="L251" s="68"/>
      <c r="M251" s="22"/>
      <c r="N251" s="22"/>
      <c r="O251" s="225"/>
      <c r="P251" s="68"/>
      <c r="Q251" s="22">
        <f t="shared" si="25"/>
        <v>40700</v>
      </c>
      <c r="R251" s="22">
        <f t="shared" si="29"/>
        <v>21188</v>
      </c>
      <c r="S251" s="244">
        <f t="shared" si="23"/>
        <v>52.058968058968055</v>
      </c>
    </row>
    <row r="252" spans="1:19" x14ac:dyDescent="0.2">
      <c r="A252" s="301"/>
      <c r="B252" s="67">
        <f t="shared" si="24"/>
        <v>54</v>
      </c>
      <c r="C252" s="2"/>
      <c r="D252" s="2"/>
      <c r="E252" s="2"/>
      <c r="F252" s="46" t="s">
        <v>73</v>
      </c>
      <c r="G252" s="2">
        <v>635</v>
      </c>
      <c r="H252" s="2" t="s">
        <v>137</v>
      </c>
      <c r="I252" s="22">
        <v>33000</v>
      </c>
      <c r="J252" s="22">
        <v>11100</v>
      </c>
      <c r="K252" s="225">
        <f t="shared" si="20"/>
        <v>33.636363636363633</v>
      </c>
      <c r="L252" s="68"/>
      <c r="M252" s="22"/>
      <c r="N252" s="22"/>
      <c r="O252" s="225"/>
      <c r="P252" s="68"/>
      <c r="Q252" s="22">
        <f t="shared" si="25"/>
        <v>33000</v>
      </c>
      <c r="R252" s="22">
        <f t="shared" si="29"/>
        <v>11100</v>
      </c>
      <c r="S252" s="244">
        <f t="shared" si="23"/>
        <v>33.636363636363633</v>
      </c>
    </row>
    <row r="253" spans="1:19" x14ac:dyDescent="0.2">
      <c r="B253" s="67">
        <f t="shared" si="24"/>
        <v>55</v>
      </c>
      <c r="C253" s="2"/>
      <c r="D253" s="2"/>
      <c r="E253" s="2"/>
      <c r="F253" s="46" t="s">
        <v>73</v>
      </c>
      <c r="G253" s="2">
        <v>637</v>
      </c>
      <c r="H253" s="2" t="s">
        <v>128</v>
      </c>
      <c r="I253" s="22">
        <v>225000</v>
      </c>
      <c r="J253" s="22">
        <v>109846</v>
      </c>
      <c r="K253" s="225">
        <f t="shared" si="20"/>
        <v>48.820444444444448</v>
      </c>
      <c r="L253" s="68"/>
      <c r="M253" s="22"/>
      <c r="N253" s="22"/>
      <c r="O253" s="225"/>
      <c r="P253" s="68"/>
      <c r="Q253" s="22">
        <f t="shared" si="25"/>
        <v>225000</v>
      </c>
      <c r="R253" s="22">
        <f t="shared" si="29"/>
        <v>109846</v>
      </c>
      <c r="S253" s="244">
        <f t="shared" si="23"/>
        <v>48.820444444444448</v>
      </c>
    </row>
    <row r="254" spans="1:19" x14ac:dyDescent="0.2">
      <c r="B254" s="67">
        <f t="shared" si="24"/>
        <v>56</v>
      </c>
      <c r="C254" s="11"/>
      <c r="D254" s="11"/>
      <c r="E254" s="11"/>
      <c r="F254" s="45" t="s">
        <v>73</v>
      </c>
      <c r="G254" s="11">
        <v>640</v>
      </c>
      <c r="H254" s="11" t="s">
        <v>134</v>
      </c>
      <c r="I254" s="42">
        <v>25000</v>
      </c>
      <c r="J254" s="42">
        <v>4859</v>
      </c>
      <c r="K254" s="225">
        <f t="shared" si="20"/>
        <v>19.436</v>
      </c>
      <c r="L254" s="114"/>
      <c r="M254" s="42"/>
      <c r="N254" s="42"/>
      <c r="O254" s="225"/>
      <c r="P254" s="114"/>
      <c r="Q254" s="42">
        <f t="shared" si="25"/>
        <v>25000</v>
      </c>
      <c r="R254" s="42">
        <f t="shared" si="29"/>
        <v>4859</v>
      </c>
      <c r="S254" s="244">
        <f t="shared" si="23"/>
        <v>19.436</v>
      </c>
    </row>
    <row r="255" spans="1:19" x14ac:dyDescent="0.2">
      <c r="B255" s="67">
        <f t="shared" si="24"/>
        <v>57</v>
      </c>
      <c r="C255" s="11"/>
      <c r="D255" s="11"/>
      <c r="E255" s="11"/>
      <c r="F255" s="45" t="s">
        <v>34</v>
      </c>
      <c r="G255" s="11">
        <v>630</v>
      </c>
      <c r="H255" s="11" t="s">
        <v>127</v>
      </c>
      <c r="I255" s="42">
        <f>I256</f>
        <v>10000</v>
      </c>
      <c r="J255" s="42">
        <f>J256</f>
        <v>6500</v>
      </c>
      <c r="K255" s="225">
        <f t="shared" si="20"/>
        <v>65</v>
      </c>
      <c r="L255" s="114"/>
      <c r="M255" s="42">
        <f>M256</f>
        <v>0</v>
      </c>
      <c r="N255" s="42">
        <f>N256</f>
        <v>0</v>
      </c>
      <c r="O255" s="225"/>
      <c r="P255" s="114"/>
      <c r="Q255" s="42">
        <f t="shared" si="25"/>
        <v>10000</v>
      </c>
      <c r="R255" s="42">
        <f t="shared" si="29"/>
        <v>6500</v>
      </c>
      <c r="S255" s="244">
        <f t="shared" si="23"/>
        <v>65</v>
      </c>
    </row>
    <row r="256" spans="1:19" x14ac:dyDescent="0.2">
      <c r="B256" s="67">
        <f t="shared" si="24"/>
        <v>58</v>
      </c>
      <c r="C256" s="2"/>
      <c r="D256" s="2"/>
      <c r="E256" s="2"/>
      <c r="F256" s="46" t="s">
        <v>34</v>
      </c>
      <c r="G256" s="2">
        <v>637</v>
      </c>
      <c r="H256" s="2" t="s">
        <v>128</v>
      </c>
      <c r="I256" s="68">
        <f>15000-5000</f>
        <v>10000</v>
      </c>
      <c r="J256" s="68">
        <v>6500</v>
      </c>
      <c r="K256" s="225">
        <f t="shared" si="20"/>
        <v>65</v>
      </c>
      <c r="L256" s="68"/>
      <c r="M256" s="22"/>
      <c r="N256" s="22"/>
      <c r="O256" s="225"/>
      <c r="P256" s="68"/>
      <c r="Q256" s="22">
        <f t="shared" si="25"/>
        <v>10000</v>
      </c>
      <c r="R256" s="22">
        <f t="shared" si="29"/>
        <v>6500</v>
      </c>
      <c r="S256" s="244">
        <f t="shared" si="23"/>
        <v>65</v>
      </c>
    </row>
    <row r="257" spans="2:19" x14ac:dyDescent="0.2">
      <c r="B257" s="67">
        <f t="shared" si="24"/>
        <v>59</v>
      </c>
      <c r="C257" s="11"/>
      <c r="D257" s="11"/>
      <c r="E257" s="11"/>
      <c r="F257" s="45" t="s">
        <v>220</v>
      </c>
      <c r="G257" s="11">
        <v>650</v>
      </c>
      <c r="H257" s="11" t="s">
        <v>221</v>
      </c>
      <c r="I257" s="42">
        <f>350000-24775-2500</f>
        <v>322725</v>
      </c>
      <c r="J257" s="42">
        <v>78808</v>
      </c>
      <c r="K257" s="225">
        <f t="shared" si="20"/>
        <v>24.419552250367961</v>
      </c>
      <c r="L257" s="114"/>
      <c r="M257" s="42"/>
      <c r="N257" s="42"/>
      <c r="O257" s="225"/>
      <c r="P257" s="114"/>
      <c r="Q257" s="42">
        <f t="shared" si="25"/>
        <v>322725</v>
      </c>
      <c r="R257" s="42">
        <f t="shared" si="29"/>
        <v>78808</v>
      </c>
      <c r="S257" s="244">
        <f t="shared" si="23"/>
        <v>24.419552250367961</v>
      </c>
    </row>
    <row r="258" spans="2:19" x14ac:dyDescent="0.2">
      <c r="B258" s="67">
        <f t="shared" si="24"/>
        <v>60</v>
      </c>
      <c r="C258" s="11"/>
      <c r="D258" s="11"/>
      <c r="E258" s="11"/>
      <c r="F258" s="45" t="s">
        <v>73</v>
      </c>
      <c r="G258" s="11">
        <v>710</v>
      </c>
      <c r="H258" s="11" t="s">
        <v>183</v>
      </c>
      <c r="I258" s="42">
        <f>I259</f>
        <v>0</v>
      </c>
      <c r="J258" s="42">
        <f>J259</f>
        <v>0</v>
      </c>
      <c r="K258" s="225"/>
      <c r="L258" s="114"/>
      <c r="M258" s="42">
        <f>M259</f>
        <v>3310</v>
      </c>
      <c r="N258" s="42">
        <f>N259</f>
        <v>3310</v>
      </c>
      <c r="O258" s="225">
        <f t="shared" si="21"/>
        <v>100</v>
      </c>
      <c r="P258" s="114"/>
      <c r="Q258" s="42">
        <f t="shared" si="25"/>
        <v>3310</v>
      </c>
      <c r="R258" s="42">
        <f t="shared" si="29"/>
        <v>3310</v>
      </c>
      <c r="S258" s="244">
        <f t="shared" si="23"/>
        <v>100</v>
      </c>
    </row>
    <row r="259" spans="2:19" x14ac:dyDescent="0.2">
      <c r="B259" s="67">
        <f t="shared" si="24"/>
        <v>61</v>
      </c>
      <c r="C259" s="2"/>
      <c r="D259" s="48"/>
      <c r="E259" s="2"/>
      <c r="F259" s="77" t="s">
        <v>73</v>
      </c>
      <c r="G259" s="78">
        <v>717</v>
      </c>
      <c r="H259" s="78" t="s">
        <v>193</v>
      </c>
      <c r="I259" s="79"/>
      <c r="J259" s="79"/>
      <c r="K259" s="225"/>
      <c r="L259" s="68"/>
      <c r="M259" s="79">
        <f>M260</f>
        <v>3310</v>
      </c>
      <c r="N259" s="79">
        <f>N260</f>
        <v>3310</v>
      </c>
      <c r="O259" s="225">
        <f t="shared" si="21"/>
        <v>100</v>
      </c>
      <c r="P259" s="68"/>
      <c r="Q259" s="79">
        <f t="shared" si="25"/>
        <v>3310</v>
      </c>
      <c r="R259" s="79">
        <f t="shared" si="29"/>
        <v>3310</v>
      </c>
      <c r="S259" s="244">
        <f t="shared" si="23"/>
        <v>100</v>
      </c>
    </row>
    <row r="260" spans="2:19" x14ac:dyDescent="0.2">
      <c r="B260" s="67">
        <f t="shared" si="24"/>
        <v>62</v>
      </c>
      <c r="C260" s="2"/>
      <c r="D260" s="48"/>
      <c r="E260" s="2"/>
      <c r="F260" s="46"/>
      <c r="G260" s="2"/>
      <c r="H260" s="29" t="s">
        <v>417</v>
      </c>
      <c r="I260" s="22"/>
      <c r="J260" s="22"/>
      <c r="K260" s="225"/>
      <c r="L260" s="68"/>
      <c r="M260" s="22">
        <v>3310</v>
      </c>
      <c r="N260" s="22">
        <v>3310</v>
      </c>
      <c r="O260" s="225">
        <f t="shared" si="21"/>
        <v>100</v>
      </c>
      <c r="P260" s="68"/>
      <c r="Q260" s="22">
        <f t="shared" si="25"/>
        <v>3310</v>
      </c>
      <c r="R260" s="22">
        <f t="shared" si="29"/>
        <v>3310</v>
      </c>
      <c r="S260" s="244">
        <f t="shared" si="23"/>
        <v>100</v>
      </c>
    </row>
    <row r="261" spans="2:19" ht="15" x14ac:dyDescent="0.2">
      <c r="B261" s="67">
        <f t="shared" si="24"/>
        <v>63</v>
      </c>
      <c r="C261" s="166">
        <v>6</v>
      </c>
      <c r="D261" s="325" t="s">
        <v>58</v>
      </c>
      <c r="E261" s="326"/>
      <c r="F261" s="326"/>
      <c r="G261" s="326"/>
      <c r="H261" s="327"/>
      <c r="I261" s="38">
        <f>I262</f>
        <v>7000</v>
      </c>
      <c r="J261" s="38">
        <f>J262</f>
        <v>3510</v>
      </c>
      <c r="K261" s="225">
        <f t="shared" si="20"/>
        <v>50.142857142857146</v>
      </c>
      <c r="L261" s="173"/>
      <c r="M261" s="38">
        <f>M262</f>
        <v>0</v>
      </c>
      <c r="N261" s="38">
        <f>N262</f>
        <v>0</v>
      </c>
      <c r="O261" s="225"/>
      <c r="P261" s="173"/>
      <c r="Q261" s="38">
        <f t="shared" si="25"/>
        <v>7000</v>
      </c>
      <c r="R261" s="38">
        <f t="shared" si="29"/>
        <v>3510</v>
      </c>
      <c r="S261" s="244">
        <f t="shared" si="23"/>
        <v>50.142857142857146</v>
      </c>
    </row>
    <row r="262" spans="2:19" x14ac:dyDescent="0.2">
      <c r="B262" s="67">
        <f t="shared" si="24"/>
        <v>64</v>
      </c>
      <c r="C262" s="11"/>
      <c r="D262" s="11"/>
      <c r="E262" s="11"/>
      <c r="F262" s="45" t="s">
        <v>73</v>
      </c>
      <c r="G262" s="11">
        <v>630</v>
      </c>
      <c r="H262" s="11" t="s">
        <v>127</v>
      </c>
      <c r="I262" s="42">
        <f>I264+I263</f>
        <v>7000</v>
      </c>
      <c r="J262" s="42">
        <f>J264+J263</f>
        <v>3510</v>
      </c>
      <c r="K262" s="225">
        <f t="shared" ref="K262:K278" si="30">J262/I262*100</f>
        <v>50.142857142857146</v>
      </c>
      <c r="L262" s="114"/>
      <c r="M262" s="42">
        <f>M264+M263</f>
        <v>0</v>
      </c>
      <c r="N262" s="42">
        <f>N264+N263</f>
        <v>0</v>
      </c>
      <c r="O262" s="225"/>
      <c r="P262" s="114"/>
      <c r="Q262" s="42">
        <f t="shared" si="25"/>
        <v>7000</v>
      </c>
      <c r="R262" s="42">
        <f t="shared" si="29"/>
        <v>3510</v>
      </c>
      <c r="S262" s="244">
        <f t="shared" ref="S262:S278" si="31">R262/Q262*100</f>
        <v>50.142857142857146</v>
      </c>
    </row>
    <row r="263" spans="2:19" x14ac:dyDescent="0.2">
      <c r="B263" s="67">
        <f t="shared" ref="B263:B278" si="32">B262+1</f>
        <v>65</v>
      </c>
      <c r="C263" s="2"/>
      <c r="D263" s="2"/>
      <c r="E263" s="2"/>
      <c r="F263" s="46" t="s">
        <v>73</v>
      </c>
      <c r="G263" s="2">
        <v>631</v>
      </c>
      <c r="H263" s="2" t="s">
        <v>133</v>
      </c>
      <c r="I263" s="22">
        <v>2500</v>
      </c>
      <c r="J263" s="22">
        <v>935</v>
      </c>
      <c r="K263" s="225">
        <f t="shared" si="30"/>
        <v>37.4</v>
      </c>
      <c r="L263" s="68"/>
      <c r="M263" s="22"/>
      <c r="N263" s="22"/>
      <c r="O263" s="225"/>
      <c r="P263" s="68"/>
      <c r="Q263" s="22">
        <f t="shared" ref="Q263:Q278" si="33">I263+M263</f>
        <v>2500</v>
      </c>
      <c r="R263" s="22">
        <f t="shared" si="29"/>
        <v>935</v>
      </c>
      <c r="S263" s="244">
        <f t="shared" si="31"/>
        <v>37.4</v>
      </c>
    </row>
    <row r="264" spans="2:19" x14ac:dyDescent="0.2">
      <c r="B264" s="67">
        <f t="shared" si="32"/>
        <v>66</v>
      </c>
      <c r="C264" s="2"/>
      <c r="D264" s="2"/>
      <c r="E264" s="2"/>
      <c r="F264" s="46" t="s">
        <v>163</v>
      </c>
      <c r="G264" s="2">
        <v>637</v>
      </c>
      <c r="H264" s="2" t="s">
        <v>128</v>
      </c>
      <c r="I264" s="22">
        <v>4500</v>
      </c>
      <c r="J264" s="22">
        <v>2575</v>
      </c>
      <c r="K264" s="225">
        <f t="shared" si="30"/>
        <v>57.222222222222221</v>
      </c>
      <c r="L264" s="68"/>
      <c r="M264" s="22"/>
      <c r="N264" s="22"/>
      <c r="O264" s="225"/>
      <c r="P264" s="68"/>
      <c r="Q264" s="22">
        <f t="shared" si="33"/>
        <v>4500</v>
      </c>
      <c r="R264" s="22">
        <f t="shared" si="29"/>
        <v>2575</v>
      </c>
      <c r="S264" s="244">
        <f t="shared" si="31"/>
        <v>57.222222222222221</v>
      </c>
    </row>
    <row r="265" spans="2:19" ht="15" x14ac:dyDescent="0.2">
      <c r="B265" s="67">
        <f t="shared" si="32"/>
        <v>67</v>
      </c>
      <c r="C265" s="166">
        <v>7</v>
      </c>
      <c r="D265" s="325" t="s">
        <v>139</v>
      </c>
      <c r="E265" s="326"/>
      <c r="F265" s="326"/>
      <c r="G265" s="326"/>
      <c r="H265" s="327"/>
      <c r="I265" s="38">
        <f>I266+I270</f>
        <v>148700</v>
      </c>
      <c r="J265" s="38">
        <f>J266+J270</f>
        <v>73881</v>
      </c>
      <c r="K265" s="225">
        <f t="shared" si="30"/>
        <v>49.684599865501013</v>
      </c>
      <c r="L265" s="173"/>
      <c r="M265" s="38">
        <f>M266+M270</f>
        <v>80000</v>
      </c>
      <c r="N265" s="38">
        <f>N266+N270</f>
        <v>0</v>
      </c>
      <c r="O265" s="225">
        <f t="shared" ref="O265:O274" si="34">N265/M265*100</f>
        <v>0</v>
      </c>
      <c r="P265" s="173"/>
      <c r="Q265" s="38">
        <f t="shared" si="33"/>
        <v>228700</v>
      </c>
      <c r="R265" s="38">
        <f t="shared" si="29"/>
        <v>73881</v>
      </c>
      <c r="S265" s="244">
        <f t="shared" si="31"/>
        <v>32.304766069086135</v>
      </c>
    </row>
    <row r="266" spans="2:19" x14ac:dyDescent="0.2">
      <c r="B266" s="67">
        <f t="shared" si="32"/>
        <v>68</v>
      </c>
      <c r="C266" s="11"/>
      <c r="D266" s="11"/>
      <c r="E266" s="11"/>
      <c r="F266" s="45" t="s">
        <v>73</v>
      </c>
      <c r="G266" s="11">
        <v>630</v>
      </c>
      <c r="H266" s="11" t="s">
        <v>127</v>
      </c>
      <c r="I266" s="42">
        <f>I267+I268+I269</f>
        <v>148700</v>
      </c>
      <c r="J266" s="42">
        <f>J267+J268+J269</f>
        <v>73881</v>
      </c>
      <c r="K266" s="225">
        <f t="shared" si="30"/>
        <v>49.684599865501013</v>
      </c>
      <c r="L266" s="114"/>
      <c r="M266" s="42">
        <v>0</v>
      </c>
      <c r="N266" s="42"/>
      <c r="O266" s="225"/>
      <c r="P266" s="114"/>
      <c r="Q266" s="42">
        <f t="shared" si="33"/>
        <v>148700</v>
      </c>
      <c r="R266" s="42">
        <f t="shared" si="29"/>
        <v>73881</v>
      </c>
      <c r="S266" s="244">
        <f t="shared" si="31"/>
        <v>49.684599865501013</v>
      </c>
    </row>
    <row r="267" spans="2:19" x14ac:dyDescent="0.2">
      <c r="B267" s="67">
        <f t="shared" si="32"/>
        <v>69</v>
      </c>
      <c r="C267" s="2"/>
      <c r="D267" s="2"/>
      <c r="E267" s="2"/>
      <c r="F267" s="46" t="s">
        <v>73</v>
      </c>
      <c r="G267" s="2">
        <v>632</v>
      </c>
      <c r="H267" s="2" t="s">
        <v>138</v>
      </c>
      <c r="I267" s="22">
        <v>4700</v>
      </c>
      <c r="J267" s="22">
        <v>1736</v>
      </c>
      <c r="K267" s="225">
        <f t="shared" si="30"/>
        <v>36.936170212765958</v>
      </c>
      <c r="L267" s="68"/>
      <c r="M267" s="22"/>
      <c r="N267" s="22"/>
      <c r="O267" s="225"/>
      <c r="P267" s="68"/>
      <c r="Q267" s="22">
        <f t="shared" si="33"/>
        <v>4700</v>
      </c>
      <c r="R267" s="22">
        <f t="shared" si="29"/>
        <v>1736</v>
      </c>
      <c r="S267" s="244">
        <f t="shared" si="31"/>
        <v>36.936170212765958</v>
      </c>
    </row>
    <row r="268" spans="2:19" x14ac:dyDescent="0.2">
      <c r="B268" s="67">
        <f t="shared" si="32"/>
        <v>70</v>
      </c>
      <c r="C268" s="2"/>
      <c r="D268" s="2"/>
      <c r="E268" s="2"/>
      <c r="F268" s="46" t="s">
        <v>73</v>
      </c>
      <c r="G268" s="2">
        <v>633</v>
      </c>
      <c r="H268" s="2" t="s">
        <v>131</v>
      </c>
      <c r="I268" s="22">
        <v>21000</v>
      </c>
      <c r="J268" s="22">
        <v>16724</v>
      </c>
      <c r="K268" s="225">
        <f t="shared" si="30"/>
        <v>79.638095238095246</v>
      </c>
      <c r="L268" s="68"/>
      <c r="M268" s="22"/>
      <c r="N268" s="22"/>
      <c r="O268" s="225"/>
      <c r="P268" s="68"/>
      <c r="Q268" s="22">
        <f t="shared" si="33"/>
        <v>21000</v>
      </c>
      <c r="R268" s="22">
        <f t="shared" si="29"/>
        <v>16724</v>
      </c>
      <c r="S268" s="244">
        <f t="shared" si="31"/>
        <v>79.638095238095246</v>
      </c>
    </row>
    <row r="269" spans="2:19" x14ac:dyDescent="0.2">
      <c r="B269" s="67">
        <f t="shared" si="32"/>
        <v>71</v>
      </c>
      <c r="C269" s="2"/>
      <c r="D269" s="2"/>
      <c r="E269" s="2"/>
      <c r="F269" s="46" t="s">
        <v>73</v>
      </c>
      <c r="G269" s="2">
        <v>635</v>
      </c>
      <c r="H269" s="2" t="s">
        <v>137</v>
      </c>
      <c r="I269" s="22">
        <v>123000</v>
      </c>
      <c r="J269" s="22">
        <v>55421</v>
      </c>
      <c r="K269" s="225">
        <f t="shared" si="30"/>
        <v>45.05772357723577</v>
      </c>
      <c r="L269" s="68"/>
      <c r="M269" s="22"/>
      <c r="N269" s="22"/>
      <c r="O269" s="225"/>
      <c r="P269" s="68"/>
      <c r="Q269" s="22">
        <f t="shared" si="33"/>
        <v>123000</v>
      </c>
      <c r="R269" s="22">
        <f t="shared" si="29"/>
        <v>55421</v>
      </c>
      <c r="S269" s="244">
        <f t="shared" si="31"/>
        <v>45.05772357723577</v>
      </c>
    </row>
    <row r="270" spans="2:19" x14ac:dyDescent="0.2">
      <c r="B270" s="67">
        <f t="shared" si="32"/>
        <v>72</v>
      </c>
      <c r="C270" s="11"/>
      <c r="D270" s="11"/>
      <c r="E270" s="11"/>
      <c r="F270" s="45" t="s">
        <v>73</v>
      </c>
      <c r="G270" s="11">
        <v>710</v>
      </c>
      <c r="H270" s="11" t="s">
        <v>183</v>
      </c>
      <c r="I270" s="42">
        <f>I273+I271</f>
        <v>0</v>
      </c>
      <c r="J270" s="42">
        <f>J273+J271</f>
        <v>0</v>
      </c>
      <c r="K270" s="225"/>
      <c r="L270" s="114"/>
      <c r="M270" s="42">
        <f>M273+M271</f>
        <v>80000</v>
      </c>
      <c r="N270" s="42">
        <f>N273+N271</f>
        <v>0</v>
      </c>
      <c r="O270" s="225">
        <f t="shared" si="34"/>
        <v>0</v>
      </c>
      <c r="P270" s="114"/>
      <c r="Q270" s="42">
        <f t="shared" si="33"/>
        <v>80000</v>
      </c>
      <c r="R270" s="42">
        <f t="shared" si="29"/>
        <v>0</v>
      </c>
      <c r="S270" s="244">
        <f t="shared" si="31"/>
        <v>0</v>
      </c>
    </row>
    <row r="271" spans="2:19" x14ac:dyDescent="0.2">
      <c r="B271" s="67">
        <f t="shared" si="32"/>
        <v>73</v>
      </c>
      <c r="C271" s="2"/>
      <c r="D271" s="2"/>
      <c r="E271" s="2"/>
      <c r="F271" s="77" t="s">
        <v>73</v>
      </c>
      <c r="G271" s="78">
        <v>711</v>
      </c>
      <c r="H271" s="78" t="s">
        <v>222</v>
      </c>
      <c r="I271" s="79"/>
      <c r="J271" s="79"/>
      <c r="K271" s="225"/>
      <c r="L271" s="68"/>
      <c r="M271" s="79">
        <f>M272</f>
        <v>70000</v>
      </c>
      <c r="N271" s="79">
        <f>N272</f>
        <v>0</v>
      </c>
      <c r="O271" s="225">
        <f t="shared" si="34"/>
        <v>0</v>
      </c>
      <c r="P271" s="68"/>
      <c r="Q271" s="79">
        <f t="shared" si="33"/>
        <v>70000</v>
      </c>
      <c r="R271" s="79">
        <f t="shared" si="29"/>
        <v>0</v>
      </c>
      <c r="S271" s="244">
        <f t="shared" si="31"/>
        <v>0</v>
      </c>
    </row>
    <row r="272" spans="2:19" x14ac:dyDescent="0.2">
      <c r="B272" s="67">
        <f t="shared" si="32"/>
        <v>74</v>
      </c>
      <c r="C272" s="2"/>
      <c r="D272" s="2"/>
      <c r="E272" s="2"/>
      <c r="F272" s="46"/>
      <c r="G272" s="2"/>
      <c r="H272" s="2" t="s">
        <v>178</v>
      </c>
      <c r="I272" s="22"/>
      <c r="J272" s="22"/>
      <c r="K272" s="225"/>
      <c r="L272" s="68"/>
      <c r="M272" s="22">
        <f>75000-5000</f>
        <v>70000</v>
      </c>
      <c r="N272" s="22">
        <v>0</v>
      </c>
      <c r="O272" s="225">
        <f t="shared" si="34"/>
        <v>0</v>
      </c>
      <c r="P272" s="68"/>
      <c r="Q272" s="22">
        <f t="shared" si="33"/>
        <v>70000</v>
      </c>
      <c r="R272" s="22">
        <f t="shared" si="29"/>
        <v>0</v>
      </c>
      <c r="S272" s="244">
        <f t="shared" si="31"/>
        <v>0</v>
      </c>
    </row>
    <row r="273" spans="2:19" x14ac:dyDescent="0.2">
      <c r="B273" s="67">
        <f t="shared" si="32"/>
        <v>75</v>
      </c>
      <c r="C273" s="2"/>
      <c r="D273" s="48"/>
      <c r="E273" s="2"/>
      <c r="F273" s="77" t="s">
        <v>73</v>
      </c>
      <c r="G273" s="78">
        <v>713</v>
      </c>
      <c r="H273" s="80" t="s">
        <v>4</v>
      </c>
      <c r="I273" s="79"/>
      <c r="J273" s="79"/>
      <c r="K273" s="225"/>
      <c r="L273" s="68"/>
      <c r="M273" s="79">
        <f>M274</f>
        <v>10000</v>
      </c>
      <c r="N273" s="79">
        <f>N274</f>
        <v>0</v>
      </c>
      <c r="O273" s="225">
        <f t="shared" si="34"/>
        <v>0</v>
      </c>
      <c r="P273" s="68"/>
      <c r="Q273" s="79">
        <f t="shared" si="33"/>
        <v>10000</v>
      </c>
      <c r="R273" s="79">
        <f t="shared" si="29"/>
        <v>0</v>
      </c>
      <c r="S273" s="244">
        <f t="shared" si="31"/>
        <v>0</v>
      </c>
    </row>
    <row r="274" spans="2:19" x14ac:dyDescent="0.2">
      <c r="B274" s="67">
        <f t="shared" si="32"/>
        <v>76</v>
      </c>
      <c r="C274" s="2"/>
      <c r="D274" s="48"/>
      <c r="E274" s="2"/>
      <c r="F274" s="46"/>
      <c r="G274" s="2"/>
      <c r="H274" s="29" t="s">
        <v>3</v>
      </c>
      <c r="I274" s="22"/>
      <c r="J274" s="22"/>
      <c r="K274" s="225"/>
      <c r="L274" s="68"/>
      <c r="M274" s="22">
        <v>10000</v>
      </c>
      <c r="N274" s="22">
        <v>0</v>
      </c>
      <c r="O274" s="225">
        <f t="shared" si="34"/>
        <v>0</v>
      </c>
      <c r="P274" s="68"/>
      <c r="Q274" s="22">
        <f t="shared" si="33"/>
        <v>10000</v>
      </c>
      <c r="R274" s="22">
        <f t="shared" si="29"/>
        <v>0</v>
      </c>
      <c r="S274" s="244">
        <f t="shared" si="31"/>
        <v>0</v>
      </c>
    </row>
    <row r="275" spans="2:19" ht="15" x14ac:dyDescent="0.2">
      <c r="B275" s="67">
        <f t="shared" si="32"/>
        <v>77</v>
      </c>
      <c r="C275" s="166">
        <v>8</v>
      </c>
      <c r="D275" s="325" t="s">
        <v>36</v>
      </c>
      <c r="E275" s="326"/>
      <c r="F275" s="326"/>
      <c r="G275" s="326"/>
      <c r="H275" s="327"/>
      <c r="I275" s="38">
        <f>I276</f>
        <v>30000</v>
      </c>
      <c r="J275" s="38">
        <f>J276</f>
        <v>13266</v>
      </c>
      <c r="K275" s="225">
        <f t="shared" si="30"/>
        <v>44.22</v>
      </c>
      <c r="L275" s="173"/>
      <c r="M275" s="38">
        <f>M276</f>
        <v>0</v>
      </c>
      <c r="N275" s="38">
        <f>N276</f>
        <v>0</v>
      </c>
      <c r="O275" s="225"/>
      <c r="P275" s="173"/>
      <c r="Q275" s="38">
        <f t="shared" si="33"/>
        <v>30000</v>
      </c>
      <c r="R275" s="38">
        <f t="shared" si="29"/>
        <v>13266</v>
      </c>
      <c r="S275" s="244">
        <f t="shared" si="31"/>
        <v>44.22</v>
      </c>
    </row>
    <row r="276" spans="2:19" x14ac:dyDescent="0.2">
      <c r="B276" s="67">
        <f t="shared" si="32"/>
        <v>78</v>
      </c>
      <c r="C276" s="11"/>
      <c r="D276" s="11"/>
      <c r="E276" s="11"/>
      <c r="F276" s="45" t="s">
        <v>73</v>
      </c>
      <c r="G276" s="11">
        <v>630</v>
      </c>
      <c r="H276" s="11" t="s">
        <v>127</v>
      </c>
      <c r="I276" s="42">
        <f>I278+I277</f>
        <v>30000</v>
      </c>
      <c r="J276" s="42">
        <f>J278+J277</f>
        <v>13266</v>
      </c>
      <c r="K276" s="225">
        <f t="shared" si="30"/>
        <v>44.22</v>
      </c>
      <c r="L276" s="114"/>
      <c r="M276" s="42">
        <f>M278+M277</f>
        <v>0</v>
      </c>
      <c r="N276" s="42">
        <f>N278+N277</f>
        <v>0</v>
      </c>
      <c r="O276" s="225"/>
      <c r="P276" s="114"/>
      <c r="Q276" s="42">
        <f t="shared" si="33"/>
        <v>30000</v>
      </c>
      <c r="R276" s="42">
        <f t="shared" si="29"/>
        <v>13266</v>
      </c>
      <c r="S276" s="244">
        <f t="shared" si="31"/>
        <v>44.22</v>
      </c>
    </row>
    <row r="277" spans="2:19" x14ac:dyDescent="0.2">
      <c r="B277" s="67">
        <f t="shared" si="32"/>
        <v>79</v>
      </c>
      <c r="C277" s="2"/>
      <c r="D277" s="2"/>
      <c r="E277" s="2"/>
      <c r="F277" s="46" t="s">
        <v>73</v>
      </c>
      <c r="G277" s="2">
        <v>634</v>
      </c>
      <c r="H277" s="2" t="s">
        <v>136</v>
      </c>
      <c r="I277" s="22">
        <v>29450</v>
      </c>
      <c r="J277" s="22">
        <v>12889</v>
      </c>
      <c r="K277" s="225">
        <f t="shared" si="30"/>
        <v>43.765704584040748</v>
      </c>
      <c r="L277" s="68"/>
      <c r="M277" s="22"/>
      <c r="N277" s="22"/>
      <c r="O277" s="225"/>
      <c r="P277" s="68"/>
      <c r="Q277" s="22">
        <f t="shared" si="33"/>
        <v>29450</v>
      </c>
      <c r="R277" s="22">
        <f t="shared" si="29"/>
        <v>12889</v>
      </c>
      <c r="S277" s="244">
        <f t="shared" si="31"/>
        <v>43.765704584040748</v>
      </c>
    </row>
    <row r="278" spans="2:19" x14ac:dyDescent="0.2">
      <c r="B278" s="67">
        <f t="shared" si="32"/>
        <v>80</v>
      </c>
      <c r="C278" s="2"/>
      <c r="D278" s="2"/>
      <c r="E278" s="2"/>
      <c r="F278" s="46" t="s">
        <v>73</v>
      </c>
      <c r="G278" s="2">
        <v>637</v>
      </c>
      <c r="H278" s="2" t="s">
        <v>128</v>
      </c>
      <c r="I278" s="22">
        <v>550</v>
      </c>
      <c r="J278" s="22">
        <v>377</v>
      </c>
      <c r="K278" s="225">
        <f t="shared" si="30"/>
        <v>68.545454545454547</v>
      </c>
      <c r="L278" s="68"/>
      <c r="M278" s="22"/>
      <c r="N278" s="22"/>
      <c r="O278" s="225"/>
      <c r="P278" s="68"/>
      <c r="Q278" s="22">
        <f t="shared" si="33"/>
        <v>550</v>
      </c>
      <c r="R278" s="22">
        <f t="shared" si="29"/>
        <v>377</v>
      </c>
      <c r="S278" s="244">
        <f t="shared" si="31"/>
        <v>68.545454545454547</v>
      </c>
    </row>
    <row r="322" spans="2:19" ht="27" x14ac:dyDescent="0.35">
      <c r="B322" s="306" t="s">
        <v>295</v>
      </c>
      <c r="C322" s="307"/>
      <c r="D322" s="307"/>
      <c r="E322" s="307"/>
      <c r="F322" s="307"/>
      <c r="G322" s="307"/>
      <c r="H322" s="307"/>
      <c r="I322" s="307"/>
      <c r="J322" s="307"/>
      <c r="K322" s="307"/>
      <c r="L322" s="307"/>
      <c r="M322" s="307"/>
      <c r="N322" s="307"/>
      <c r="O322" s="307"/>
      <c r="P322" s="307"/>
      <c r="Q322" s="307"/>
    </row>
    <row r="323" spans="2:19" ht="12.75" customHeight="1" x14ac:dyDescent="0.2">
      <c r="B323" s="308" t="s">
        <v>279</v>
      </c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09"/>
      <c r="N323" s="181"/>
      <c r="O323" s="182"/>
      <c r="P323" s="182"/>
      <c r="Q323" s="310" t="s">
        <v>590</v>
      </c>
      <c r="R323" s="310" t="s">
        <v>693</v>
      </c>
      <c r="S323" s="337" t="s">
        <v>691</v>
      </c>
    </row>
    <row r="324" spans="2:19" ht="12.75" customHeight="1" x14ac:dyDescent="0.2">
      <c r="B324" s="313" t="s">
        <v>111</v>
      </c>
      <c r="C324" s="315" t="s">
        <v>119</v>
      </c>
      <c r="D324" s="315" t="s">
        <v>120</v>
      </c>
      <c r="E324" s="317" t="s">
        <v>124</v>
      </c>
      <c r="F324" s="315" t="s">
        <v>121</v>
      </c>
      <c r="G324" s="315" t="s">
        <v>122</v>
      </c>
      <c r="H324" s="320" t="s">
        <v>123</v>
      </c>
      <c r="I324" s="310" t="s">
        <v>587</v>
      </c>
      <c r="J324" s="310" t="s">
        <v>690</v>
      </c>
      <c r="K324" s="337" t="s">
        <v>691</v>
      </c>
      <c r="L324" s="169"/>
      <c r="M324" s="310" t="s">
        <v>588</v>
      </c>
      <c r="N324" s="311" t="s">
        <v>692</v>
      </c>
      <c r="O324" s="337" t="s">
        <v>691</v>
      </c>
      <c r="P324" s="170"/>
      <c r="Q324" s="311"/>
      <c r="R324" s="311"/>
      <c r="S324" s="338"/>
    </row>
    <row r="325" spans="2:19" x14ac:dyDescent="0.2">
      <c r="B325" s="313"/>
      <c r="C325" s="315"/>
      <c r="D325" s="315"/>
      <c r="E325" s="318"/>
      <c r="F325" s="315"/>
      <c r="G325" s="315"/>
      <c r="H325" s="320"/>
      <c r="I325" s="311"/>
      <c r="J325" s="311"/>
      <c r="K325" s="338"/>
      <c r="L325" s="170"/>
      <c r="M325" s="311"/>
      <c r="N325" s="311"/>
      <c r="O325" s="338"/>
      <c r="P325" s="170"/>
      <c r="Q325" s="311"/>
      <c r="R325" s="311"/>
      <c r="S325" s="338"/>
    </row>
    <row r="326" spans="2:19" x14ac:dyDescent="0.2">
      <c r="B326" s="313"/>
      <c r="C326" s="315"/>
      <c r="D326" s="315"/>
      <c r="E326" s="318"/>
      <c r="F326" s="315"/>
      <c r="G326" s="315"/>
      <c r="H326" s="320"/>
      <c r="I326" s="311"/>
      <c r="J326" s="311"/>
      <c r="K326" s="338"/>
      <c r="L326" s="170"/>
      <c r="M326" s="311"/>
      <c r="N326" s="311"/>
      <c r="O326" s="338"/>
      <c r="P326" s="170"/>
      <c r="Q326" s="311"/>
      <c r="R326" s="311"/>
      <c r="S326" s="338"/>
    </row>
    <row r="327" spans="2:19" ht="13.5" thickBot="1" x14ac:dyDescent="0.25">
      <c r="B327" s="314"/>
      <c r="C327" s="316"/>
      <c r="D327" s="316"/>
      <c r="E327" s="319"/>
      <c r="F327" s="316"/>
      <c r="G327" s="316"/>
      <c r="H327" s="321"/>
      <c r="I327" s="312"/>
      <c r="J327" s="312"/>
      <c r="K327" s="339"/>
      <c r="L327" s="171"/>
      <c r="M327" s="312"/>
      <c r="N327" s="312"/>
      <c r="O327" s="339"/>
      <c r="P327" s="171"/>
      <c r="Q327" s="312"/>
      <c r="R327" s="312"/>
      <c r="S327" s="339"/>
    </row>
    <row r="328" spans="2:19" ht="16.5" thickTop="1" x14ac:dyDescent="0.2">
      <c r="B328" s="66">
        <v>1</v>
      </c>
      <c r="C328" s="322" t="s">
        <v>295</v>
      </c>
      <c r="D328" s="323"/>
      <c r="E328" s="323"/>
      <c r="F328" s="323"/>
      <c r="G328" s="323"/>
      <c r="H328" s="324"/>
      <c r="I328" s="98">
        <f>I391+I377+I365+I355+I345+I334+I329</f>
        <v>518178</v>
      </c>
      <c r="J328" s="98">
        <f>J391+J377+J365+J355+J345+J334+J329</f>
        <v>219689</v>
      </c>
      <c r="K328" s="225">
        <f t="shared" ref="K328:K382" si="35">J328/I328*100</f>
        <v>42.396435201803243</v>
      </c>
      <c r="L328" s="172"/>
      <c r="M328" s="98">
        <f>M391+M377+M365+M355+M345+M334+M329</f>
        <v>38212</v>
      </c>
      <c r="N328" s="98">
        <f>N391+N377+N365+N355+N345+N334+N329</f>
        <v>1303</v>
      </c>
      <c r="O328" s="225">
        <f t="shared" ref="O328:O390" si="36">N328/M328*100</f>
        <v>3.4099235842143831</v>
      </c>
      <c r="P328" s="172"/>
      <c r="Q328" s="37">
        <f t="shared" ref="Q328:Q390" si="37">I328+M328</f>
        <v>556390</v>
      </c>
      <c r="R328" s="37">
        <f t="shared" ref="R328:R390" si="38">J328+N328</f>
        <v>220992</v>
      </c>
      <c r="S328" s="244">
        <f t="shared" ref="S328:S390" si="39">R328/Q328*100</f>
        <v>39.718902208882255</v>
      </c>
    </row>
    <row r="329" spans="2:19" ht="15" x14ac:dyDescent="0.2">
      <c r="B329" s="67">
        <f t="shared" ref="B329:B392" si="40">B328+1</f>
        <v>2</v>
      </c>
      <c r="C329" s="166">
        <v>1</v>
      </c>
      <c r="D329" s="325" t="s">
        <v>191</v>
      </c>
      <c r="E329" s="326"/>
      <c r="F329" s="326"/>
      <c r="G329" s="326"/>
      <c r="H329" s="327"/>
      <c r="I329" s="38">
        <f>I330+I331</f>
        <v>27500</v>
      </c>
      <c r="J329" s="38">
        <f>J330+J331</f>
        <v>10709</v>
      </c>
      <c r="K329" s="225">
        <f t="shared" si="35"/>
        <v>38.941818181818185</v>
      </c>
      <c r="L329" s="173"/>
      <c r="M329" s="38">
        <f>M330+M331</f>
        <v>0</v>
      </c>
      <c r="N329" s="38">
        <f>N330+N331</f>
        <v>0</v>
      </c>
      <c r="O329" s="225"/>
      <c r="P329" s="173"/>
      <c r="Q329" s="38">
        <f t="shared" si="37"/>
        <v>27500</v>
      </c>
      <c r="R329" s="38">
        <f t="shared" si="38"/>
        <v>10709</v>
      </c>
      <c r="S329" s="244">
        <f t="shared" si="39"/>
        <v>38.941818181818185</v>
      </c>
    </row>
    <row r="330" spans="2:19" x14ac:dyDescent="0.2">
      <c r="B330" s="67">
        <f t="shared" si="40"/>
        <v>3</v>
      </c>
      <c r="C330" s="11"/>
      <c r="D330" s="11"/>
      <c r="E330" s="11"/>
      <c r="F330" s="45" t="s">
        <v>74</v>
      </c>
      <c r="G330" s="11">
        <v>620</v>
      </c>
      <c r="H330" s="11" t="s">
        <v>130</v>
      </c>
      <c r="I330" s="42">
        <v>3900</v>
      </c>
      <c r="J330" s="42">
        <v>1622</v>
      </c>
      <c r="K330" s="225">
        <f t="shared" si="35"/>
        <v>41.589743589743591</v>
      </c>
      <c r="L330" s="114"/>
      <c r="M330" s="42"/>
      <c r="N330" s="42"/>
      <c r="O330" s="225"/>
      <c r="P330" s="114"/>
      <c r="Q330" s="42">
        <f t="shared" si="37"/>
        <v>3900</v>
      </c>
      <c r="R330" s="42">
        <f t="shared" si="38"/>
        <v>1622</v>
      </c>
      <c r="S330" s="244">
        <f t="shared" si="39"/>
        <v>41.589743589743591</v>
      </c>
    </row>
    <row r="331" spans="2:19" x14ac:dyDescent="0.2">
      <c r="B331" s="67">
        <f t="shared" si="40"/>
        <v>4</v>
      </c>
      <c r="C331" s="11"/>
      <c r="D331" s="11"/>
      <c r="E331" s="11"/>
      <c r="F331" s="45" t="s">
        <v>74</v>
      </c>
      <c r="G331" s="11">
        <v>630</v>
      </c>
      <c r="H331" s="11" t="s">
        <v>127</v>
      </c>
      <c r="I331" s="42">
        <f>I333+I332</f>
        <v>23600</v>
      </c>
      <c r="J331" s="42">
        <f>J333+J332</f>
        <v>9087</v>
      </c>
      <c r="K331" s="225">
        <f t="shared" si="35"/>
        <v>38.504237288135599</v>
      </c>
      <c r="L331" s="114"/>
      <c r="M331" s="42">
        <f>M333+M332</f>
        <v>0</v>
      </c>
      <c r="N331" s="42">
        <f>N333+N332</f>
        <v>0</v>
      </c>
      <c r="O331" s="225"/>
      <c r="P331" s="114"/>
      <c r="Q331" s="42">
        <f t="shared" si="37"/>
        <v>23600</v>
      </c>
      <c r="R331" s="42">
        <f t="shared" si="38"/>
        <v>9087</v>
      </c>
      <c r="S331" s="244">
        <f t="shared" si="39"/>
        <v>38.504237288135599</v>
      </c>
    </row>
    <row r="332" spans="2:19" x14ac:dyDescent="0.2">
      <c r="B332" s="67">
        <f t="shared" si="40"/>
        <v>5</v>
      </c>
      <c r="C332" s="2"/>
      <c r="D332" s="2"/>
      <c r="E332" s="2"/>
      <c r="F332" s="46" t="s">
        <v>74</v>
      </c>
      <c r="G332" s="2">
        <v>633</v>
      </c>
      <c r="H332" s="2" t="s">
        <v>131</v>
      </c>
      <c r="I332" s="22">
        <v>3100</v>
      </c>
      <c r="J332" s="22">
        <v>656</v>
      </c>
      <c r="K332" s="225">
        <f t="shared" si="35"/>
        <v>21.161290322580644</v>
      </c>
      <c r="L332" s="68"/>
      <c r="M332" s="22"/>
      <c r="N332" s="22"/>
      <c r="O332" s="225"/>
      <c r="P332" s="68"/>
      <c r="Q332" s="22">
        <f t="shared" si="37"/>
        <v>3100</v>
      </c>
      <c r="R332" s="22">
        <f t="shared" si="38"/>
        <v>656</v>
      </c>
      <c r="S332" s="244">
        <f t="shared" si="39"/>
        <v>21.161290322580644</v>
      </c>
    </row>
    <row r="333" spans="2:19" x14ac:dyDescent="0.2">
      <c r="B333" s="67">
        <f t="shared" si="40"/>
        <v>6</v>
      </c>
      <c r="C333" s="2"/>
      <c r="D333" s="2"/>
      <c r="E333" s="2"/>
      <c r="F333" s="46" t="s">
        <v>74</v>
      </c>
      <c r="G333" s="2">
        <v>637</v>
      </c>
      <c r="H333" s="2" t="s">
        <v>128</v>
      </c>
      <c r="I333" s="22">
        <v>20500</v>
      </c>
      <c r="J333" s="22">
        <v>8431</v>
      </c>
      <c r="K333" s="225">
        <f t="shared" si="35"/>
        <v>41.126829268292681</v>
      </c>
      <c r="L333" s="68"/>
      <c r="M333" s="22"/>
      <c r="N333" s="22"/>
      <c r="O333" s="225"/>
      <c r="P333" s="68"/>
      <c r="Q333" s="22">
        <f t="shared" si="37"/>
        <v>20500</v>
      </c>
      <c r="R333" s="22">
        <f t="shared" si="38"/>
        <v>8431</v>
      </c>
      <c r="S333" s="244">
        <f t="shared" si="39"/>
        <v>41.126829268292681</v>
      </c>
    </row>
    <row r="334" spans="2:19" ht="15" x14ac:dyDescent="0.2">
      <c r="B334" s="67">
        <f t="shared" si="40"/>
        <v>7</v>
      </c>
      <c r="C334" s="166">
        <v>2</v>
      </c>
      <c r="D334" s="325" t="s">
        <v>195</v>
      </c>
      <c r="E334" s="326"/>
      <c r="F334" s="326"/>
      <c r="G334" s="326"/>
      <c r="H334" s="327"/>
      <c r="I334" s="38">
        <f>I335+I336+I337+I344</f>
        <v>96923</v>
      </c>
      <c r="J334" s="38">
        <f>J335+J336+J337+J344</f>
        <v>38521</v>
      </c>
      <c r="K334" s="225">
        <f t="shared" si="35"/>
        <v>39.743920431682881</v>
      </c>
      <c r="L334" s="173"/>
      <c r="M334" s="38">
        <f>M335+M336+M337+M344</f>
        <v>0</v>
      </c>
      <c r="N334" s="38">
        <f>N335+N336+N337+N344</f>
        <v>0</v>
      </c>
      <c r="O334" s="225"/>
      <c r="P334" s="173"/>
      <c r="Q334" s="38">
        <f t="shared" si="37"/>
        <v>96923</v>
      </c>
      <c r="R334" s="38">
        <f t="shared" si="38"/>
        <v>38521</v>
      </c>
      <c r="S334" s="244">
        <f t="shared" si="39"/>
        <v>39.743920431682881</v>
      </c>
    </row>
    <row r="335" spans="2:19" x14ac:dyDescent="0.2">
      <c r="B335" s="67">
        <f t="shared" si="40"/>
        <v>8</v>
      </c>
      <c r="C335" s="11"/>
      <c r="D335" s="11"/>
      <c r="E335" s="11"/>
      <c r="F335" s="45" t="s">
        <v>194</v>
      </c>
      <c r="G335" s="11">
        <v>610</v>
      </c>
      <c r="H335" s="11" t="s">
        <v>135</v>
      </c>
      <c r="I335" s="42">
        <f>56000+4800-1000</f>
        <v>59800</v>
      </c>
      <c r="J335" s="42">
        <v>22856</v>
      </c>
      <c r="K335" s="225">
        <f t="shared" si="35"/>
        <v>38.220735785953174</v>
      </c>
      <c r="L335" s="114"/>
      <c r="M335" s="42"/>
      <c r="N335" s="42"/>
      <c r="O335" s="225"/>
      <c r="P335" s="114"/>
      <c r="Q335" s="42">
        <f t="shared" si="37"/>
        <v>59800</v>
      </c>
      <c r="R335" s="42">
        <f t="shared" si="38"/>
        <v>22856</v>
      </c>
      <c r="S335" s="244">
        <f t="shared" si="39"/>
        <v>38.220735785953174</v>
      </c>
    </row>
    <row r="336" spans="2:19" x14ac:dyDescent="0.2">
      <c r="B336" s="67">
        <f t="shared" si="40"/>
        <v>9</v>
      </c>
      <c r="C336" s="11"/>
      <c r="D336" s="11"/>
      <c r="E336" s="11"/>
      <c r="F336" s="45" t="s">
        <v>194</v>
      </c>
      <c r="G336" s="11">
        <v>620</v>
      </c>
      <c r="H336" s="11" t="s">
        <v>130</v>
      </c>
      <c r="I336" s="42">
        <f>20900+1772</f>
        <v>22672</v>
      </c>
      <c r="J336" s="42">
        <v>8992</v>
      </c>
      <c r="K336" s="225">
        <f t="shared" si="35"/>
        <v>39.661256175017648</v>
      </c>
      <c r="L336" s="114"/>
      <c r="M336" s="42"/>
      <c r="N336" s="42"/>
      <c r="O336" s="225"/>
      <c r="P336" s="114"/>
      <c r="Q336" s="42">
        <f t="shared" si="37"/>
        <v>22672</v>
      </c>
      <c r="R336" s="42">
        <f t="shared" si="38"/>
        <v>8992</v>
      </c>
      <c r="S336" s="244">
        <f t="shared" si="39"/>
        <v>39.661256175017648</v>
      </c>
    </row>
    <row r="337" spans="2:19" x14ac:dyDescent="0.2">
      <c r="B337" s="67">
        <f t="shared" si="40"/>
        <v>10</v>
      </c>
      <c r="C337" s="11"/>
      <c r="D337" s="11"/>
      <c r="E337" s="11"/>
      <c r="F337" s="45" t="s">
        <v>194</v>
      </c>
      <c r="G337" s="11">
        <v>630</v>
      </c>
      <c r="H337" s="11" t="s">
        <v>127</v>
      </c>
      <c r="I337" s="42">
        <f>I342+I341+I340+I339+I338+I343</f>
        <v>14251</v>
      </c>
      <c r="J337" s="42">
        <f>J342+J341+J340+J339+J338+J343</f>
        <v>6570</v>
      </c>
      <c r="K337" s="225">
        <f t="shared" si="35"/>
        <v>46.102027927864711</v>
      </c>
      <c r="L337" s="114"/>
      <c r="M337" s="42">
        <f>M342+M341+M340+M339+M338</f>
        <v>0</v>
      </c>
      <c r="N337" s="42">
        <f>N342+N341+N340+N339+N338</f>
        <v>0</v>
      </c>
      <c r="O337" s="225"/>
      <c r="P337" s="114"/>
      <c r="Q337" s="42">
        <f t="shared" si="37"/>
        <v>14251</v>
      </c>
      <c r="R337" s="42">
        <f t="shared" si="38"/>
        <v>6570</v>
      </c>
      <c r="S337" s="244">
        <f t="shared" si="39"/>
        <v>46.102027927864711</v>
      </c>
    </row>
    <row r="338" spans="2:19" x14ac:dyDescent="0.2">
      <c r="B338" s="67">
        <f t="shared" si="40"/>
        <v>11</v>
      </c>
      <c r="C338" s="2"/>
      <c r="D338" s="2"/>
      <c r="E338" s="2"/>
      <c r="F338" s="46" t="s">
        <v>194</v>
      </c>
      <c r="G338" s="2">
        <v>631</v>
      </c>
      <c r="H338" s="2" t="s">
        <v>133</v>
      </c>
      <c r="I338" s="22">
        <v>500</v>
      </c>
      <c r="J338" s="22">
        <v>37</v>
      </c>
      <c r="K338" s="225">
        <f t="shared" si="35"/>
        <v>7.3999999999999995</v>
      </c>
      <c r="L338" s="68"/>
      <c r="M338" s="22"/>
      <c r="N338" s="22"/>
      <c r="O338" s="225"/>
      <c r="P338" s="68"/>
      <c r="Q338" s="22">
        <f t="shared" si="37"/>
        <v>500</v>
      </c>
      <c r="R338" s="22">
        <f t="shared" si="38"/>
        <v>37</v>
      </c>
      <c r="S338" s="244">
        <f t="shared" si="39"/>
        <v>7.3999999999999995</v>
      </c>
    </row>
    <row r="339" spans="2:19" x14ac:dyDescent="0.2">
      <c r="B339" s="67">
        <f t="shared" si="40"/>
        <v>12</v>
      </c>
      <c r="C339" s="2"/>
      <c r="D339" s="2"/>
      <c r="E339" s="2"/>
      <c r="F339" s="46" t="s">
        <v>194</v>
      </c>
      <c r="G339" s="2">
        <v>632</v>
      </c>
      <c r="H339" s="2" t="s">
        <v>138</v>
      </c>
      <c r="I339" s="22">
        <v>1800</v>
      </c>
      <c r="J339" s="22">
        <v>739</v>
      </c>
      <c r="K339" s="225">
        <f t="shared" si="35"/>
        <v>41.055555555555557</v>
      </c>
      <c r="L339" s="68"/>
      <c r="M339" s="22"/>
      <c r="N339" s="22"/>
      <c r="O339" s="225"/>
      <c r="P339" s="68"/>
      <c r="Q339" s="22">
        <f t="shared" si="37"/>
        <v>1800</v>
      </c>
      <c r="R339" s="22">
        <f t="shared" si="38"/>
        <v>739</v>
      </c>
      <c r="S339" s="244">
        <f t="shared" si="39"/>
        <v>41.055555555555557</v>
      </c>
    </row>
    <row r="340" spans="2:19" x14ac:dyDescent="0.2">
      <c r="B340" s="67">
        <f t="shared" si="40"/>
        <v>13</v>
      </c>
      <c r="C340" s="2"/>
      <c r="D340" s="2"/>
      <c r="E340" s="2"/>
      <c r="F340" s="46" t="s">
        <v>194</v>
      </c>
      <c r="G340" s="2">
        <v>633</v>
      </c>
      <c r="H340" s="2" t="s">
        <v>131</v>
      </c>
      <c r="I340" s="22">
        <f>2800+1000</f>
        <v>3800</v>
      </c>
      <c r="J340" s="22">
        <v>1902</v>
      </c>
      <c r="K340" s="225">
        <f t="shared" si="35"/>
        <v>50.05263157894737</v>
      </c>
      <c r="L340" s="68"/>
      <c r="M340" s="22"/>
      <c r="N340" s="22"/>
      <c r="O340" s="225"/>
      <c r="P340" s="68"/>
      <c r="Q340" s="22">
        <f t="shared" si="37"/>
        <v>3800</v>
      </c>
      <c r="R340" s="22">
        <f t="shared" si="38"/>
        <v>1902</v>
      </c>
      <c r="S340" s="244">
        <f t="shared" si="39"/>
        <v>50.05263157894737</v>
      </c>
    </row>
    <row r="341" spans="2:19" x14ac:dyDescent="0.2">
      <c r="B341" s="67">
        <f t="shared" si="40"/>
        <v>14</v>
      </c>
      <c r="C341" s="2"/>
      <c r="D341" s="2"/>
      <c r="E341" s="2"/>
      <c r="F341" s="46" t="s">
        <v>194</v>
      </c>
      <c r="G341" s="2">
        <v>635</v>
      </c>
      <c r="H341" s="2" t="s">
        <v>137</v>
      </c>
      <c r="I341" s="22">
        <v>100</v>
      </c>
      <c r="J341" s="22">
        <v>0</v>
      </c>
      <c r="K341" s="225">
        <f t="shared" si="35"/>
        <v>0</v>
      </c>
      <c r="L341" s="68"/>
      <c r="M341" s="22"/>
      <c r="N341" s="22"/>
      <c r="O341" s="225"/>
      <c r="P341" s="68"/>
      <c r="Q341" s="22">
        <f t="shared" si="37"/>
        <v>100</v>
      </c>
      <c r="R341" s="22">
        <f t="shared" si="38"/>
        <v>0</v>
      </c>
      <c r="S341" s="244">
        <f t="shared" si="39"/>
        <v>0</v>
      </c>
    </row>
    <row r="342" spans="2:19" x14ac:dyDescent="0.2">
      <c r="B342" s="67">
        <f t="shared" si="40"/>
        <v>15</v>
      </c>
      <c r="C342" s="2"/>
      <c r="D342" s="2"/>
      <c r="E342" s="2"/>
      <c r="F342" s="46" t="s">
        <v>194</v>
      </c>
      <c r="G342" s="2">
        <v>637</v>
      </c>
      <c r="H342" s="2" t="s">
        <v>128</v>
      </c>
      <c r="I342" s="22">
        <v>6900</v>
      </c>
      <c r="J342" s="22">
        <f>3892-J343</f>
        <v>2741</v>
      </c>
      <c r="K342" s="225">
        <f t="shared" si="35"/>
        <v>39.724637681159422</v>
      </c>
      <c r="L342" s="68"/>
      <c r="M342" s="22"/>
      <c r="N342" s="22"/>
      <c r="O342" s="225"/>
      <c r="P342" s="68"/>
      <c r="Q342" s="22">
        <f t="shared" si="37"/>
        <v>6900</v>
      </c>
      <c r="R342" s="22">
        <f t="shared" si="38"/>
        <v>2741</v>
      </c>
      <c r="S342" s="244">
        <f t="shared" si="39"/>
        <v>39.724637681159422</v>
      </c>
    </row>
    <row r="343" spans="2:19" x14ac:dyDescent="0.2">
      <c r="B343" s="67"/>
      <c r="C343" s="2"/>
      <c r="D343" s="2"/>
      <c r="E343" s="2"/>
      <c r="F343" s="46" t="s">
        <v>194</v>
      </c>
      <c r="G343" s="2">
        <v>630</v>
      </c>
      <c r="H343" s="2" t="s">
        <v>597</v>
      </c>
      <c r="I343" s="22">
        <v>1151</v>
      </c>
      <c r="J343" s="22">
        <v>1151</v>
      </c>
      <c r="K343" s="225">
        <f t="shared" si="35"/>
        <v>100</v>
      </c>
      <c r="L343" s="68"/>
      <c r="M343" s="22"/>
      <c r="N343" s="22"/>
      <c r="O343" s="225"/>
      <c r="P343" s="68"/>
      <c r="Q343" s="22">
        <f t="shared" si="37"/>
        <v>1151</v>
      </c>
      <c r="R343" s="22">
        <f t="shared" si="38"/>
        <v>1151</v>
      </c>
      <c r="S343" s="244">
        <f t="shared" si="39"/>
        <v>100</v>
      </c>
    </row>
    <row r="344" spans="2:19" x14ac:dyDescent="0.2">
      <c r="B344" s="67">
        <f>B342+1</f>
        <v>16</v>
      </c>
      <c r="C344" s="11"/>
      <c r="D344" s="11"/>
      <c r="E344" s="11"/>
      <c r="F344" s="45" t="s">
        <v>194</v>
      </c>
      <c r="G344" s="11">
        <v>640</v>
      </c>
      <c r="H344" s="11" t="s">
        <v>134</v>
      </c>
      <c r="I344" s="42">
        <v>200</v>
      </c>
      <c r="J344" s="42">
        <v>103</v>
      </c>
      <c r="K344" s="225">
        <f t="shared" si="35"/>
        <v>51.5</v>
      </c>
      <c r="L344" s="114"/>
      <c r="M344" s="42"/>
      <c r="N344" s="42"/>
      <c r="O344" s="225"/>
      <c r="P344" s="114"/>
      <c r="Q344" s="42">
        <f t="shared" si="37"/>
        <v>200</v>
      </c>
      <c r="R344" s="42">
        <f t="shared" si="38"/>
        <v>103</v>
      </c>
      <c r="S344" s="244">
        <f t="shared" si="39"/>
        <v>51.5</v>
      </c>
    </row>
    <row r="345" spans="2:19" ht="15" x14ac:dyDescent="0.2">
      <c r="B345" s="67">
        <f t="shared" si="40"/>
        <v>17</v>
      </c>
      <c r="C345" s="166">
        <v>3</v>
      </c>
      <c r="D345" s="325" t="s">
        <v>177</v>
      </c>
      <c r="E345" s="326"/>
      <c r="F345" s="326"/>
      <c r="G345" s="326"/>
      <c r="H345" s="327"/>
      <c r="I345" s="38">
        <f>I346+I347+I348+I354</f>
        <v>172220</v>
      </c>
      <c r="J345" s="38">
        <f>J346+J347+J348+J354</f>
        <v>84317</v>
      </c>
      <c r="K345" s="225">
        <f t="shared" si="35"/>
        <v>48.95888979212635</v>
      </c>
      <c r="L345" s="173"/>
      <c r="M345" s="38">
        <f>M346+M347+M348+M354</f>
        <v>0</v>
      </c>
      <c r="N345" s="38">
        <f>N346+N347+N348+N354</f>
        <v>0</v>
      </c>
      <c r="O345" s="225"/>
      <c r="P345" s="173"/>
      <c r="Q345" s="38">
        <f t="shared" si="37"/>
        <v>172220</v>
      </c>
      <c r="R345" s="38">
        <f t="shared" si="38"/>
        <v>84317</v>
      </c>
      <c r="S345" s="244">
        <f t="shared" si="39"/>
        <v>48.95888979212635</v>
      </c>
    </row>
    <row r="346" spans="2:19" x14ac:dyDescent="0.2">
      <c r="B346" s="67">
        <f t="shared" si="40"/>
        <v>18</v>
      </c>
      <c r="C346" s="11"/>
      <c r="D346" s="11"/>
      <c r="E346" s="11"/>
      <c r="F346" s="45" t="s">
        <v>73</v>
      </c>
      <c r="G346" s="11">
        <v>610</v>
      </c>
      <c r="H346" s="11" t="s">
        <v>135</v>
      </c>
      <c r="I346" s="42">
        <f>111145+3880-10</f>
        <v>115015</v>
      </c>
      <c r="J346" s="42">
        <v>54396</v>
      </c>
      <c r="K346" s="225">
        <f t="shared" si="35"/>
        <v>47.294700691214189</v>
      </c>
      <c r="L346" s="114"/>
      <c r="M346" s="42"/>
      <c r="N346" s="42"/>
      <c r="O346" s="225"/>
      <c r="P346" s="114"/>
      <c r="Q346" s="42">
        <f t="shared" si="37"/>
        <v>115015</v>
      </c>
      <c r="R346" s="42">
        <f t="shared" si="38"/>
        <v>54396</v>
      </c>
      <c r="S346" s="244">
        <f t="shared" si="39"/>
        <v>47.294700691214189</v>
      </c>
    </row>
    <row r="347" spans="2:19" x14ac:dyDescent="0.2">
      <c r="B347" s="67">
        <f t="shared" si="40"/>
        <v>19</v>
      </c>
      <c r="C347" s="11"/>
      <c r="D347" s="11"/>
      <c r="E347" s="11"/>
      <c r="F347" s="45" t="s">
        <v>73</v>
      </c>
      <c r="G347" s="11">
        <v>620</v>
      </c>
      <c r="H347" s="11" t="s">
        <v>130</v>
      </c>
      <c r="I347" s="42">
        <f>42565-10</f>
        <v>42555</v>
      </c>
      <c r="J347" s="42">
        <v>20789</v>
      </c>
      <c r="K347" s="225">
        <f t="shared" si="35"/>
        <v>48.852073786864061</v>
      </c>
      <c r="L347" s="114"/>
      <c r="M347" s="42"/>
      <c r="N347" s="42"/>
      <c r="O347" s="225"/>
      <c r="P347" s="114"/>
      <c r="Q347" s="42">
        <f t="shared" si="37"/>
        <v>42555</v>
      </c>
      <c r="R347" s="42">
        <f t="shared" si="38"/>
        <v>20789</v>
      </c>
      <c r="S347" s="244">
        <f t="shared" si="39"/>
        <v>48.852073786864061</v>
      </c>
    </row>
    <row r="348" spans="2:19" x14ac:dyDescent="0.2">
      <c r="B348" s="67">
        <f t="shared" si="40"/>
        <v>20</v>
      </c>
      <c r="C348" s="11"/>
      <c r="D348" s="11"/>
      <c r="E348" s="11"/>
      <c r="F348" s="45" t="s">
        <v>73</v>
      </c>
      <c r="G348" s="11">
        <v>630</v>
      </c>
      <c r="H348" s="11" t="s">
        <v>127</v>
      </c>
      <c r="I348" s="42">
        <f>I352+I351+I350+I349+I353</f>
        <v>14250</v>
      </c>
      <c r="J348" s="42">
        <f>J352+J351+J350+J349+J353</f>
        <v>8879</v>
      </c>
      <c r="K348" s="225">
        <f t="shared" si="35"/>
        <v>62.308771929824559</v>
      </c>
      <c r="L348" s="114"/>
      <c r="M348" s="42">
        <f>M352+M351+M350+M349</f>
        <v>0</v>
      </c>
      <c r="N348" s="42">
        <f>N352+N351+N350+N349</f>
        <v>0</v>
      </c>
      <c r="O348" s="225"/>
      <c r="P348" s="114"/>
      <c r="Q348" s="42">
        <f t="shared" si="37"/>
        <v>14250</v>
      </c>
      <c r="R348" s="42">
        <f t="shared" si="38"/>
        <v>8879</v>
      </c>
      <c r="S348" s="244">
        <f t="shared" si="39"/>
        <v>62.308771929824559</v>
      </c>
    </row>
    <row r="349" spans="2:19" x14ac:dyDescent="0.2">
      <c r="B349" s="67">
        <f t="shared" si="40"/>
        <v>21</v>
      </c>
      <c r="C349" s="2"/>
      <c r="D349" s="2"/>
      <c r="E349" s="2"/>
      <c r="F349" s="46" t="s">
        <v>73</v>
      </c>
      <c r="G349" s="2">
        <v>631</v>
      </c>
      <c r="H349" s="2" t="s">
        <v>133</v>
      </c>
      <c r="I349" s="22">
        <v>200</v>
      </c>
      <c r="J349" s="22">
        <v>0</v>
      </c>
      <c r="K349" s="225">
        <f t="shared" si="35"/>
        <v>0</v>
      </c>
      <c r="L349" s="68"/>
      <c r="M349" s="22"/>
      <c r="N349" s="22"/>
      <c r="O349" s="225"/>
      <c r="P349" s="68"/>
      <c r="Q349" s="22">
        <f t="shared" si="37"/>
        <v>200</v>
      </c>
      <c r="R349" s="22">
        <f t="shared" si="38"/>
        <v>0</v>
      </c>
      <c r="S349" s="244">
        <f t="shared" si="39"/>
        <v>0</v>
      </c>
    </row>
    <row r="350" spans="2:19" x14ac:dyDescent="0.2">
      <c r="B350" s="67">
        <f t="shared" si="40"/>
        <v>22</v>
      </c>
      <c r="C350" s="2"/>
      <c r="D350" s="2"/>
      <c r="E350" s="2"/>
      <c r="F350" s="46" t="s">
        <v>73</v>
      </c>
      <c r="G350" s="2">
        <v>632</v>
      </c>
      <c r="H350" s="2" t="s">
        <v>138</v>
      </c>
      <c r="I350" s="22">
        <f>1500</f>
        <v>1500</v>
      </c>
      <c r="J350" s="22">
        <v>1206</v>
      </c>
      <c r="K350" s="225">
        <f t="shared" si="35"/>
        <v>80.400000000000006</v>
      </c>
      <c r="L350" s="68"/>
      <c r="M350" s="22"/>
      <c r="N350" s="22"/>
      <c r="O350" s="225"/>
      <c r="P350" s="68"/>
      <c r="Q350" s="22">
        <f t="shared" si="37"/>
        <v>1500</v>
      </c>
      <c r="R350" s="22">
        <f t="shared" si="38"/>
        <v>1206</v>
      </c>
      <c r="S350" s="244">
        <f t="shared" si="39"/>
        <v>80.400000000000006</v>
      </c>
    </row>
    <row r="351" spans="2:19" x14ac:dyDescent="0.2">
      <c r="B351" s="67">
        <f t="shared" si="40"/>
        <v>23</v>
      </c>
      <c r="C351" s="2"/>
      <c r="D351" s="2"/>
      <c r="E351" s="2"/>
      <c r="F351" s="46" t="s">
        <v>73</v>
      </c>
      <c r="G351" s="2">
        <v>633</v>
      </c>
      <c r="H351" s="2" t="s">
        <v>131</v>
      </c>
      <c r="I351" s="22">
        <f>5680-2000-1900</f>
        <v>1780</v>
      </c>
      <c r="J351" s="22">
        <v>748</v>
      </c>
      <c r="K351" s="225">
        <f t="shared" si="35"/>
        <v>42.022471910112358</v>
      </c>
      <c r="L351" s="68"/>
      <c r="M351" s="22"/>
      <c r="N351" s="22"/>
      <c r="O351" s="225"/>
      <c r="P351" s="68"/>
      <c r="Q351" s="22">
        <f t="shared" si="37"/>
        <v>1780</v>
      </c>
      <c r="R351" s="22">
        <f t="shared" si="38"/>
        <v>748</v>
      </c>
      <c r="S351" s="244">
        <f t="shared" si="39"/>
        <v>42.022471910112358</v>
      </c>
    </row>
    <row r="352" spans="2:19" x14ac:dyDescent="0.2">
      <c r="B352" s="67">
        <f t="shared" si="40"/>
        <v>24</v>
      </c>
      <c r="C352" s="2"/>
      <c r="D352" s="2"/>
      <c r="E352" s="2"/>
      <c r="F352" s="46" t="s">
        <v>73</v>
      </c>
      <c r="G352" s="2">
        <v>637</v>
      </c>
      <c r="H352" s="2" t="s">
        <v>128</v>
      </c>
      <c r="I352" s="22">
        <f>8050+1900</f>
        <v>9950</v>
      </c>
      <c r="J352" s="22">
        <v>6105</v>
      </c>
      <c r="K352" s="225">
        <f t="shared" si="35"/>
        <v>61.356783919597987</v>
      </c>
      <c r="L352" s="68"/>
      <c r="M352" s="22"/>
      <c r="N352" s="22"/>
      <c r="O352" s="225"/>
      <c r="P352" s="68"/>
      <c r="Q352" s="22">
        <f t="shared" si="37"/>
        <v>9950</v>
      </c>
      <c r="R352" s="22">
        <f t="shared" si="38"/>
        <v>6105</v>
      </c>
      <c r="S352" s="244">
        <f t="shared" si="39"/>
        <v>61.356783919597987</v>
      </c>
    </row>
    <row r="353" spans="2:19" x14ac:dyDescent="0.2">
      <c r="B353" s="67"/>
      <c r="C353" s="2"/>
      <c r="D353" s="2"/>
      <c r="E353" s="2"/>
      <c r="F353" s="46" t="s">
        <v>73</v>
      </c>
      <c r="G353" s="2">
        <v>630</v>
      </c>
      <c r="H353" s="2" t="s">
        <v>597</v>
      </c>
      <c r="I353" s="22">
        <v>820</v>
      </c>
      <c r="J353" s="22">
        <v>820</v>
      </c>
      <c r="K353" s="225">
        <f t="shared" si="35"/>
        <v>100</v>
      </c>
      <c r="L353" s="68"/>
      <c r="M353" s="22"/>
      <c r="N353" s="22"/>
      <c r="O353" s="225"/>
      <c r="P353" s="68"/>
      <c r="Q353" s="22">
        <f t="shared" si="37"/>
        <v>820</v>
      </c>
      <c r="R353" s="22">
        <f t="shared" si="38"/>
        <v>820</v>
      </c>
      <c r="S353" s="244">
        <f t="shared" si="39"/>
        <v>100</v>
      </c>
    </row>
    <row r="354" spans="2:19" x14ac:dyDescent="0.2">
      <c r="B354" s="67">
        <f>B352+1</f>
        <v>25</v>
      </c>
      <c r="C354" s="11"/>
      <c r="D354" s="11"/>
      <c r="E354" s="11"/>
      <c r="F354" s="45" t="s">
        <v>73</v>
      </c>
      <c r="G354" s="11">
        <v>640</v>
      </c>
      <c r="H354" s="11" t="s">
        <v>134</v>
      </c>
      <c r="I354" s="42">
        <v>400</v>
      </c>
      <c r="J354" s="42">
        <v>253</v>
      </c>
      <c r="K354" s="225">
        <f t="shared" si="35"/>
        <v>63.249999999999993</v>
      </c>
      <c r="L354" s="114"/>
      <c r="M354" s="42"/>
      <c r="N354" s="42"/>
      <c r="O354" s="225"/>
      <c r="P354" s="114"/>
      <c r="Q354" s="42">
        <f t="shared" si="37"/>
        <v>400</v>
      </c>
      <c r="R354" s="42">
        <f t="shared" si="38"/>
        <v>253</v>
      </c>
      <c r="S354" s="244">
        <f t="shared" si="39"/>
        <v>63.249999999999993</v>
      </c>
    </row>
    <row r="355" spans="2:19" ht="15" x14ac:dyDescent="0.2">
      <c r="B355" s="67">
        <f t="shared" si="40"/>
        <v>26</v>
      </c>
      <c r="C355" s="166">
        <v>4</v>
      </c>
      <c r="D355" s="325" t="s">
        <v>257</v>
      </c>
      <c r="E355" s="326"/>
      <c r="F355" s="326"/>
      <c r="G355" s="326"/>
      <c r="H355" s="327"/>
      <c r="I355" s="38">
        <f>I357+I358+I359+I364</f>
        <v>38200</v>
      </c>
      <c r="J355" s="38">
        <f>J357+J358+J359+J364</f>
        <v>17081</v>
      </c>
      <c r="K355" s="225">
        <f t="shared" si="35"/>
        <v>44.714659685863872</v>
      </c>
      <c r="L355" s="173"/>
      <c r="M355" s="38">
        <f>M357+M358+M359+M364</f>
        <v>0</v>
      </c>
      <c r="N355" s="38">
        <f>N357+N358+N359+N364</f>
        <v>0</v>
      </c>
      <c r="O355" s="225"/>
      <c r="P355" s="173"/>
      <c r="Q355" s="38">
        <f t="shared" si="37"/>
        <v>38200</v>
      </c>
      <c r="R355" s="38">
        <f t="shared" si="38"/>
        <v>17081</v>
      </c>
      <c r="S355" s="244">
        <f t="shared" si="39"/>
        <v>44.714659685863872</v>
      </c>
    </row>
    <row r="356" spans="2:19" ht="15" x14ac:dyDescent="0.25">
      <c r="B356" s="67">
        <f t="shared" si="40"/>
        <v>27</v>
      </c>
      <c r="C356" s="14"/>
      <c r="D356" s="14"/>
      <c r="E356" s="14">
        <v>2</v>
      </c>
      <c r="F356" s="43"/>
      <c r="G356" s="14"/>
      <c r="H356" s="14" t="s">
        <v>255</v>
      </c>
      <c r="I356" s="40">
        <f>I355</f>
        <v>38200</v>
      </c>
      <c r="J356" s="40">
        <f>J355</f>
        <v>17081</v>
      </c>
      <c r="K356" s="225">
        <f t="shared" si="35"/>
        <v>44.714659685863872</v>
      </c>
      <c r="L356" s="175"/>
      <c r="M356" s="40">
        <f>M355</f>
        <v>0</v>
      </c>
      <c r="N356" s="40">
        <f>N355</f>
        <v>0</v>
      </c>
      <c r="O356" s="225"/>
      <c r="P356" s="175"/>
      <c r="Q356" s="40">
        <f t="shared" si="37"/>
        <v>38200</v>
      </c>
      <c r="R356" s="40">
        <f t="shared" si="38"/>
        <v>17081</v>
      </c>
      <c r="S356" s="244">
        <f t="shared" si="39"/>
        <v>44.714659685863872</v>
      </c>
    </row>
    <row r="357" spans="2:19" x14ac:dyDescent="0.2">
      <c r="B357" s="67">
        <f t="shared" si="40"/>
        <v>28</v>
      </c>
      <c r="C357" s="11"/>
      <c r="D357" s="11"/>
      <c r="E357" s="11"/>
      <c r="F357" s="45" t="s">
        <v>204</v>
      </c>
      <c r="G357" s="11">
        <v>610</v>
      </c>
      <c r="H357" s="11" t="s">
        <v>135</v>
      </c>
      <c r="I357" s="42">
        <v>18400</v>
      </c>
      <c r="J357" s="42">
        <v>9189</v>
      </c>
      <c r="K357" s="225">
        <f t="shared" si="35"/>
        <v>49.940217391304351</v>
      </c>
      <c r="L357" s="114"/>
      <c r="M357" s="42"/>
      <c r="N357" s="42"/>
      <c r="O357" s="225"/>
      <c r="P357" s="114"/>
      <c r="Q357" s="42">
        <f t="shared" si="37"/>
        <v>18400</v>
      </c>
      <c r="R357" s="42">
        <f t="shared" si="38"/>
        <v>9189</v>
      </c>
      <c r="S357" s="244">
        <f t="shared" si="39"/>
        <v>49.940217391304351</v>
      </c>
    </row>
    <row r="358" spans="2:19" x14ac:dyDescent="0.2">
      <c r="B358" s="67">
        <f t="shared" si="40"/>
        <v>29</v>
      </c>
      <c r="C358" s="11"/>
      <c r="D358" s="11"/>
      <c r="E358" s="11"/>
      <c r="F358" s="45" t="s">
        <v>204</v>
      </c>
      <c r="G358" s="11">
        <v>620</v>
      </c>
      <c r="H358" s="11" t="s">
        <v>130</v>
      </c>
      <c r="I358" s="42">
        <v>6465</v>
      </c>
      <c r="J358" s="42">
        <v>3129</v>
      </c>
      <c r="K358" s="225">
        <f t="shared" si="35"/>
        <v>48.399071925754065</v>
      </c>
      <c r="L358" s="114"/>
      <c r="M358" s="42"/>
      <c r="N358" s="42"/>
      <c r="O358" s="225"/>
      <c r="P358" s="114"/>
      <c r="Q358" s="42">
        <f t="shared" si="37"/>
        <v>6465</v>
      </c>
      <c r="R358" s="42">
        <f t="shared" si="38"/>
        <v>3129</v>
      </c>
      <c r="S358" s="244">
        <f t="shared" si="39"/>
        <v>48.399071925754065</v>
      </c>
    </row>
    <row r="359" spans="2:19" x14ac:dyDescent="0.2">
      <c r="B359" s="67">
        <f t="shared" si="40"/>
        <v>30</v>
      </c>
      <c r="C359" s="11"/>
      <c r="D359" s="11"/>
      <c r="E359" s="11"/>
      <c r="F359" s="45" t="s">
        <v>204</v>
      </c>
      <c r="G359" s="11">
        <v>630</v>
      </c>
      <c r="H359" s="11" t="s">
        <v>127</v>
      </c>
      <c r="I359" s="42">
        <f>I363+I362+I361+I360</f>
        <v>13285</v>
      </c>
      <c r="J359" s="42">
        <f>J363+J362+J361+J360</f>
        <v>4763</v>
      </c>
      <c r="K359" s="225">
        <f t="shared" si="35"/>
        <v>35.852465186300336</v>
      </c>
      <c r="L359" s="114"/>
      <c r="M359" s="42">
        <f>M363+M362+M361+M360</f>
        <v>0</v>
      </c>
      <c r="N359" s="42">
        <f>N363+N362+N361+N360</f>
        <v>0</v>
      </c>
      <c r="O359" s="225"/>
      <c r="P359" s="114"/>
      <c r="Q359" s="42">
        <f t="shared" si="37"/>
        <v>13285</v>
      </c>
      <c r="R359" s="42">
        <f t="shared" si="38"/>
        <v>4763</v>
      </c>
      <c r="S359" s="244">
        <f t="shared" si="39"/>
        <v>35.852465186300336</v>
      </c>
    </row>
    <row r="360" spans="2:19" x14ac:dyDescent="0.2">
      <c r="B360" s="67">
        <f t="shared" si="40"/>
        <v>31</v>
      </c>
      <c r="C360" s="2"/>
      <c r="D360" s="2"/>
      <c r="E360" s="2"/>
      <c r="F360" s="46" t="s">
        <v>204</v>
      </c>
      <c r="G360" s="2">
        <v>632</v>
      </c>
      <c r="H360" s="2" t="s">
        <v>138</v>
      </c>
      <c r="I360" s="22">
        <v>7940</v>
      </c>
      <c r="J360" s="22">
        <v>2902</v>
      </c>
      <c r="K360" s="225">
        <f t="shared" si="35"/>
        <v>36.549118387909317</v>
      </c>
      <c r="L360" s="68"/>
      <c r="M360" s="22"/>
      <c r="N360" s="22"/>
      <c r="O360" s="225"/>
      <c r="P360" s="68"/>
      <c r="Q360" s="22">
        <f t="shared" si="37"/>
        <v>7940</v>
      </c>
      <c r="R360" s="22">
        <f t="shared" si="38"/>
        <v>2902</v>
      </c>
      <c r="S360" s="244">
        <f t="shared" si="39"/>
        <v>36.549118387909317</v>
      </c>
    </row>
    <row r="361" spans="2:19" x14ac:dyDescent="0.2">
      <c r="B361" s="67">
        <f t="shared" si="40"/>
        <v>32</v>
      </c>
      <c r="C361" s="2"/>
      <c r="D361" s="2"/>
      <c r="E361" s="2"/>
      <c r="F361" s="46" t="s">
        <v>204</v>
      </c>
      <c r="G361" s="2">
        <v>633</v>
      </c>
      <c r="H361" s="2" t="s">
        <v>131</v>
      </c>
      <c r="I361" s="22">
        <v>1730</v>
      </c>
      <c r="J361" s="22">
        <v>720</v>
      </c>
      <c r="K361" s="225">
        <f t="shared" si="35"/>
        <v>41.618497109826592</v>
      </c>
      <c r="L361" s="68"/>
      <c r="M361" s="22"/>
      <c r="N361" s="22"/>
      <c r="O361" s="225"/>
      <c r="P361" s="68"/>
      <c r="Q361" s="22">
        <f t="shared" si="37"/>
        <v>1730</v>
      </c>
      <c r="R361" s="22">
        <f t="shared" si="38"/>
        <v>720</v>
      </c>
      <c r="S361" s="244">
        <f t="shared" si="39"/>
        <v>41.618497109826592</v>
      </c>
    </row>
    <row r="362" spans="2:19" x14ac:dyDescent="0.2">
      <c r="B362" s="67">
        <f t="shared" si="40"/>
        <v>33</v>
      </c>
      <c r="C362" s="2"/>
      <c r="D362" s="2"/>
      <c r="E362" s="2"/>
      <c r="F362" s="46" t="s">
        <v>204</v>
      </c>
      <c r="G362" s="2">
        <v>635</v>
      </c>
      <c r="H362" s="2" t="s">
        <v>137</v>
      </c>
      <c r="I362" s="22">
        <v>400</v>
      </c>
      <c r="J362" s="22">
        <v>0</v>
      </c>
      <c r="K362" s="225">
        <f t="shared" si="35"/>
        <v>0</v>
      </c>
      <c r="L362" s="68"/>
      <c r="M362" s="22"/>
      <c r="N362" s="22"/>
      <c r="O362" s="225"/>
      <c r="P362" s="68"/>
      <c r="Q362" s="22">
        <f t="shared" si="37"/>
        <v>400</v>
      </c>
      <c r="R362" s="22">
        <f t="shared" si="38"/>
        <v>0</v>
      </c>
      <c r="S362" s="244">
        <f t="shared" si="39"/>
        <v>0</v>
      </c>
    </row>
    <row r="363" spans="2:19" x14ac:dyDescent="0.2">
      <c r="B363" s="67">
        <f t="shared" si="40"/>
        <v>34</v>
      </c>
      <c r="C363" s="2"/>
      <c r="D363" s="2"/>
      <c r="E363" s="2"/>
      <c r="F363" s="46" t="s">
        <v>204</v>
      </c>
      <c r="G363" s="2">
        <v>637</v>
      </c>
      <c r="H363" s="2" t="s">
        <v>128</v>
      </c>
      <c r="I363" s="22">
        <v>3215</v>
      </c>
      <c r="J363" s="22">
        <v>1141</v>
      </c>
      <c r="K363" s="225">
        <f t="shared" si="35"/>
        <v>35.489891135303267</v>
      </c>
      <c r="L363" s="68"/>
      <c r="M363" s="22"/>
      <c r="N363" s="22"/>
      <c r="O363" s="225"/>
      <c r="P363" s="68"/>
      <c r="Q363" s="22">
        <f t="shared" si="37"/>
        <v>3215</v>
      </c>
      <c r="R363" s="22">
        <f t="shared" si="38"/>
        <v>1141</v>
      </c>
      <c r="S363" s="244">
        <f t="shared" si="39"/>
        <v>35.489891135303267</v>
      </c>
    </row>
    <row r="364" spans="2:19" x14ac:dyDescent="0.2">
      <c r="B364" s="67">
        <f t="shared" si="40"/>
        <v>35</v>
      </c>
      <c r="C364" s="11"/>
      <c r="D364" s="11"/>
      <c r="E364" s="11"/>
      <c r="F364" s="45" t="s">
        <v>204</v>
      </c>
      <c r="G364" s="11">
        <v>640</v>
      </c>
      <c r="H364" s="11" t="s">
        <v>134</v>
      </c>
      <c r="I364" s="42">
        <v>50</v>
      </c>
      <c r="J364" s="42">
        <v>0</v>
      </c>
      <c r="K364" s="225">
        <f t="shared" si="35"/>
        <v>0</v>
      </c>
      <c r="L364" s="114"/>
      <c r="M364" s="42"/>
      <c r="N364" s="42"/>
      <c r="O364" s="225"/>
      <c r="P364" s="114"/>
      <c r="Q364" s="42">
        <f t="shared" si="37"/>
        <v>50</v>
      </c>
      <c r="R364" s="42">
        <f t="shared" si="38"/>
        <v>0</v>
      </c>
      <c r="S364" s="244">
        <f t="shared" si="39"/>
        <v>0</v>
      </c>
    </row>
    <row r="365" spans="2:19" ht="15" x14ac:dyDescent="0.2">
      <c r="B365" s="67">
        <f t="shared" si="40"/>
        <v>36</v>
      </c>
      <c r="C365" s="166">
        <v>5</v>
      </c>
      <c r="D365" s="325" t="s">
        <v>1</v>
      </c>
      <c r="E365" s="326"/>
      <c r="F365" s="326"/>
      <c r="G365" s="326"/>
      <c r="H365" s="327"/>
      <c r="I365" s="38">
        <f>I366</f>
        <v>28700</v>
      </c>
      <c r="J365" s="38">
        <f>J366</f>
        <v>12855</v>
      </c>
      <c r="K365" s="225">
        <f t="shared" si="35"/>
        <v>44.790940766550527</v>
      </c>
      <c r="L365" s="173"/>
      <c r="M365" s="38">
        <f>M366</f>
        <v>0</v>
      </c>
      <c r="N365" s="38">
        <f>N366</f>
        <v>0</v>
      </c>
      <c r="O365" s="225"/>
      <c r="P365" s="173"/>
      <c r="Q365" s="38">
        <f t="shared" si="37"/>
        <v>28700</v>
      </c>
      <c r="R365" s="38">
        <f t="shared" si="38"/>
        <v>12855</v>
      </c>
      <c r="S365" s="244">
        <f t="shared" si="39"/>
        <v>44.790940766550527</v>
      </c>
    </row>
    <row r="366" spans="2:19" ht="15" x14ac:dyDescent="0.25">
      <c r="B366" s="67">
        <f t="shared" si="40"/>
        <v>37</v>
      </c>
      <c r="C366" s="14"/>
      <c r="D366" s="14"/>
      <c r="E366" s="14">
        <v>2</v>
      </c>
      <c r="F366" s="43"/>
      <c r="G366" s="14"/>
      <c r="H366" s="14" t="s">
        <v>255</v>
      </c>
      <c r="I366" s="40">
        <f>I367+I368+I369+I375</f>
        <v>28700</v>
      </c>
      <c r="J366" s="40">
        <f>J367+J368+J369+J375</f>
        <v>12855</v>
      </c>
      <c r="K366" s="225">
        <f t="shared" si="35"/>
        <v>44.790940766550527</v>
      </c>
      <c r="L366" s="175"/>
      <c r="M366" s="40">
        <f>M367+M368+M369+M375</f>
        <v>0</v>
      </c>
      <c r="N366" s="40">
        <f>N367+N368+N369+N375</f>
        <v>0</v>
      </c>
      <c r="O366" s="225"/>
      <c r="P366" s="175"/>
      <c r="Q366" s="40">
        <f t="shared" si="37"/>
        <v>28700</v>
      </c>
      <c r="R366" s="40">
        <f t="shared" si="38"/>
        <v>12855</v>
      </c>
      <c r="S366" s="244">
        <f t="shared" si="39"/>
        <v>44.790940766550527</v>
      </c>
    </row>
    <row r="367" spans="2:19" x14ac:dyDescent="0.2">
      <c r="B367" s="67">
        <f t="shared" si="40"/>
        <v>38</v>
      </c>
      <c r="C367" s="11"/>
      <c r="D367" s="11"/>
      <c r="E367" s="11"/>
      <c r="F367" s="45" t="s">
        <v>204</v>
      </c>
      <c r="G367" s="11">
        <v>610</v>
      </c>
      <c r="H367" s="11" t="s">
        <v>135</v>
      </c>
      <c r="I367" s="42">
        <v>6600</v>
      </c>
      <c r="J367" s="42">
        <v>3226</v>
      </c>
      <c r="K367" s="225">
        <f t="shared" si="35"/>
        <v>48.878787878787875</v>
      </c>
      <c r="L367" s="114"/>
      <c r="M367" s="42"/>
      <c r="N367" s="42"/>
      <c r="O367" s="225"/>
      <c r="P367" s="114"/>
      <c r="Q367" s="42">
        <f t="shared" si="37"/>
        <v>6600</v>
      </c>
      <c r="R367" s="42">
        <f t="shared" si="38"/>
        <v>3226</v>
      </c>
      <c r="S367" s="244">
        <f t="shared" si="39"/>
        <v>48.878787878787875</v>
      </c>
    </row>
    <row r="368" spans="2:19" x14ac:dyDescent="0.2">
      <c r="B368" s="67">
        <f t="shared" si="40"/>
        <v>39</v>
      </c>
      <c r="C368" s="11"/>
      <c r="D368" s="11"/>
      <c r="E368" s="11"/>
      <c r="F368" s="45" t="s">
        <v>204</v>
      </c>
      <c r="G368" s="11">
        <v>620</v>
      </c>
      <c r="H368" s="11" t="s">
        <v>130</v>
      </c>
      <c r="I368" s="42">
        <v>2950</v>
      </c>
      <c r="J368" s="42">
        <v>1498</v>
      </c>
      <c r="K368" s="225">
        <f t="shared" si="35"/>
        <v>50.779661016949149</v>
      </c>
      <c r="L368" s="114"/>
      <c r="M368" s="42"/>
      <c r="N368" s="42"/>
      <c r="O368" s="225"/>
      <c r="P368" s="114"/>
      <c r="Q368" s="42">
        <f t="shared" si="37"/>
        <v>2950</v>
      </c>
      <c r="R368" s="42">
        <f t="shared" si="38"/>
        <v>1498</v>
      </c>
      <c r="S368" s="244">
        <f t="shared" si="39"/>
        <v>50.779661016949149</v>
      </c>
    </row>
    <row r="369" spans="2:19" x14ac:dyDescent="0.2">
      <c r="B369" s="67">
        <f t="shared" si="40"/>
        <v>40</v>
      </c>
      <c r="C369" s="11"/>
      <c r="D369" s="11"/>
      <c r="E369" s="11"/>
      <c r="F369" s="45" t="s">
        <v>204</v>
      </c>
      <c r="G369" s="11">
        <v>630</v>
      </c>
      <c r="H369" s="11" t="s">
        <v>127</v>
      </c>
      <c r="I369" s="42">
        <f>I374+I373+I372+I371+I370</f>
        <v>18700</v>
      </c>
      <c r="J369" s="42">
        <f>J374+J373+J372+J371+J370</f>
        <v>8131</v>
      </c>
      <c r="K369" s="225">
        <f t="shared" si="35"/>
        <v>43.481283422459896</v>
      </c>
      <c r="L369" s="114"/>
      <c r="M369" s="42">
        <f>M374+M373+M372+M371+M370</f>
        <v>0</v>
      </c>
      <c r="N369" s="42">
        <f>N374+N373+N372+N371+N370</f>
        <v>0</v>
      </c>
      <c r="O369" s="225"/>
      <c r="P369" s="114"/>
      <c r="Q369" s="42">
        <f t="shared" si="37"/>
        <v>18700</v>
      </c>
      <c r="R369" s="42">
        <f t="shared" si="38"/>
        <v>8131</v>
      </c>
      <c r="S369" s="244">
        <f t="shared" si="39"/>
        <v>43.481283422459896</v>
      </c>
    </row>
    <row r="370" spans="2:19" x14ac:dyDescent="0.2">
      <c r="B370" s="67">
        <f t="shared" si="40"/>
        <v>41</v>
      </c>
      <c r="C370" s="2"/>
      <c r="D370" s="2"/>
      <c r="E370" s="2"/>
      <c r="F370" s="46" t="s">
        <v>204</v>
      </c>
      <c r="G370" s="2">
        <v>632</v>
      </c>
      <c r="H370" s="2" t="s">
        <v>138</v>
      </c>
      <c r="I370" s="22">
        <v>6600</v>
      </c>
      <c r="J370" s="22">
        <v>1848</v>
      </c>
      <c r="K370" s="225">
        <f t="shared" si="35"/>
        <v>28.000000000000004</v>
      </c>
      <c r="L370" s="68"/>
      <c r="M370" s="22"/>
      <c r="N370" s="22"/>
      <c r="O370" s="225"/>
      <c r="P370" s="68"/>
      <c r="Q370" s="22">
        <f t="shared" si="37"/>
        <v>6600</v>
      </c>
      <c r="R370" s="22">
        <f t="shared" si="38"/>
        <v>1848</v>
      </c>
      <c r="S370" s="244">
        <f t="shared" si="39"/>
        <v>28.000000000000004</v>
      </c>
    </row>
    <row r="371" spans="2:19" x14ac:dyDescent="0.2">
      <c r="B371" s="67">
        <f t="shared" si="40"/>
        <v>42</v>
      </c>
      <c r="C371" s="2"/>
      <c r="D371" s="2"/>
      <c r="E371" s="2"/>
      <c r="F371" s="46" t="s">
        <v>204</v>
      </c>
      <c r="G371" s="2">
        <v>633</v>
      </c>
      <c r="H371" s="2" t="s">
        <v>131</v>
      </c>
      <c r="I371" s="22">
        <f>500-100</f>
        <v>400</v>
      </c>
      <c r="J371" s="22">
        <v>54</v>
      </c>
      <c r="K371" s="225">
        <f t="shared" si="35"/>
        <v>13.5</v>
      </c>
      <c r="L371" s="68"/>
      <c r="M371" s="22"/>
      <c r="N371" s="22"/>
      <c r="O371" s="225"/>
      <c r="P371" s="68"/>
      <c r="Q371" s="22">
        <f t="shared" si="37"/>
        <v>400</v>
      </c>
      <c r="R371" s="22">
        <f t="shared" si="38"/>
        <v>54</v>
      </c>
      <c r="S371" s="244">
        <f t="shared" si="39"/>
        <v>13.5</v>
      </c>
    </row>
    <row r="372" spans="2:19" x14ac:dyDescent="0.2">
      <c r="B372" s="67">
        <f t="shared" si="40"/>
        <v>43</v>
      </c>
      <c r="C372" s="2"/>
      <c r="D372" s="2"/>
      <c r="E372" s="2"/>
      <c r="F372" s="46" t="s">
        <v>204</v>
      </c>
      <c r="G372" s="2">
        <v>635</v>
      </c>
      <c r="H372" s="2" t="s">
        <v>137</v>
      </c>
      <c r="I372" s="22">
        <f>100+100</f>
        <v>200</v>
      </c>
      <c r="J372" s="22">
        <v>172</v>
      </c>
      <c r="K372" s="225">
        <f t="shared" si="35"/>
        <v>86</v>
      </c>
      <c r="L372" s="68"/>
      <c r="M372" s="22"/>
      <c r="N372" s="22"/>
      <c r="O372" s="225"/>
      <c r="P372" s="68"/>
      <c r="Q372" s="22">
        <f t="shared" si="37"/>
        <v>200</v>
      </c>
      <c r="R372" s="22">
        <f t="shared" si="38"/>
        <v>172</v>
      </c>
      <c r="S372" s="244">
        <f t="shared" si="39"/>
        <v>86</v>
      </c>
    </row>
    <row r="373" spans="2:19" x14ac:dyDescent="0.2">
      <c r="B373" s="67">
        <f t="shared" si="40"/>
        <v>44</v>
      </c>
      <c r="C373" s="2"/>
      <c r="D373" s="2"/>
      <c r="E373" s="2"/>
      <c r="F373" s="46" t="s">
        <v>204</v>
      </c>
      <c r="G373" s="2">
        <v>636</v>
      </c>
      <c r="H373" s="2" t="s">
        <v>132</v>
      </c>
      <c r="I373" s="22">
        <v>1200</v>
      </c>
      <c r="J373" s="22">
        <v>0</v>
      </c>
      <c r="K373" s="225">
        <f t="shared" si="35"/>
        <v>0</v>
      </c>
      <c r="L373" s="68"/>
      <c r="M373" s="22"/>
      <c r="N373" s="22"/>
      <c r="O373" s="225"/>
      <c r="P373" s="68"/>
      <c r="Q373" s="22">
        <f t="shared" si="37"/>
        <v>1200</v>
      </c>
      <c r="R373" s="22">
        <f t="shared" si="38"/>
        <v>0</v>
      </c>
      <c r="S373" s="244">
        <f t="shared" si="39"/>
        <v>0</v>
      </c>
    </row>
    <row r="374" spans="2:19" ht="12.75" customHeight="1" x14ac:dyDescent="0.2">
      <c r="B374" s="67">
        <f t="shared" si="40"/>
        <v>45</v>
      </c>
      <c r="C374" s="2"/>
      <c r="D374" s="2"/>
      <c r="E374" s="2"/>
      <c r="F374" s="46" t="s">
        <v>204</v>
      </c>
      <c r="G374" s="2">
        <v>637</v>
      </c>
      <c r="H374" s="2" t="s">
        <v>128</v>
      </c>
      <c r="I374" s="22">
        <v>10300</v>
      </c>
      <c r="J374" s="22">
        <v>6057</v>
      </c>
      <c r="K374" s="225">
        <f t="shared" si="35"/>
        <v>58.805825242718448</v>
      </c>
      <c r="L374" s="68"/>
      <c r="M374" s="22"/>
      <c r="N374" s="22"/>
      <c r="O374" s="225"/>
      <c r="P374" s="68"/>
      <c r="Q374" s="22">
        <f t="shared" si="37"/>
        <v>10300</v>
      </c>
      <c r="R374" s="22">
        <f t="shared" si="38"/>
        <v>6057</v>
      </c>
      <c r="S374" s="244">
        <f t="shared" si="39"/>
        <v>58.805825242718448</v>
      </c>
    </row>
    <row r="375" spans="2:19" ht="12.75" customHeight="1" x14ac:dyDescent="0.2">
      <c r="B375" s="67">
        <f t="shared" si="40"/>
        <v>46</v>
      </c>
      <c r="C375" s="11"/>
      <c r="D375" s="11"/>
      <c r="E375" s="11"/>
      <c r="F375" s="45" t="s">
        <v>158</v>
      </c>
      <c r="G375" s="11">
        <v>630</v>
      </c>
      <c r="H375" s="11" t="s">
        <v>127</v>
      </c>
      <c r="I375" s="42">
        <f>I376</f>
        <v>450</v>
      </c>
      <c r="J375" s="42">
        <f>J376</f>
        <v>0</v>
      </c>
      <c r="K375" s="225">
        <f t="shared" si="35"/>
        <v>0</v>
      </c>
      <c r="L375" s="114"/>
      <c r="M375" s="42">
        <f>M376</f>
        <v>0</v>
      </c>
      <c r="N375" s="42">
        <f>N376</f>
        <v>0</v>
      </c>
      <c r="O375" s="225"/>
      <c r="P375" s="114"/>
      <c r="Q375" s="42">
        <f t="shared" si="37"/>
        <v>450</v>
      </c>
      <c r="R375" s="42">
        <f t="shared" si="38"/>
        <v>0</v>
      </c>
      <c r="S375" s="244">
        <f t="shared" si="39"/>
        <v>0</v>
      </c>
    </row>
    <row r="376" spans="2:19" x14ac:dyDescent="0.2">
      <c r="B376" s="67">
        <f t="shared" si="40"/>
        <v>47</v>
      </c>
      <c r="C376" s="2"/>
      <c r="D376" s="2"/>
      <c r="E376" s="2"/>
      <c r="F376" s="46" t="s">
        <v>158</v>
      </c>
      <c r="G376" s="2">
        <v>636</v>
      </c>
      <c r="H376" s="2" t="s">
        <v>132</v>
      </c>
      <c r="I376" s="22">
        <v>450</v>
      </c>
      <c r="J376" s="22"/>
      <c r="K376" s="225">
        <f t="shared" si="35"/>
        <v>0</v>
      </c>
      <c r="L376" s="68"/>
      <c r="M376" s="22"/>
      <c r="N376" s="22"/>
      <c r="O376" s="225"/>
      <c r="P376" s="68"/>
      <c r="Q376" s="22">
        <f t="shared" si="37"/>
        <v>450</v>
      </c>
      <c r="R376" s="22">
        <f t="shared" si="38"/>
        <v>0</v>
      </c>
      <c r="S376" s="244">
        <f t="shared" si="39"/>
        <v>0</v>
      </c>
    </row>
    <row r="377" spans="2:19" ht="20.25" customHeight="1" x14ac:dyDescent="0.2">
      <c r="B377" s="67">
        <f t="shared" si="40"/>
        <v>48</v>
      </c>
      <c r="C377" s="166">
        <v>6</v>
      </c>
      <c r="D377" s="325" t="s">
        <v>150</v>
      </c>
      <c r="E377" s="326"/>
      <c r="F377" s="326"/>
      <c r="G377" s="326"/>
      <c r="H377" s="327"/>
      <c r="I377" s="38">
        <f>I378+I383</f>
        <v>151765</v>
      </c>
      <c r="J377" s="38">
        <f>J378+J383</f>
        <v>55640</v>
      </c>
      <c r="K377" s="225">
        <f t="shared" si="35"/>
        <v>36.661944453596021</v>
      </c>
      <c r="L377" s="173"/>
      <c r="M377" s="38">
        <f>M378+M383</f>
        <v>38212</v>
      </c>
      <c r="N377" s="38">
        <f>N378+N383</f>
        <v>1303</v>
      </c>
      <c r="O377" s="225">
        <f t="shared" si="36"/>
        <v>3.4099235842143831</v>
      </c>
      <c r="P377" s="173"/>
      <c r="Q377" s="38">
        <f t="shared" si="37"/>
        <v>189977</v>
      </c>
      <c r="R377" s="38">
        <f t="shared" si="38"/>
        <v>56943</v>
      </c>
      <c r="S377" s="244">
        <f t="shared" si="39"/>
        <v>29.973628386594164</v>
      </c>
    </row>
    <row r="378" spans="2:19" ht="20.25" customHeight="1" x14ac:dyDescent="0.2">
      <c r="B378" s="67">
        <f t="shared" si="40"/>
        <v>49</v>
      </c>
      <c r="C378" s="11"/>
      <c r="D378" s="11"/>
      <c r="E378" s="11"/>
      <c r="F378" s="45" t="s">
        <v>149</v>
      </c>
      <c r="G378" s="11">
        <v>630</v>
      </c>
      <c r="H378" s="11" t="s">
        <v>127</v>
      </c>
      <c r="I378" s="42">
        <f>I381+I379+I382+I380</f>
        <v>151765</v>
      </c>
      <c r="J378" s="42">
        <f>J381+J379+J382+J380</f>
        <v>55640</v>
      </c>
      <c r="K378" s="225">
        <f t="shared" si="35"/>
        <v>36.661944453596021</v>
      </c>
      <c r="L378" s="114"/>
      <c r="M378" s="42">
        <f>M381+M379</f>
        <v>0</v>
      </c>
      <c r="N378" s="42">
        <f>N381+N379</f>
        <v>0</v>
      </c>
      <c r="O378" s="225"/>
      <c r="P378" s="114"/>
      <c r="Q378" s="42">
        <f t="shared" si="37"/>
        <v>151765</v>
      </c>
      <c r="R378" s="42">
        <f t="shared" si="38"/>
        <v>55640</v>
      </c>
      <c r="S378" s="244">
        <f t="shared" si="39"/>
        <v>36.661944453596021</v>
      </c>
    </row>
    <row r="379" spans="2:19" x14ac:dyDescent="0.2">
      <c r="B379" s="67">
        <f t="shared" si="40"/>
        <v>50</v>
      </c>
      <c r="C379" s="2"/>
      <c r="D379" s="2"/>
      <c r="E379" s="2"/>
      <c r="F379" s="46" t="s">
        <v>149</v>
      </c>
      <c r="G379" s="2">
        <v>632</v>
      </c>
      <c r="H379" s="2" t="s">
        <v>138</v>
      </c>
      <c r="I379" s="22">
        <v>27000</v>
      </c>
      <c r="J379" s="22">
        <v>7955</v>
      </c>
      <c r="K379" s="225">
        <f t="shared" si="35"/>
        <v>29.462962962962962</v>
      </c>
      <c r="L379" s="68"/>
      <c r="M379" s="22"/>
      <c r="N379" s="22"/>
      <c r="O379" s="225"/>
      <c r="P379" s="68"/>
      <c r="Q379" s="22">
        <f t="shared" si="37"/>
        <v>27000</v>
      </c>
      <c r="R379" s="22">
        <f t="shared" si="38"/>
        <v>7955</v>
      </c>
      <c r="S379" s="244">
        <f t="shared" si="39"/>
        <v>29.462962962962962</v>
      </c>
    </row>
    <row r="380" spans="2:19" x14ac:dyDescent="0.2">
      <c r="B380" s="67">
        <f t="shared" si="40"/>
        <v>51</v>
      </c>
      <c r="C380" s="2"/>
      <c r="D380" s="2"/>
      <c r="E380" s="2"/>
      <c r="F380" s="46" t="s">
        <v>149</v>
      </c>
      <c r="G380" s="2">
        <v>633</v>
      </c>
      <c r="H380" s="2" t="s">
        <v>131</v>
      </c>
      <c r="I380" s="22">
        <v>300</v>
      </c>
      <c r="J380" s="22">
        <v>300</v>
      </c>
      <c r="K380" s="225">
        <f t="shared" si="35"/>
        <v>100</v>
      </c>
      <c r="L380" s="68"/>
      <c r="M380" s="22"/>
      <c r="N380" s="22"/>
      <c r="O380" s="225"/>
      <c r="P380" s="68"/>
      <c r="Q380" s="22">
        <f t="shared" si="37"/>
        <v>300</v>
      </c>
      <c r="R380" s="22">
        <f t="shared" si="38"/>
        <v>300</v>
      </c>
      <c r="S380" s="244">
        <f t="shared" si="39"/>
        <v>100</v>
      </c>
    </row>
    <row r="381" spans="2:19" x14ac:dyDescent="0.2">
      <c r="B381" s="67">
        <f t="shared" si="40"/>
        <v>52</v>
      </c>
      <c r="C381" s="2"/>
      <c r="D381" s="2"/>
      <c r="E381" s="2"/>
      <c r="F381" s="46" t="s">
        <v>149</v>
      </c>
      <c r="G381" s="2">
        <v>637</v>
      </c>
      <c r="H381" s="2" t="s">
        <v>128</v>
      </c>
      <c r="I381" s="22">
        <f>117630-300</f>
        <v>117330</v>
      </c>
      <c r="J381" s="22">
        <f>47385-J382</f>
        <v>40250</v>
      </c>
      <c r="K381" s="225">
        <f t="shared" si="35"/>
        <v>34.304951845222874</v>
      </c>
      <c r="L381" s="68"/>
      <c r="M381" s="22"/>
      <c r="N381" s="22"/>
      <c r="O381" s="225"/>
      <c r="P381" s="68"/>
      <c r="Q381" s="22">
        <f t="shared" si="37"/>
        <v>117330</v>
      </c>
      <c r="R381" s="22">
        <f t="shared" si="38"/>
        <v>40250</v>
      </c>
      <c r="S381" s="244">
        <f t="shared" si="39"/>
        <v>34.304951845222874</v>
      </c>
    </row>
    <row r="382" spans="2:19" x14ac:dyDescent="0.2">
      <c r="B382" s="67">
        <f t="shared" si="40"/>
        <v>53</v>
      </c>
      <c r="C382" s="2"/>
      <c r="D382" s="2"/>
      <c r="E382" s="2"/>
      <c r="F382" s="46" t="s">
        <v>149</v>
      </c>
      <c r="G382" s="2">
        <v>637</v>
      </c>
      <c r="H382" s="2" t="s">
        <v>517</v>
      </c>
      <c r="I382" s="22">
        <v>7135</v>
      </c>
      <c r="J382" s="22">
        <v>7135</v>
      </c>
      <c r="K382" s="225">
        <f t="shared" si="35"/>
        <v>100</v>
      </c>
      <c r="L382" s="68"/>
      <c r="M382" s="22"/>
      <c r="N382" s="22"/>
      <c r="O382" s="225"/>
      <c r="P382" s="68"/>
      <c r="Q382" s="22">
        <f t="shared" si="37"/>
        <v>7135</v>
      </c>
      <c r="R382" s="22">
        <f t="shared" si="38"/>
        <v>7135</v>
      </c>
      <c r="S382" s="244">
        <f t="shared" si="39"/>
        <v>100</v>
      </c>
    </row>
    <row r="383" spans="2:19" x14ac:dyDescent="0.2">
      <c r="B383" s="67">
        <f t="shared" si="40"/>
        <v>54</v>
      </c>
      <c r="C383" s="11"/>
      <c r="D383" s="11"/>
      <c r="E383" s="11"/>
      <c r="F383" s="45" t="s">
        <v>149</v>
      </c>
      <c r="G383" s="11">
        <v>710</v>
      </c>
      <c r="H383" s="11" t="s">
        <v>183</v>
      </c>
      <c r="I383" s="42">
        <f>I386+I384</f>
        <v>0</v>
      </c>
      <c r="J383" s="42">
        <f>J386+J384</f>
        <v>0</v>
      </c>
      <c r="K383" s="225"/>
      <c r="L383" s="114"/>
      <c r="M383" s="42">
        <f>M386+M384</f>
        <v>38212</v>
      </c>
      <c r="N383" s="42">
        <f>N386+N384</f>
        <v>1303</v>
      </c>
      <c r="O383" s="225">
        <f t="shared" si="36"/>
        <v>3.4099235842143831</v>
      </c>
      <c r="P383" s="114"/>
      <c r="Q383" s="42">
        <f t="shared" si="37"/>
        <v>38212</v>
      </c>
      <c r="R383" s="42">
        <f t="shared" si="38"/>
        <v>1303</v>
      </c>
      <c r="S383" s="244">
        <f t="shared" si="39"/>
        <v>3.4099235842143831</v>
      </c>
    </row>
    <row r="384" spans="2:19" x14ac:dyDescent="0.2">
      <c r="B384" s="67">
        <f t="shared" si="40"/>
        <v>55</v>
      </c>
      <c r="C384" s="2"/>
      <c r="D384" s="2"/>
      <c r="E384" s="2"/>
      <c r="F384" s="77" t="s">
        <v>149</v>
      </c>
      <c r="G384" s="78">
        <v>716</v>
      </c>
      <c r="H384" s="78" t="s">
        <v>0</v>
      </c>
      <c r="I384" s="79"/>
      <c r="J384" s="79"/>
      <c r="K384" s="225"/>
      <c r="L384" s="68"/>
      <c r="M384" s="79">
        <f>SUM(M385:M385)</f>
        <v>1750</v>
      </c>
      <c r="N384" s="79">
        <f>SUM(N385:N385)</f>
        <v>0</v>
      </c>
      <c r="O384" s="225">
        <f t="shared" si="36"/>
        <v>0</v>
      </c>
      <c r="P384" s="68"/>
      <c r="Q384" s="79">
        <f t="shared" si="37"/>
        <v>1750</v>
      </c>
      <c r="R384" s="79">
        <f t="shared" si="38"/>
        <v>0</v>
      </c>
      <c r="S384" s="244">
        <f t="shared" si="39"/>
        <v>0</v>
      </c>
    </row>
    <row r="385" spans="2:19" x14ac:dyDescent="0.2">
      <c r="B385" s="67">
        <f t="shared" si="40"/>
        <v>56</v>
      </c>
      <c r="C385" s="71"/>
      <c r="D385" s="71"/>
      <c r="E385" s="71"/>
      <c r="F385" s="72"/>
      <c r="G385" s="71"/>
      <c r="H385" s="73" t="s">
        <v>494</v>
      </c>
      <c r="I385" s="55"/>
      <c r="J385" s="55"/>
      <c r="K385" s="225"/>
      <c r="L385" s="149"/>
      <c r="M385" s="55">
        <v>1750</v>
      </c>
      <c r="N385" s="55">
        <v>0</v>
      </c>
      <c r="O385" s="225">
        <f t="shared" si="36"/>
        <v>0</v>
      </c>
      <c r="P385" s="149"/>
      <c r="Q385" s="55">
        <f t="shared" si="37"/>
        <v>1750</v>
      </c>
      <c r="R385" s="55">
        <f t="shared" si="38"/>
        <v>0</v>
      </c>
      <c r="S385" s="244">
        <f t="shared" si="39"/>
        <v>0</v>
      </c>
    </row>
    <row r="386" spans="2:19" x14ac:dyDescent="0.2">
      <c r="B386" s="67">
        <f t="shared" si="40"/>
        <v>57</v>
      </c>
      <c r="C386" s="71"/>
      <c r="D386" s="71"/>
      <c r="E386" s="71"/>
      <c r="F386" s="103" t="s">
        <v>149</v>
      </c>
      <c r="G386" s="104">
        <v>717</v>
      </c>
      <c r="H386" s="104" t="s">
        <v>193</v>
      </c>
      <c r="I386" s="105"/>
      <c r="J386" s="105"/>
      <c r="K386" s="225"/>
      <c r="L386" s="149"/>
      <c r="M386" s="105">
        <f>SUM(M387:M390)</f>
        <v>36462</v>
      </c>
      <c r="N386" s="105">
        <f>SUM(N387:N390)</f>
        <v>1303</v>
      </c>
      <c r="O386" s="225">
        <f t="shared" si="36"/>
        <v>3.5735834567494926</v>
      </c>
      <c r="P386" s="149"/>
      <c r="Q386" s="105">
        <f t="shared" si="37"/>
        <v>36462</v>
      </c>
      <c r="R386" s="105">
        <f t="shared" si="38"/>
        <v>1303</v>
      </c>
      <c r="S386" s="244">
        <f t="shared" si="39"/>
        <v>3.5735834567494926</v>
      </c>
    </row>
    <row r="387" spans="2:19" ht="24" x14ac:dyDescent="0.2">
      <c r="B387" s="67">
        <f t="shared" si="40"/>
        <v>58</v>
      </c>
      <c r="C387" s="71"/>
      <c r="D387" s="106"/>
      <c r="E387" s="71"/>
      <c r="F387" s="72"/>
      <c r="G387" s="71"/>
      <c r="H387" s="107" t="s">
        <v>443</v>
      </c>
      <c r="I387" s="55"/>
      <c r="J387" s="55"/>
      <c r="K387" s="225"/>
      <c r="L387" s="149"/>
      <c r="M387" s="55">
        <v>19000</v>
      </c>
      <c r="N387" s="55">
        <v>300</v>
      </c>
      <c r="O387" s="225">
        <f t="shared" si="36"/>
        <v>1.5789473684210527</v>
      </c>
      <c r="P387" s="149"/>
      <c r="Q387" s="55">
        <f t="shared" si="37"/>
        <v>19000</v>
      </c>
      <c r="R387" s="55">
        <f t="shared" si="38"/>
        <v>300</v>
      </c>
      <c r="S387" s="244">
        <f t="shared" si="39"/>
        <v>1.5789473684210527</v>
      </c>
    </row>
    <row r="388" spans="2:19" x14ac:dyDescent="0.2">
      <c r="B388" s="67">
        <f t="shared" si="40"/>
        <v>59</v>
      </c>
      <c r="C388" s="71"/>
      <c r="D388" s="106"/>
      <c r="E388" s="71"/>
      <c r="F388" s="72"/>
      <c r="G388" s="71"/>
      <c r="H388" s="107" t="s">
        <v>444</v>
      </c>
      <c r="I388" s="55"/>
      <c r="J388" s="55"/>
      <c r="K388" s="225"/>
      <c r="L388" s="149"/>
      <c r="M388" s="55">
        <v>3712</v>
      </c>
      <c r="N388" s="55">
        <v>1003</v>
      </c>
      <c r="O388" s="225">
        <f t="shared" si="36"/>
        <v>27.020474137931032</v>
      </c>
      <c r="P388" s="149"/>
      <c r="Q388" s="55">
        <f t="shared" si="37"/>
        <v>3712</v>
      </c>
      <c r="R388" s="55">
        <f t="shared" si="38"/>
        <v>1003</v>
      </c>
      <c r="S388" s="244">
        <f t="shared" si="39"/>
        <v>27.020474137931032</v>
      </c>
    </row>
    <row r="389" spans="2:19" ht="24" x14ac:dyDescent="0.2">
      <c r="B389" s="67">
        <f t="shared" si="40"/>
        <v>60</v>
      </c>
      <c r="C389" s="71"/>
      <c r="D389" s="106"/>
      <c r="E389" s="71"/>
      <c r="F389" s="72"/>
      <c r="G389" s="71"/>
      <c r="H389" s="126" t="s">
        <v>561</v>
      </c>
      <c r="I389" s="127"/>
      <c r="J389" s="127"/>
      <c r="K389" s="225"/>
      <c r="L389" s="149"/>
      <c r="M389" s="127">
        <v>4000</v>
      </c>
      <c r="N389" s="127">
        <v>0</v>
      </c>
      <c r="O389" s="225">
        <f t="shared" si="36"/>
        <v>0</v>
      </c>
      <c r="P389" s="149"/>
      <c r="Q389" s="127">
        <f t="shared" si="37"/>
        <v>4000</v>
      </c>
      <c r="R389" s="127">
        <f t="shared" si="38"/>
        <v>0</v>
      </c>
      <c r="S389" s="244">
        <f t="shared" si="39"/>
        <v>0</v>
      </c>
    </row>
    <row r="390" spans="2:19" x14ac:dyDescent="0.2">
      <c r="B390" s="67">
        <f t="shared" si="40"/>
        <v>61</v>
      </c>
      <c r="C390" s="71"/>
      <c r="D390" s="106"/>
      <c r="E390" s="71"/>
      <c r="F390" s="72"/>
      <c r="G390" s="71"/>
      <c r="H390" s="107" t="s">
        <v>495</v>
      </c>
      <c r="I390" s="55"/>
      <c r="J390" s="55"/>
      <c r="K390" s="225"/>
      <c r="L390" s="149"/>
      <c r="M390" s="55">
        <f>7500+2250</f>
        <v>9750</v>
      </c>
      <c r="N390" s="55">
        <v>0</v>
      </c>
      <c r="O390" s="225">
        <f t="shared" si="36"/>
        <v>0</v>
      </c>
      <c r="P390" s="149"/>
      <c r="Q390" s="55">
        <f t="shared" si="37"/>
        <v>9750</v>
      </c>
      <c r="R390" s="55">
        <f t="shared" si="38"/>
        <v>0</v>
      </c>
      <c r="S390" s="244">
        <f t="shared" si="39"/>
        <v>0</v>
      </c>
    </row>
    <row r="391" spans="2:19" ht="15" x14ac:dyDescent="0.2">
      <c r="B391" s="67">
        <f t="shared" si="40"/>
        <v>62</v>
      </c>
      <c r="C391" s="166">
        <v>7</v>
      </c>
      <c r="D391" s="325" t="s">
        <v>277</v>
      </c>
      <c r="E391" s="326"/>
      <c r="F391" s="326"/>
      <c r="G391" s="326"/>
      <c r="H391" s="327"/>
      <c r="I391" s="38">
        <f>I392</f>
        <v>2870</v>
      </c>
      <c r="J391" s="38">
        <f>J392</f>
        <v>566</v>
      </c>
      <c r="K391" s="225">
        <f t="shared" ref="K391:K399" si="41">J391/I391*100</f>
        <v>19.721254355400696</v>
      </c>
      <c r="L391" s="173"/>
      <c r="M391" s="38">
        <f>M392</f>
        <v>0</v>
      </c>
      <c r="N391" s="38">
        <f>N392</f>
        <v>0</v>
      </c>
      <c r="O391" s="225"/>
      <c r="P391" s="173"/>
      <c r="Q391" s="38">
        <f t="shared" ref="Q391:Q395" si="42">I391+M391</f>
        <v>2870</v>
      </c>
      <c r="R391" s="38">
        <f t="shared" ref="R391:R400" si="43">J391+N391</f>
        <v>566</v>
      </c>
      <c r="S391" s="244">
        <f t="shared" ref="S391:S399" si="44">R391/Q391*100</f>
        <v>19.721254355400696</v>
      </c>
    </row>
    <row r="392" spans="2:19" ht="15" x14ac:dyDescent="0.25">
      <c r="B392" s="67">
        <f t="shared" si="40"/>
        <v>63</v>
      </c>
      <c r="C392" s="14"/>
      <c r="D392" s="14"/>
      <c r="E392" s="14">
        <v>2</v>
      </c>
      <c r="F392" s="43"/>
      <c r="G392" s="14"/>
      <c r="H392" s="14" t="s">
        <v>255</v>
      </c>
      <c r="I392" s="40">
        <f>I393+I394+I395</f>
        <v>2870</v>
      </c>
      <c r="J392" s="40">
        <f>J393+J394+J395</f>
        <v>566</v>
      </c>
      <c r="K392" s="225">
        <f t="shared" si="41"/>
        <v>19.721254355400696</v>
      </c>
      <c r="L392" s="175"/>
      <c r="M392" s="40">
        <f>M393+M394+M395</f>
        <v>0</v>
      </c>
      <c r="N392" s="40">
        <f>N393+N394+N395</f>
        <v>0</v>
      </c>
      <c r="O392" s="225"/>
      <c r="P392" s="175"/>
      <c r="Q392" s="40">
        <f t="shared" si="42"/>
        <v>2870</v>
      </c>
      <c r="R392" s="40">
        <f t="shared" si="43"/>
        <v>566</v>
      </c>
      <c r="S392" s="244">
        <f t="shared" si="44"/>
        <v>19.721254355400696</v>
      </c>
    </row>
    <row r="393" spans="2:19" x14ac:dyDescent="0.2">
      <c r="B393" s="67">
        <f t="shared" ref="B393:B400" si="45">B392+1</f>
        <v>64</v>
      </c>
      <c r="C393" s="11"/>
      <c r="D393" s="11"/>
      <c r="E393" s="11"/>
      <c r="F393" s="45" t="s">
        <v>2</v>
      </c>
      <c r="G393" s="11">
        <v>610</v>
      </c>
      <c r="H393" s="11" t="s">
        <v>135</v>
      </c>
      <c r="I393" s="42">
        <v>700</v>
      </c>
      <c r="J393" s="42">
        <v>325</v>
      </c>
      <c r="K393" s="225">
        <f t="shared" si="41"/>
        <v>46.428571428571431</v>
      </c>
      <c r="L393" s="114"/>
      <c r="M393" s="42"/>
      <c r="N393" s="42"/>
      <c r="O393" s="225"/>
      <c r="P393" s="114"/>
      <c r="Q393" s="42">
        <f t="shared" si="42"/>
        <v>700</v>
      </c>
      <c r="R393" s="42">
        <f t="shared" si="43"/>
        <v>325</v>
      </c>
      <c r="S393" s="244">
        <f t="shared" si="44"/>
        <v>46.428571428571431</v>
      </c>
    </row>
    <row r="394" spans="2:19" x14ac:dyDescent="0.2">
      <c r="B394" s="67">
        <f t="shared" si="45"/>
        <v>65</v>
      </c>
      <c r="C394" s="11"/>
      <c r="D394" s="11"/>
      <c r="E394" s="11"/>
      <c r="F394" s="45" t="s">
        <v>2</v>
      </c>
      <c r="G394" s="11">
        <v>620</v>
      </c>
      <c r="H394" s="11" t="s">
        <v>130</v>
      </c>
      <c r="I394" s="42">
        <v>240</v>
      </c>
      <c r="J394" s="42">
        <v>117</v>
      </c>
      <c r="K394" s="225">
        <f t="shared" si="41"/>
        <v>48.75</v>
      </c>
      <c r="L394" s="114"/>
      <c r="M394" s="42"/>
      <c r="N394" s="42"/>
      <c r="O394" s="225"/>
      <c r="P394" s="114"/>
      <c r="Q394" s="42">
        <f t="shared" si="42"/>
        <v>240</v>
      </c>
      <c r="R394" s="42">
        <f t="shared" si="43"/>
        <v>117</v>
      </c>
      <c r="S394" s="244">
        <f t="shared" si="44"/>
        <v>48.75</v>
      </c>
    </row>
    <row r="395" spans="2:19" x14ac:dyDescent="0.2">
      <c r="B395" s="67">
        <f t="shared" si="45"/>
        <v>66</v>
      </c>
      <c r="C395" s="11"/>
      <c r="D395" s="11"/>
      <c r="E395" s="11"/>
      <c r="F395" s="45" t="s">
        <v>2</v>
      </c>
      <c r="G395" s="11">
        <v>630</v>
      </c>
      <c r="H395" s="11" t="s">
        <v>127</v>
      </c>
      <c r="I395" s="42">
        <f>I399+I398+I397+I396</f>
        <v>1930</v>
      </c>
      <c r="J395" s="42">
        <f>J399+J398+J397+J396</f>
        <v>124</v>
      </c>
      <c r="K395" s="225">
        <f t="shared" si="41"/>
        <v>6.4248704663212433</v>
      </c>
      <c r="L395" s="114"/>
      <c r="M395" s="42">
        <f>M399+M398+M397+M396</f>
        <v>0</v>
      </c>
      <c r="N395" s="42">
        <f>N399+N398+N397+N396</f>
        <v>0</v>
      </c>
      <c r="O395" s="225"/>
      <c r="P395" s="114"/>
      <c r="Q395" s="42">
        <f t="shared" si="42"/>
        <v>1930</v>
      </c>
      <c r="R395" s="42">
        <f t="shared" si="43"/>
        <v>124</v>
      </c>
      <c r="S395" s="244">
        <f t="shared" si="44"/>
        <v>6.4248704663212433</v>
      </c>
    </row>
    <row r="396" spans="2:19" x14ac:dyDescent="0.2">
      <c r="B396" s="67">
        <f t="shared" si="45"/>
        <v>67</v>
      </c>
      <c r="C396" s="2"/>
      <c r="D396" s="2"/>
      <c r="E396" s="2"/>
      <c r="F396" s="46" t="s">
        <v>2</v>
      </c>
      <c r="G396" s="2">
        <v>633</v>
      </c>
      <c r="H396" s="2" t="s">
        <v>131</v>
      </c>
      <c r="I396" s="22">
        <v>800</v>
      </c>
      <c r="J396" s="22">
        <v>53</v>
      </c>
      <c r="K396" s="225">
        <f t="shared" si="41"/>
        <v>6.625</v>
      </c>
      <c r="L396" s="68"/>
      <c r="M396" s="22"/>
      <c r="N396" s="22"/>
      <c r="O396" s="225"/>
      <c r="P396" s="68"/>
      <c r="Q396" s="22">
        <f>I396+M396</f>
        <v>800</v>
      </c>
      <c r="R396" s="22">
        <f t="shared" si="43"/>
        <v>53</v>
      </c>
      <c r="S396" s="244">
        <f t="shared" si="44"/>
        <v>6.625</v>
      </c>
    </row>
    <row r="397" spans="2:19" x14ac:dyDescent="0.2">
      <c r="B397" s="67">
        <f t="shared" si="45"/>
        <v>68</v>
      </c>
      <c r="C397" s="2"/>
      <c r="D397" s="2"/>
      <c r="E397" s="2"/>
      <c r="F397" s="46" t="s">
        <v>2</v>
      </c>
      <c r="G397" s="2">
        <v>634</v>
      </c>
      <c r="H397" s="2" t="s">
        <v>136</v>
      </c>
      <c r="I397" s="22">
        <v>450</v>
      </c>
      <c r="J397" s="22">
        <v>55</v>
      </c>
      <c r="K397" s="225">
        <f t="shared" si="41"/>
        <v>12.222222222222221</v>
      </c>
      <c r="L397" s="68"/>
      <c r="M397" s="22"/>
      <c r="N397" s="22"/>
      <c r="O397" s="225"/>
      <c r="P397" s="68"/>
      <c r="Q397" s="22">
        <f>I397+M397</f>
        <v>450</v>
      </c>
      <c r="R397" s="22">
        <f t="shared" si="43"/>
        <v>55</v>
      </c>
      <c r="S397" s="244">
        <f t="shared" si="44"/>
        <v>12.222222222222221</v>
      </c>
    </row>
    <row r="398" spans="2:19" x14ac:dyDescent="0.2">
      <c r="B398" s="67">
        <f t="shared" si="45"/>
        <v>69</v>
      </c>
      <c r="C398" s="2"/>
      <c r="D398" s="2"/>
      <c r="E398" s="2"/>
      <c r="F398" s="46" t="s">
        <v>2</v>
      </c>
      <c r="G398" s="2">
        <v>635</v>
      </c>
      <c r="H398" s="2" t="s">
        <v>137</v>
      </c>
      <c r="I398" s="22">
        <v>350</v>
      </c>
      <c r="J398" s="22">
        <v>0</v>
      </c>
      <c r="K398" s="225">
        <f t="shared" si="41"/>
        <v>0</v>
      </c>
      <c r="L398" s="68"/>
      <c r="M398" s="22"/>
      <c r="N398" s="22"/>
      <c r="O398" s="225"/>
      <c r="P398" s="68"/>
      <c r="Q398" s="22">
        <f>I398+M398</f>
        <v>350</v>
      </c>
      <c r="R398" s="22">
        <f t="shared" si="43"/>
        <v>0</v>
      </c>
      <c r="S398" s="244">
        <f t="shared" si="44"/>
        <v>0</v>
      </c>
    </row>
    <row r="399" spans="2:19" x14ac:dyDescent="0.2">
      <c r="B399" s="67">
        <f t="shared" si="45"/>
        <v>70</v>
      </c>
      <c r="C399" s="2"/>
      <c r="D399" s="2"/>
      <c r="E399" s="2"/>
      <c r="F399" s="46" t="s">
        <v>2</v>
      </c>
      <c r="G399" s="2">
        <v>637</v>
      </c>
      <c r="H399" s="2" t="s">
        <v>128</v>
      </c>
      <c r="I399" s="22">
        <v>330</v>
      </c>
      <c r="J399" s="22">
        <v>16</v>
      </c>
      <c r="K399" s="225">
        <f t="shared" si="41"/>
        <v>4.8484848484848486</v>
      </c>
      <c r="L399" s="68"/>
      <c r="M399" s="22"/>
      <c r="N399" s="22"/>
      <c r="O399" s="225"/>
      <c r="P399" s="68"/>
      <c r="Q399" s="22">
        <f>I399+M399</f>
        <v>330</v>
      </c>
      <c r="R399" s="22">
        <f t="shared" si="43"/>
        <v>16</v>
      </c>
      <c r="S399" s="244">
        <f t="shared" si="44"/>
        <v>4.8484848484848486</v>
      </c>
    </row>
    <row r="400" spans="2:19" ht="15" x14ac:dyDescent="0.2">
      <c r="B400" s="67">
        <f t="shared" si="45"/>
        <v>71</v>
      </c>
      <c r="C400" s="166">
        <v>8</v>
      </c>
      <c r="D400" s="325" t="s">
        <v>354</v>
      </c>
      <c r="E400" s="326"/>
      <c r="F400" s="326"/>
      <c r="G400" s="326"/>
      <c r="H400" s="327"/>
      <c r="I400" s="38">
        <v>0</v>
      </c>
      <c r="J400" s="38">
        <v>0</v>
      </c>
      <c r="K400" s="225"/>
      <c r="L400" s="173"/>
      <c r="M400" s="38">
        <v>0</v>
      </c>
      <c r="N400" s="38"/>
      <c r="O400" s="225"/>
      <c r="P400" s="173"/>
      <c r="Q400" s="38">
        <f>I400+M400</f>
        <v>0</v>
      </c>
      <c r="R400" s="38">
        <f t="shared" si="43"/>
        <v>0</v>
      </c>
      <c r="S400" s="244">
        <v>0</v>
      </c>
    </row>
    <row r="450" spans="2:19" ht="27" x14ac:dyDescent="0.35">
      <c r="B450" s="306" t="s">
        <v>297</v>
      </c>
      <c r="C450" s="307"/>
      <c r="D450" s="307"/>
      <c r="E450" s="307"/>
      <c r="F450" s="307"/>
      <c r="G450" s="307"/>
      <c r="H450" s="307"/>
      <c r="I450" s="307"/>
      <c r="J450" s="307"/>
      <c r="K450" s="307"/>
      <c r="L450" s="307"/>
      <c r="M450" s="307"/>
      <c r="N450" s="307"/>
      <c r="O450" s="307"/>
      <c r="P450" s="307"/>
      <c r="Q450" s="307"/>
    </row>
    <row r="451" spans="2:19" ht="12.75" customHeight="1" x14ac:dyDescent="0.2">
      <c r="B451" s="308" t="s">
        <v>279</v>
      </c>
      <c r="C451" s="309"/>
      <c r="D451" s="309"/>
      <c r="E451" s="309"/>
      <c r="F451" s="309"/>
      <c r="G451" s="309"/>
      <c r="H451" s="309"/>
      <c r="I451" s="309"/>
      <c r="J451" s="309"/>
      <c r="K451" s="309"/>
      <c r="L451" s="309"/>
      <c r="M451" s="309"/>
      <c r="N451" s="181"/>
      <c r="O451" s="182"/>
      <c r="P451" s="182"/>
      <c r="Q451" s="310" t="s">
        <v>590</v>
      </c>
      <c r="R451" s="310" t="s">
        <v>693</v>
      </c>
      <c r="S451" s="337" t="s">
        <v>691</v>
      </c>
    </row>
    <row r="452" spans="2:19" ht="12.75" customHeight="1" x14ac:dyDescent="0.2">
      <c r="B452" s="313" t="s">
        <v>111</v>
      </c>
      <c r="C452" s="315" t="s">
        <v>119</v>
      </c>
      <c r="D452" s="315" t="s">
        <v>120</v>
      </c>
      <c r="E452" s="317" t="s">
        <v>124</v>
      </c>
      <c r="F452" s="315" t="s">
        <v>121</v>
      </c>
      <c r="G452" s="315" t="s">
        <v>122</v>
      </c>
      <c r="H452" s="320" t="s">
        <v>123</v>
      </c>
      <c r="I452" s="310" t="s">
        <v>587</v>
      </c>
      <c r="J452" s="310" t="s">
        <v>690</v>
      </c>
      <c r="K452" s="337" t="s">
        <v>691</v>
      </c>
      <c r="L452" s="169"/>
      <c r="M452" s="310" t="s">
        <v>588</v>
      </c>
      <c r="N452" s="311" t="s">
        <v>692</v>
      </c>
      <c r="O452" s="337" t="s">
        <v>691</v>
      </c>
      <c r="P452" s="170"/>
      <c r="Q452" s="311"/>
      <c r="R452" s="311"/>
      <c r="S452" s="338"/>
    </row>
    <row r="453" spans="2:19" x14ac:dyDescent="0.2">
      <c r="B453" s="313"/>
      <c r="C453" s="315"/>
      <c r="D453" s="315"/>
      <c r="E453" s="318"/>
      <c r="F453" s="315"/>
      <c r="G453" s="315"/>
      <c r="H453" s="320"/>
      <c r="I453" s="311"/>
      <c r="J453" s="311"/>
      <c r="K453" s="338"/>
      <c r="L453" s="170"/>
      <c r="M453" s="311"/>
      <c r="N453" s="311"/>
      <c r="O453" s="338"/>
      <c r="P453" s="170"/>
      <c r="Q453" s="311"/>
      <c r="R453" s="311"/>
      <c r="S453" s="338"/>
    </row>
    <row r="454" spans="2:19" x14ac:dyDescent="0.2">
      <c r="B454" s="313"/>
      <c r="C454" s="315"/>
      <c r="D454" s="315"/>
      <c r="E454" s="318"/>
      <c r="F454" s="315"/>
      <c r="G454" s="315"/>
      <c r="H454" s="320"/>
      <c r="I454" s="311"/>
      <c r="J454" s="311"/>
      <c r="K454" s="338"/>
      <c r="L454" s="170"/>
      <c r="M454" s="311"/>
      <c r="N454" s="311"/>
      <c r="O454" s="338"/>
      <c r="P454" s="170"/>
      <c r="Q454" s="311"/>
      <c r="R454" s="311"/>
      <c r="S454" s="338"/>
    </row>
    <row r="455" spans="2:19" ht="13.5" thickBot="1" x14ac:dyDescent="0.25">
      <c r="B455" s="314"/>
      <c r="C455" s="316"/>
      <c r="D455" s="316"/>
      <c r="E455" s="319"/>
      <c r="F455" s="316"/>
      <c r="G455" s="316"/>
      <c r="H455" s="321"/>
      <c r="I455" s="312"/>
      <c r="J455" s="312"/>
      <c r="K455" s="339"/>
      <c r="L455" s="171"/>
      <c r="M455" s="312"/>
      <c r="N455" s="312"/>
      <c r="O455" s="339"/>
      <c r="P455" s="171"/>
      <c r="Q455" s="312"/>
      <c r="R455" s="312"/>
      <c r="S455" s="339"/>
    </row>
    <row r="456" spans="2:19" ht="16.5" thickTop="1" x14ac:dyDescent="0.2">
      <c r="B456" s="66">
        <v>1</v>
      </c>
      <c r="C456" s="322" t="s">
        <v>297</v>
      </c>
      <c r="D456" s="323"/>
      <c r="E456" s="323"/>
      <c r="F456" s="323"/>
      <c r="G456" s="323"/>
      <c r="H456" s="324"/>
      <c r="I456" s="98">
        <f>I457+I475+I500+I508+I511</f>
        <v>1544500</v>
      </c>
      <c r="J456" s="98">
        <f>J457+J475+J500+J508+J511</f>
        <v>714096</v>
      </c>
      <c r="K456" s="225">
        <f t="shared" ref="K456:K519" si="46">J456/I456*100</f>
        <v>46.234768533505985</v>
      </c>
      <c r="L456" s="172"/>
      <c r="M456" s="98">
        <f>M457+M475+M500+M508+M511</f>
        <v>172377</v>
      </c>
      <c r="N456" s="98">
        <f>N457+N475+N500+N508+N511</f>
        <v>39105</v>
      </c>
      <c r="O456" s="225">
        <f t="shared" ref="O456:O511" si="47">N456/M456*100</f>
        <v>22.685741137158669</v>
      </c>
      <c r="P456" s="172"/>
      <c r="Q456" s="37">
        <f t="shared" ref="Q456:Q519" si="48">M456+I456</f>
        <v>1716877</v>
      </c>
      <c r="R456" s="37">
        <f t="shared" ref="R456:R478" si="49">N456+J456</f>
        <v>753201</v>
      </c>
      <c r="S456" s="244">
        <f t="shared" ref="S456:S519" si="50">R456/Q456*100</f>
        <v>43.870411217577029</v>
      </c>
    </row>
    <row r="457" spans="2:19" ht="15" x14ac:dyDescent="0.2">
      <c r="B457" s="67">
        <f t="shared" ref="B457:B520" si="51">B456+1</f>
        <v>2</v>
      </c>
      <c r="C457" s="166">
        <v>1</v>
      </c>
      <c r="D457" s="325" t="s">
        <v>156</v>
      </c>
      <c r="E457" s="326"/>
      <c r="F457" s="326"/>
      <c r="G457" s="326"/>
      <c r="H457" s="327"/>
      <c r="I457" s="38">
        <f>I458+I459+I460+I468+I469+I471</f>
        <v>1009700</v>
      </c>
      <c r="J457" s="38">
        <f>J458+J459+J460+J468+J469+J471</f>
        <v>435623</v>
      </c>
      <c r="K457" s="225">
        <f t="shared" si="46"/>
        <v>43.14380509062098</v>
      </c>
      <c r="L457" s="173"/>
      <c r="M457" s="38">
        <f>M458+M459+M460+M468+M469+M471</f>
        <v>17300</v>
      </c>
      <c r="N457" s="38">
        <f>N458+N459+N460+N468+N469+N471</f>
        <v>17033</v>
      </c>
      <c r="O457" s="225">
        <f t="shared" si="47"/>
        <v>98.456647398843927</v>
      </c>
      <c r="P457" s="173"/>
      <c r="Q457" s="38">
        <f t="shared" si="48"/>
        <v>1027000</v>
      </c>
      <c r="R457" s="38">
        <f t="shared" si="49"/>
        <v>452656</v>
      </c>
      <c r="S457" s="244">
        <f t="shared" si="50"/>
        <v>44.075559883154817</v>
      </c>
    </row>
    <row r="458" spans="2:19" x14ac:dyDescent="0.2">
      <c r="B458" s="67">
        <f t="shared" si="51"/>
        <v>3</v>
      </c>
      <c r="C458" s="11"/>
      <c r="D458" s="11"/>
      <c r="E458" s="11"/>
      <c r="F458" s="45" t="s">
        <v>155</v>
      </c>
      <c r="G458" s="11">
        <v>610</v>
      </c>
      <c r="H458" s="11" t="s">
        <v>135</v>
      </c>
      <c r="I458" s="42">
        <f>582000+29250-6000-3100+15000-5500</f>
        <v>611650</v>
      </c>
      <c r="J458" s="42">
        <v>273946</v>
      </c>
      <c r="K458" s="225">
        <f t="shared" si="46"/>
        <v>44.788032371454264</v>
      </c>
      <c r="L458" s="114"/>
      <c r="M458" s="42"/>
      <c r="N458" s="42"/>
      <c r="O458" s="225"/>
      <c r="P458" s="114"/>
      <c r="Q458" s="42">
        <f t="shared" si="48"/>
        <v>611650</v>
      </c>
      <c r="R458" s="42">
        <f t="shared" si="49"/>
        <v>273946</v>
      </c>
      <c r="S458" s="244">
        <f t="shared" si="50"/>
        <v>44.788032371454264</v>
      </c>
    </row>
    <row r="459" spans="2:19" x14ac:dyDescent="0.2">
      <c r="B459" s="67">
        <f t="shared" si="51"/>
        <v>4</v>
      </c>
      <c r="C459" s="11"/>
      <c r="D459" s="11"/>
      <c r="E459" s="11"/>
      <c r="F459" s="45" t="s">
        <v>155</v>
      </c>
      <c r="G459" s="11">
        <v>620</v>
      </c>
      <c r="H459" s="11" t="s">
        <v>130</v>
      </c>
      <c r="I459" s="42">
        <f>210000+15750+4300</f>
        <v>230050</v>
      </c>
      <c r="J459" s="42">
        <v>98833</v>
      </c>
      <c r="K459" s="225">
        <f t="shared" si="46"/>
        <v>42.961530102151706</v>
      </c>
      <c r="L459" s="114"/>
      <c r="M459" s="42"/>
      <c r="N459" s="42"/>
      <c r="O459" s="225"/>
      <c r="P459" s="114"/>
      <c r="Q459" s="42">
        <f t="shared" si="48"/>
        <v>230050</v>
      </c>
      <c r="R459" s="42">
        <f t="shared" si="49"/>
        <v>98833</v>
      </c>
      <c r="S459" s="244">
        <f t="shared" si="50"/>
        <v>42.961530102151706</v>
      </c>
    </row>
    <row r="460" spans="2:19" x14ac:dyDescent="0.2">
      <c r="B460" s="67">
        <f t="shared" si="51"/>
        <v>5</v>
      </c>
      <c r="C460" s="11"/>
      <c r="D460" s="11"/>
      <c r="E460" s="11"/>
      <c r="F460" s="45" t="s">
        <v>155</v>
      </c>
      <c r="G460" s="11">
        <v>630</v>
      </c>
      <c r="H460" s="11" t="s">
        <v>127</v>
      </c>
      <c r="I460" s="42">
        <f>I467+I466+I465+I464+I463+I462+I461</f>
        <v>161830</v>
      </c>
      <c r="J460" s="42">
        <f>J467+J466+J465+J464+J463+J462+J461</f>
        <v>56531</v>
      </c>
      <c r="K460" s="225">
        <f t="shared" si="46"/>
        <v>34.932336402397581</v>
      </c>
      <c r="L460" s="114"/>
      <c r="M460" s="42">
        <f>M467+M466+M465+M464+M463+M462+M461</f>
        <v>0</v>
      </c>
      <c r="N460" s="42">
        <f>N467+N466+N465+N464+N463+N462+N461</f>
        <v>0</v>
      </c>
      <c r="O460" s="225"/>
      <c r="P460" s="114"/>
      <c r="Q460" s="42">
        <f t="shared" si="48"/>
        <v>161830</v>
      </c>
      <c r="R460" s="42">
        <f t="shared" si="49"/>
        <v>56531</v>
      </c>
      <c r="S460" s="244">
        <f t="shared" si="50"/>
        <v>34.932336402397581</v>
      </c>
    </row>
    <row r="461" spans="2:19" x14ac:dyDescent="0.2">
      <c r="B461" s="67">
        <f t="shared" si="51"/>
        <v>6</v>
      </c>
      <c r="C461" s="2"/>
      <c r="D461" s="2"/>
      <c r="E461" s="2"/>
      <c r="F461" s="46" t="s">
        <v>155</v>
      </c>
      <c r="G461" s="2">
        <v>631</v>
      </c>
      <c r="H461" s="2" t="s">
        <v>133</v>
      </c>
      <c r="I461" s="22">
        <f>2370+6000+2800</f>
        <v>11170</v>
      </c>
      <c r="J461" s="22">
        <v>5020</v>
      </c>
      <c r="K461" s="225">
        <f t="shared" si="46"/>
        <v>44.941808415398384</v>
      </c>
      <c r="L461" s="68"/>
      <c r="M461" s="22"/>
      <c r="N461" s="22"/>
      <c r="O461" s="225"/>
      <c r="P461" s="68"/>
      <c r="Q461" s="22">
        <f t="shared" si="48"/>
        <v>11170</v>
      </c>
      <c r="R461" s="22">
        <f t="shared" si="49"/>
        <v>5020</v>
      </c>
      <c r="S461" s="244">
        <f t="shared" si="50"/>
        <v>44.941808415398384</v>
      </c>
    </row>
    <row r="462" spans="2:19" x14ac:dyDescent="0.2">
      <c r="B462" s="67">
        <f t="shared" si="51"/>
        <v>7</v>
      </c>
      <c r="C462" s="2"/>
      <c r="D462" s="2"/>
      <c r="E462" s="2"/>
      <c r="F462" s="46" t="s">
        <v>155</v>
      </c>
      <c r="G462" s="2">
        <v>632</v>
      </c>
      <c r="H462" s="2" t="s">
        <v>138</v>
      </c>
      <c r="I462" s="22">
        <v>25000</v>
      </c>
      <c r="J462" s="22">
        <v>8707</v>
      </c>
      <c r="K462" s="225">
        <f t="shared" si="46"/>
        <v>34.827999999999996</v>
      </c>
      <c r="L462" s="68"/>
      <c r="M462" s="22"/>
      <c r="N462" s="22"/>
      <c r="O462" s="225"/>
      <c r="P462" s="68"/>
      <c r="Q462" s="22">
        <f t="shared" si="48"/>
        <v>25000</v>
      </c>
      <c r="R462" s="22">
        <f t="shared" si="49"/>
        <v>8707</v>
      </c>
      <c r="S462" s="244">
        <f t="shared" si="50"/>
        <v>34.827999999999996</v>
      </c>
    </row>
    <row r="463" spans="2:19" x14ac:dyDescent="0.2">
      <c r="B463" s="67">
        <f t="shared" si="51"/>
        <v>8</v>
      </c>
      <c r="C463" s="2"/>
      <c r="D463" s="2"/>
      <c r="E463" s="2"/>
      <c r="F463" s="46" t="s">
        <v>155</v>
      </c>
      <c r="G463" s="2">
        <v>633</v>
      </c>
      <c r="H463" s="2" t="s">
        <v>131</v>
      </c>
      <c r="I463" s="22">
        <f>40000-1700+5400</f>
        <v>43700</v>
      </c>
      <c r="J463" s="22">
        <v>7310</v>
      </c>
      <c r="K463" s="225">
        <f t="shared" si="46"/>
        <v>16.727688787185354</v>
      </c>
      <c r="L463" s="68"/>
      <c r="M463" s="22"/>
      <c r="N463" s="22"/>
      <c r="O463" s="225"/>
      <c r="P463" s="68"/>
      <c r="Q463" s="22">
        <f t="shared" si="48"/>
        <v>43700</v>
      </c>
      <c r="R463" s="22">
        <f t="shared" si="49"/>
        <v>7310</v>
      </c>
      <c r="S463" s="244">
        <f t="shared" si="50"/>
        <v>16.727688787185354</v>
      </c>
    </row>
    <row r="464" spans="2:19" x14ac:dyDescent="0.2">
      <c r="B464" s="67">
        <f t="shared" si="51"/>
        <v>9</v>
      </c>
      <c r="C464" s="2"/>
      <c r="D464" s="2"/>
      <c r="E464" s="2"/>
      <c r="F464" s="46" t="s">
        <v>155</v>
      </c>
      <c r="G464" s="2">
        <v>634</v>
      </c>
      <c r="H464" s="2" t="s">
        <v>136</v>
      </c>
      <c r="I464" s="22">
        <v>31980</v>
      </c>
      <c r="J464" s="22">
        <v>12421</v>
      </c>
      <c r="K464" s="225">
        <f t="shared" si="46"/>
        <v>38.839899937460913</v>
      </c>
      <c r="L464" s="68"/>
      <c r="M464" s="22"/>
      <c r="N464" s="22"/>
      <c r="O464" s="225"/>
      <c r="P464" s="68"/>
      <c r="Q464" s="22">
        <f t="shared" si="48"/>
        <v>31980</v>
      </c>
      <c r="R464" s="22">
        <f t="shared" si="49"/>
        <v>12421</v>
      </c>
      <c r="S464" s="244">
        <f t="shared" si="50"/>
        <v>38.839899937460913</v>
      </c>
    </row>
    <row r="465" spans="1:19" x14ac:dyDescent="0.2">
      <c r="B465" s="67">
        <f t="shared" si="51"/>
        <v>10</v>
      </c>
      <c r="C465" s="2"/>
      <c r="D465" s="2"/>
      <c r="E465" s="2"/>
      <c r="F465" s="46" t="s">
        <v>155</v>
      </c>
      <c r="G465" s="2">
        <v>635</v>
      </c>
      <c r="H465" s="2" t="s">
        <v>137</v>
      </c>
      <c r="I465" s="22">
        <v>1800</v>
      </c>
      <c r="J465" s="22">
        <v>655</v>
      </c>
      <c r="K465" s="225">
        <f t="shared" si="46"/>
        <v>36.388888888888886</v>
      </c>
      <c r="L465" s="68"/>
      <c r="M465" s="22"/>
      <c r="N465" s="22"/>
      <c r="O465" s="225"/>
      <c r="P465" s="68"/>
      <c r="Q465" s="22">
        <f t="shared" si="48"/>
        <v>1800</v>
      </c>
      <c r="R465" s="22">
        <f t="shared" si="49"/>
        <v>655</v>
      </c>
      <c r="S465" s="244">
        <f t="shared" si="50"/>
        <v>36.388888888888886</v>
      </c>
    </row>
    <row r="466" spans="1:19" x14ac:dyDescent="0.2">
      <c r="B466" s="67">
        <f t="shared" si="51"/>
        <v>11</v>
      </c>
      <c r="C466" s="2"/>
      <c r="D466" s="2"/>
      <c r="E466" s="2"/>
      <c r="F466" s="46" t="s">
        <v>155</v>
      </c>
      <c r="G466" s="2">
        <v>636</v>
      </c>
      <c r="H466" s="2" t="s">
        <v>132</v>
      </c>
      <c r="I466" s="22">
        <v>800</v>
      </c>
      <c r="J466" s="22">
        <v>0</v>
      </c>
      <c r="K466" s="225">
        <f t="shared" si="46"/>
        <v>0</v>
      </c>
      <c r="L466" s="68"/>
      <c r="M466" s="22"/>
      <c r="N466" s="22"/>
      <c r="O466" s="225"/>
      <c r="P466" s="68"/>
      <c r="Q466" s="22">
        <f t="shared" si="48"/>
        <v>800</v>
      </c>
      <c r="R466" s="22">
        <f t="shared" si="49"/>
        <v>0</v>
      </c>
      <c r="S466" s="244">
        <f t="shared" si="50"/>
        <v>0</v>
      </c>
    </row>
    <row r="467" spans="1:19" x14ac:dyDescent="0.2">
      <c r="B467" s="67">
        <f t="shared" si="51"/>
        <v>12</v>
      </c>
      <c r="C467" s="2"/>
      <c r="D467" s="2"/>
      <c r="E467" s="2"/>
      <c r="F467" s="46" t="s">
        <v>155</v>
      </c>
      <c r="G467" s="2">
        <v>637</v>
      </c>
      <c r="H467" s="2" t="s">
        <v>128</v>
      </c>
      <c r="I467" s="22">
        <f>44880+2500</f>
        <v>47380</v>
      </c>
      <c r="J467" s="22">
        <f>22843-J470</f>
        <v>22418</v>
      </c>
      <c r="K467" s="225">
        <f t="shared" si="46"/>
        <v>47.315322921063739</v>
      </c>
      <c r="L467" s="68"/>
      <c r="M467" s="22"/>
      <c r="N467" s="22"/>
      <c r="O467" s="225"/>
      <c r="P467" s="68"/>
      <c r="Q467" s="22">
        <f t="shared" si="48"/>
        <v>47380</v>
      </c>
      <c r="R467" s="22">
        <f t="shared" si="49"/>
        <v>22418</v>
      </c>
      <c r="S467" s="244">
        <f t="shared" si="50"/>
        <v>47.315322921063739</v>
      </c>
    </row>
    <row r="468" spans="1:19" x14ac:dyDescent="0.2">
      <c r="B468" s="67">
        <f t="shared" si="51"/>
        <v>13</v>
      </c>
      <c r="C468" s="11"/>
      <c r="D468" s="11"/>
      <c r="E468" s="11"/>
      <c r="F468" s="45" t="s">
        <v>155</v>
      </c>
      <c r="G468" s="11">
        <v>640</v>
      </c>
      <c r="H468" s="11" t="s">
        <v>134</v>
      </c>
      <c r="I468" s="42">
        <f>170+5500</f>
        <v>5670</v>
      </c>
      <c r="J468" s="42">
        <v>5888</v>
      </c>
      <c r="K468" s="225">
        <f t="shared" si="46"/>
        <v>103.84479717813051</v>
      </c>
      <c r="L468" s="114"/>
      <c r="M468" s="42"/>
      <c r="N468" s="42"/>
      <c r="O468" s="225"/>
      <c r="P468" s="114"/>
      <c r="Q468" s="42">
        <f t="shared" si="48"/>
        <v>5670</v>
      </c>
      <c r="R468" s="42">
        <f t="shared" si="49"/>
        <v>5888</v>
      </c>
      <c r="S468" s="244">
        <f t="shared" si="50"/>
        <v>103.84479717813051</v>
      </c>
    </row>
    <row r="469" spans="1:19" x14ac:dyDescent="0.2">
      <c r="B469" s="67">
        <f t="shared" si="51"/>
        <v>14</v>
      </c>
      <c r="C469" s="11"/>
      <c r="D469" s="11"/>
      <c r="E469" s="11"/>
      <c r="F469" s="45" t="s">
        <v>163</v>
      </c>
      <c r="G469" s="11">
        <v>630</v>
      </c>
      <c r="H469" s="11" t="s">
        <v>127</v>
      </c>
      <c r="I469" s="42">
        <f>I470</f>
        <v>500</v>
      </c>
      <c r="J469" s="42">
        <f>J470</f>
        <v>425</v>
      </c>
      <c r="K469" s="225">
        <f t="shared" si="46"/>
        <v>85</v>
      </c>
      <c r="L469" s="114"/>
      <c r="M469" s="42">
        <f>M470</f>
        <v>0</v>
      </c>
      <c r="N469" s="42">
        <f>N470</f>
        <v>0</v>
      </c>
      <c r="O469" s="225"/>
      <c r="P469" s="114"/>
      <c r="Q469" s="42">
        <f t="shared" si="48"/>
        <v>500</v>
      </c>
      <c r="R469" s="42">
        <f t="shared" si="49"/>
        <v>425</v>
      </c>
      <c r="S469" s="244">
        <f t="shared" si="50"/>
        <v>85</v>
      </c>
    </row>
    <row r="470" spans="1:19" x14ac:dyDescent="0.2">
      <c r="B470" s="67">
        <f t="shared" si="51"/>
        <v>15</v>
      </c>
      <c r="C470" s="2"/>
      <c r="D470" s="2"/>
      <c r="E470" s="2"/>
      <c r="F470" s="46" t="s">
        <v>163</v>
      </c>
      <c r="G470" s="2">
        <v>637</v>
      </c>
      <c r="H470" s="2" t="s">
        <v>128</v>
      </c>
      <c r="I470" s="22">
        <v>500</v>
      </c>
      <c r="J470" s="22">
        <v>425</v>
      </c>
      <c r="K470" s="225">
        <f t="shared" si="46"/>
        <v>85</v>
      </c>
      <c r="L470" s="68"/>
      <c r="M470" s="22"/>
      <c r="N470" s="22"/>
      <c r="O470" s="225"/>
      <c r="P470" s="68"/>
      <c r="Q470" s="22">
        <f t="shared" si="48"/>
        <v>500</v>
      </c>
      <c r="R470" s="22">
        <f t="shared" si="49"/>
        <v>425</v>
      </c>
      <c r="S470" s="244">
        <f t="shared" si="50"/>
        <v>85</v>
      </c>
    </row>
    <row r="471" spans="1:19" x14ac:dyDescent="0.2">
      <c r="B471" s="67">
        <f t="shared" si="51"/>
        <v>16</v>
      </c>
      <c r="C471" s="11"/>
      <c r="D471" s="11"/>
      <c r="E471" s="11"/>
      <c r="F471" s="45" t="s">
        <v>155</v>
      </c>
      <c r="G471" s="11">
        <v>710</v>
      </c>
      <c r="H471" s="11" t="s">
        <v>183</v>
      </c>
      <c r="I471" s="42">
        <f>I474+I472</f>
        <v>0</v>
      </c>
      <c r="J471" s="42">
        <f>J474+J472</f>
        <v>0</v>
      </c>
      <c r="K471" s="225"/>
      <c r="L471" s="114"/>
      <c r="M471" s="42">
        <f>M474+M472</f>
        <v>17300</v>
      </c>
      <c r="N471" s="42">
        <f>N474+N472</f>
        <v>17033</v>
      </c>
      <c r="O471" s="225">
        <f t="shared" si="47"/>
        <v>98.456647398843927</v>
      </c>
      <c r="P471" s="114"/>
      <c r="Q471" s="42">
        <f t="shared" si="48"/>
        <v>17300</v>
      </c>
      <c r="R471" s="42">
        <f t="shared" si="49"/>
        <v>17033</v>
      </c>
      <c r="S471" s="244">
        <f t="shared" si="50"/>
        <v>98.456647398843927</v>
      </c>
    </row>
    <row r="472" spans="1:19" x14ac:dyDescent="0.2">
      <c r="B472" s="67">
        <f t="shared" si="51"/>
        <v>17</v>
      </c>
      <c r="C472" s="2"/>
      <c r="D472" s="2"/>
      <c r="E472" s="2"/>
      <c r="F472" s="77" t="s">
        <v>155</v>
      </c>
      <c r="G472" s="78">
        <v>713</v>
      </c>
      <c r="H472" s="78" t="s">
        <v>4</v>
      </c>
      <c r="I472" s="79"/>
      <c r="J472" s="79"/>
      <c r="K472" s="225"/>
      <c r="L472" s="68"/>
      <c r="M472" s="79">
        <f>M473</f>
        <v>4800</v>
      </c>
      <c r="N472" s="79">
        <f>N473</f>
        <v>4533</v>
      </c>
      <c r="O472" s="225">
        <f t="shared" si="47"/>
        <v>94.4375</v>
      </c>
      <c r="P472" s="68"/>
      <c r="Q472" s="79">
        <f t="shared" si="48"/>
        <v>4800</v>
      </c>
      <c r="R472" s="79">
        <f t="shared" si="49"/>
        <v>4533</v>
      </c>
      <c r="S472" s="244">
        <f t="shared" si="50"/>
        <v>94.4375</v>
      </c>
    </row>
    <row r="473" spans="1:19" x14ac:dyDescent="0.2">
      <c r="B473" s="67">
        <f t="shared" si="51"/>
        <v>18</v>
      </c>
      <c r="C473" s="2"/>
      <c r="D473" s="2"/>
      <c r="E473" s="2"/>
      <c r="F473" s="46"/>
      <c r="G473" s="2"/>
      <c r="H473" s="2" t="s">
        <v>371</v>
      </c>
      <c r="I473" s="22"/>
      <c r="J473" s="22"/>
      <c r="K473" s="225"/>
      <c r="L473" s="68"/>
      <c r="M473" s="22">
        <f>1700+3100</f>
        <v>4800</v>
      </c>
      <c r="N473" s="22">
        <v>4533</v>
      </c>
      <c r="O473" s="225">
        <f t="shared" si="47"/>
        <v>94.4375</v>
      </c>
      <c r="P473" s="68"/>
      <c r="Q473" s="22">
        <f t="shared" si="48"/>
        <v>4800</v>
      </c>
      <c r="R473" s="22">
        <f t="shared" si="49"/>
        <v>4533</v>
      </c>
      <c r="S473" s="244">
        <f t="shared" si="50"/>
        <v>94.4375</v>
      </c>
    </row>
    <row r="474" spans="1:19" x14ac:dyDescent="0.2">
      <c r="B474" s="67">
        <f t="shared" si="51"/>
        <v>19</v>
      </c>
      <c r="C474" s="2"/>
      <c r="D474" s="2"/>
      <c r="E474" s="2"/>
      <c r="F474" s="77" t="s">
        <v>155</v>
      </c>
      <c r="G474" s="78">
        <v>714</v>
      </c>
      <c r="H474" s="78" t="s">
        <v>184</v>
      </c>
      <c r="I474" s="79"/>
      <c r="J474" s="79"/>
      <c r="K474" s="225"/>
      <c r="L474" s="68"/>
      <c r="M474" s="79">
        <v>12500</v>
      </c>
      <c r="N474" s="79">
        <v>12500</v>
      </c>
      <c r="O474" s="225">
        <f t="shared" si="47"/>
        <v>100</v>
      </c>
      <c r="P474" s="68"/>
      <c r="Q474" s="79">
        <f t="shared" si="48"/>
        <v>12500</v>
      </c>
      <c r="R474" s="79">
        <f t="shared" si="49"/>
        <v>12500</v>
      </c>
      <c r="S474" s="244">
        <f t="shared" si="50"/>
        <v>100</v>
      </c>
    </row>
    <row r="475" spans="1:19" ht="15" x14ac:dyDescent="0.2">
      <c r="B475" s="67">
        <f t="shared" si="51"/>
        <v>20</v>
      </c>
      <c r="C475" s="166">
        <v>2</v>
      </c>
      <c r="D475" s="325" t="s">
        <v>218</v>
      </c>
      <c r="E475" s="326"/>
      <c r="F475" s="326"/>
      <c r="G475" s="326"/>
      <c r="H475" s="327"/>
      <c r="I475" s="38">
        <f>I476+I478+I488</f>
        <v>497200</v>
      </c>
      <c r="J475" s="38">
        <f>J476+J478+J488</f>
        <v>260146</v>
      </c>
      <c r="K475" s="225">
        <f t="shared" si="46"/>
        <v>52.322204344328242</v>
      </c>
      <c r="L475" s="173"/>
      <c r="M475" s="38">
        <f>M476+M478+M488</f>
        <v>137000</v>
      </c>
      <c r="N475" s="38">
        <f>N476+N478+N488</f>
        <v>5995</v>
      </c>
      <c r="O475" s="225">
        <f t="shared" si="47"/>
        <v>4.3759124087591239</v>
      </c>
      <c r="P475" s="173"/>
      <c r="Q475" s="38">
        <f t="shared" si="48"/>
        <v>634200</v>
      </c>
      <c r="R475" s="38">
        <f t="shared" si="49"/>
        <v>266141</v>
      </c>
      <c r="S475" s="244">
        <f t="shared" si="50"/>
        <v>41.964837590665404</v>
      </c>
    </row>
    <row r="476" spans="1:19" x14ac:dyDescent="0.2">
      <c r="B476" s="67">
        <f t="shared" si="51"/>
        <v>21</v>
      </c>
      <c r="C476" s="11"/>
      <c r="D476" s="11"/>
      <c r="E476" s="11"/>
      <c r="F476" s="45" t="s">
        <v>217</v>
      </c>
      <c r="G476" s="11">
        <v>630</v>
      </c>
      <c r="H476" s="11" t="s">
        <v>127</v>
      </c>
      <c r="I476" s="42">
        <f>I477</f>
        <v>400000</v>
      </c>
      <c r="J476" s="42">
        <f>J477</f>
        <v>223189</v>
      </c>
      <c r="K476" s="225">
        <f t="shared" si="46"/>
        <v>55.797249999999998</v>
      </c>
      <c r="L476" s="114"/>
      <c r="M476" s="42">
        <v>0</v>
      </c>
      <c r="N476" s="42"/>
      <c r="O476" s="225"/>
      <c r="P476" s="114"/>
      <c r="Q476" s="42">
        <f t="shared" si="48"/>
        <v>400000</v>
      </c>
      <c r="R476" s="42">
        <f t="shared" si="49"/>
        <v>223189</v>
      </c>
      <c r="S476" s="244">
        <f t="shared" si="50"/>
        <v>55.797249999999998</v>
      </c>
    </row>
    <row r="477" spans="1:19" s="63" customFormat="1" x14ac:dyDescent="0.2">
      <c r="A477" s="59"/>
      <c r="B477" s="67">
        <f t="shared" si="51"/>
        <v>22</v>
      </c>
      <c r="C477" s="2"/>
      <c r="D477" s="2"/>
      <c r="E477" s="2"/>
      <c r="F477" s="46" t="s">
        <v>217</v>
      </c>
      <c r="G477" s="2">
        <v>632</v>
      </c>
      <c r="H477" s="2" t="s">
        <v>138</v>
      </c>
      <c r="I477" s="22">
        <v>400000</v>
      </c>
      <c r="J477" s="22">
        <v>223189</v>
      </c>
      <c r="K477" s="225">
        <f t="shared" si="46"/>
        <v>55.797249999999998</v>
      </c>
      <c r="L477" s="68"/>
      <c r="M477" s="22"/>
      <c r="N477" s="22"/>
      <c r="O477" s="225"/>
      <c r="P477" s="68"/>
      <c r="Q477" s="22">
        <f t="shared" si="48"/>
        <v>400000</v>
      </c>
      <c r="R477" s="22">
        <f t="shared" si="49"/>
        <v>223189</v>
      </c>
      <c r="S477" s="244">
        <f t="shared" si="50"/>
        <v>55.797249999999998</v>
      </c>
    </row>
    <row r="478" spans="1:19" s="63" customFormat="1" x14ac:dyDescent="0.2">
      <c r="A478" s="59"/>
      <c r="B478" s="67">
        <f t="shared" si="51"/>
        <v>23</v>
      </c>
      <c r="C478" s="11"/>
      <c r="D478" s="11"/>
      <c r="E478" s="11"/>
      <c r="F478" s="45" t="s">
        <v>217</v>
      </c>
      <c r="G478" s="11">
        <v>710</v>
      </c>
      <c r="H478" s="11" t="s">
        <v>183</v>
      </c>
      <c r="I478" s="42">
        <f>I481</f>
        <v>0</v>
      </c>
      <c r="J478" s="42">
        <f>J481</f>
        <v>0</v>
      </c>
      <c r="K478" s="225"/>
      <c r="L478" s="114"/>
      <c r="M478" s="42">
        <f>M481+M479</f>
        <v>131000</v>
      </c>
      <c r="N478" s="42">
        <f>N481+N479</f>
        <v>0</v>
      </c>
      <c r="O478" s="225">
        <f t="shared" si="47"/>
        <v>0</v>
      </c>
      <c r="P478" s="114"/>
      <c r="Q478" s="42">
        <f t="shared" si="48"/>
        <v>131000</v>
      </c>
      <c r="R478" s="42">
        <f t="shared" si="49"/>
        <v>0</v>
      </c>
      <c r="S478" s="244">
        <f t="shared" si="50"/>
        <v>0</v>
      </c>
    </row>
    <row r="479" spans="1:19" s="63" customFormat="1" x14ac:dyDescent="0.2">
      <c r="A479" s="59"/>
      <c r="B479" s="67">
        <f t="shared" si="51"/>
        <v>24</v>
      </c>
      <c r="C479" s="11"/>
      <c r="D479" s="11"/>
      <c r="E479" s="11"/>
      <c r="F479" s="77" t="s">
        <v>217</v>
      </c>
      <c r="G479" s="78">
        <v>716</v>
      </c>
      <c r="H479" s="78" t="s">
        <v>0</v>
      </c>
      <c r="I479" s="79"/>
      <c r="J479" s="79"/>
      <c r="K479" s="225"/>
      <c r="L479" s="68"/>
      <c r="M479" s="79">
        <f>M480</f>
        <v>2000</v>
      </c>
      <c r="N479" s="79">
        <f>N480</f>
        <v>0</v>
      </c>
      <c r="O479" s="225">
        <f t="shared" si="47"/>
        <v>0</v>
      </c>
      <c r="P479" s="68"/>
      <c r="Q479" s="79">
        <f t="shared" ref="Q479:Q480" si="52">I479+M479</f>
        <v>2000</v>
      </c>
      <c r="R479" s="79">
        <f t="shared" ref="R479:R480" si="53">J479+N479</f>
        <v>0</v>
      </c>
      <c r="S479" s="244">
        <f t="shared" si="50"/>
        <v>0</v>
      </c>
    </row>
    <row r="480" spans="1:19" s="63" customFormat="1" x14ac:dyDescent="0.2">
      <c r="A480" s="59"/>
      <c r="B480" s="67">
        <f t="shared" si="51"/>
        <v>25</v>
      </c>
      <c r="C480" s="11"/>
      <c r="D480" s="11"/>
      <c r="E480" s="11"/>
      <c r="F480" s="46"/>
      <c r="G480" s="2"/>
      <c r="H480" s="2" t="s">
        <v>656</v>
      </c>
      <c r="I480" s="22"/>
      <c r="J480" s="22"/>
      <c r="K480" s="225"/>
      <c r="L480" s="68"/>
      <c r="M480" s="22">
        <v>2000</v>
      </c>
      <c r="N480" s="22">
        <v>0</v>
      </c>
      <c r="O480" s="225">
        <f t="shared" si="47"/>
        <v>0</v>
      </c>
      <c r="P480" s="68"/>
      <c r="Q480" s="22">
        <f t="shared" si="52"/>
        <v>2000</v>
      </c>
      <c r="R480" s="22">
        <f t="shared" si="53"/>
        <v>0</v>
      </c>
      <c r="S480" s="244">
        <f t="shared" si="50"/>
        <v>0</v>
      </c>
    </row>
    <row r="481" spans="1:19" s="63" customFormat="1" x14ac:dyDescent="0.2">
      <c r="A481" s="59"/>
      <c r="B481" s="67">
        <f t="shared" si="51"/>
        <v>26</v>
      </c>
      <c r="C481" s="2"/>
      <c r="D481" s="2"/>
      <c r="E481" s="2"/>
      <c r="F481" s="77" t="s">
        <v>217</v>
      </c>
      <c r="G481" s="78">
        <v>717</v>
      </c>
      <c r="H481" s="78" t="s">
        <v>193</v>
      </c>
      <c r="I481" s="79"/>
      <c r="J481" s="79"/>
      <c r="K481" s="225"/>
      <c r="L481" s="68"/>
      <c r="M481" s="79">
        <f>SUM(M482:M487)</f>
        <v>129000</v>
      </c>
      <c r="N481" s="79">
        <f>SUM(N482:N487)</f>
        <v>0</v>
      </c>
      <c r="O481" s="225">
        <f t="shared" si="47"/>
        <v>0</v>
      </c>
      <c r="P481" s="68"/>
      <c r="Q481" s="79">
        <f t="shared" si="48"/>
        <v>129000</v>
      </c>
      <c r="R481" s="79">
        <f t="shared" ref="R481:R523" si="54">N481+J481</f>
        <v>0</v>
      </c>
      <c r="S481" s="244">
        <f t="shared" si="50"/>
        <v>0</v>
      </c>
    </row>
    <row r="482" spans="1:19" s="63" customFormat="1" x14ac:dyDescent="0.2">
      <c r="A482" s="59"/>
      <c r="B482" s="67">
        <f t="shared" si="51"/>
        <v>27</v>
      </c>
      <c r="C482" s="2"/>
      <c r="D482" s="2"/>
      <c r="E482" s="2"/>
      <c r="F482" s="46"/>
      <c r="G482" s="2"/>
      <c r="H482" s="2" t="s">
        <v>480</v>
      </c>
      <c r="I482" s="22"/>
      <c r="J482" s="22"/>
      <c r="K482" s="225"/>
      <c r="L482" s="68"/>
      <c r="M482" s="22">
        <v>19500</v>
      </c>
      <c r="N482" s="22">
        <v>0</v>
      </c>
      <c r="O482" s="225">
        <f t="shared" si="47"/>
        <v>0</v>
      </c>
      <c r="P482" s="68"/>
      <c r="Q482" s="22">
        <f t="shared" si="48"/>
        <v>19500</v>
      </c>
      <c r="R482" s="22">
        <f t="shared" si="54"/>
        <v>0</v>
      </c>
      <c r="S482" s="244">
        <f t="shared" si="50"/>
        <v>0</v>
      </c>
    </row>
    <row r="483" spans="1:19" x14ac:dyDescent="0.2">
      <c r="B483" s="67">
        <f t="shared" si="51"/>
        <v>28</v>
      </c>
      <c r="C483" s="2"/>
      <c r="D483" s="2"/>
      <c r="E483" s="2"/>
      <c r="F483" s="46"/>
      <c r="G483" s="2"/>
      <c r="H483" s="2" t="s">
        <v>481</v>
      </c>
      <c r="I483" s="22"/>
      <c r="J483" s="22"/>
      <c r="K483" s="225"/>
      <c r="L483" s="68"/>
      <c r="M483" s="22">
        <v>20000</v>
      </c>
      <c r="N483" s="22">
        <v>0</v>
      </c>
      <c r="O483" s="225">
        <f t="shared" si="47"/>
        <v>0</v>
      </c>
      <c r="P483" s="68"/>
      <c r="Q483" s="22">
        <f t="shared" si="48"/>
        <v>20000</v>
      </c>
      <c r="R483" s="22">
        <f t="shared" si="54"/>
        <v>0</v>
      </c>
      <c r="S483" s="244">
        <f t="shared" si="50"/>
        <v>0</v>
      </c>
    </row>
    <row r="484" spans="1:19" x14ac:dyDescent="0.2">
      <c r="B484" s="67">
        <f t="shared" si="51"/>
        <v>29</v>
      </c>
      <c r="C484" s="2"/>
      <c r="D484" s="2"/>
      <c r="E484" s="2"/>
      <c r="F484" s="46"/>
      <c r="G484" s="2"/>
      <c r="H484" s="2" t="s">
        <v>598</v>
      </c>
      <c r="I484" s="22"/>
      <c r="J484" s="22"/>
      <c r="K484" s="225"/>
      <c r="L484" s="68"/>
      <c r="M484" s="22">
        <f>70000-2000</f>
        <v>68000</v>
      </c>
      <c r="N484" s="22">
        <v>0</v>
      </c>
      <c r="O484" s="225">
        <f t="shared" si="47"/>
        <v>0</v>
      </c>
      <c r="P484" s="68"/>
      <c r="Q484" s="22">
        <f t="shared" si="48"/>
        <v>68000</v>
      </c>
      <c r="R484" s="22">
        <f t="shared" si="54"/>
        <v>0</v>
      </c>
      <c r="S484" s="244">
        <f t="shared" si="50"/>
        <v>0</v>
      </c>
    </row>
    <row r="485" spans="1:19" x14ac:dyDescent="0.2">
      <c r="B485" s="67">
        <f t="shared" si="51"/>
        <v>30</v>
      </c>
      <c r="C485" s="2"/>
      <c r="D485" s="2"/>
      <c r="E485" s="2"/>
      <c r="F485" s="46"/>
      <c r="G485" s="2"/>
      <c r="H485" s="116" t="s">
        <v>529</v>
      </c>
      <c r="I485" s="115"/>
      <c r="J485" s="115"/>
      <c r="K485" s="225"/>
      <c r="L485" s="68"/>
      <c r="M485" s="115">
        <f>7500+2500</f>
        <v>10000</v>
      </c>
      <c r="N485" s="115">
        <v>0</v>
      </c>
      <c r="O485" s="225">
        <f t="shared" si="47"/>
        <v>0</v>
      </c>
      <c r="P485" s="68"/>
      <c r="Q485" s="115">
        <f t="shared" si="48"/>
        <v>10000</v>
      </c>
      <c r="R485" s="115">
        <f t="shared" si="54"/>
        <v>0</v>
      </c>
      <c r="S485" s="244">
        <f t="shared" si="50"/>
        <v>0</v>
      </c>
    </row>
    <row r="486" spans="1:19" ht="24" x14ac:dyDescent="0.2">
      <c r="B486" s="66">
        <f t="shared" si="51"/>
        <v>31</v>
      </c>
      <c r="C486" s="71"/>
      <c r="D486" s="71"/>
      <c r="E486" s="71"/>
      <c r="F486" s="72"/>
      <c r="G486" s="71"/>
      <c r="H486" s="121" t="s">
        <v>530</v>
      </c>
      <c r="I486" s="118"/>
      <c r="J486" s="118"/>
      <c r="K486" s="225"/>
      <c r="L486" s="149"/>
      <c r="M486" s="118">
        <v>5000</v>
      </c>
      <c r="N486" s="118">
        <v>0</v>
      </c>
      <c r="O486" s="225">
        <f t="shared" si="47"/>
        <v>0</v>
      </c>
      <c r="P486" s="149"/>
      <c r="Q486" s="118">
        <f t="shared" si="48"/>
        <v>5000</v>
      </c>
      <c r="R486" s="118">
        <f t="shared" si="54"/>
        <v>0</v>
      </c>
      <c r="S486" s="244">
        <f t="shared" si="50"/>
        <v>0</v>
      </c>
    </row>
    <row r="487" spans="1:19" x14ac:dyDescent="0.2">
      <c r="B487" s="67">
        <f t="shared" si="51"/>
        <v>32</v>
      </c>
      <c r="C487" s="2"/>
      <c r="D487" s="2"/>
      <c r="E487" s="2"/>
      <c r="F487" s="46"/>
      <c r="G487" s="2"/>
      <c r="H487" s="116" t="s">
        <v>531</v>
      </c>
      <c r="I487" s="115"/>
      <c r="J487" s="115"/>
      <c r="K487" s="225"/>
      <c r="L487" s="68"/>
      <c r="M487" s="115">
        <f>5000+1500</f>
        <v>6500</v>
      </c>
      <c r="N487" s="115">
        <v>0</v>
      </c>
      <c r="O487" s="225">
        <f t="shared" si="47"/>
        <v>0</v>
      </c>
      <c r="P487" s="68"/>
      <c r="Q487" s="115">
        <f t="shared" si="48"/>
        <v>6500</v>
      </c>
      <c r="R487" s="115">
        <f t="shared" si="54"/>
        <v>0</v>
      </c>
      <c r="S487" s="244">
        <f t="shared" si="50"/>
        <v>0</v>
      </c>
    </row>
    <row r="488" spans="1:19" ht="15" x14ac:dyDescent="0.25">
      <c r="B488" s="67">
        <f t="shared" si="51"/>
        <v>33</v>
      </c>
      <c r="C488" s="14"/>
      <c r="D488" s="14"/>
      <c r="E488" s="14">
        <v>2</v>
      </c>
      <c r="F488" s="43"/>
      <c r="G488" s="14"/>
      <c r="H488" s="14" t="s">
        <v>255</v>
      </c>
      <c r="I488" s="40">
        <f>I489+I490+I491+I497+I496</f>
        <v>97200</v>
      </c>
      <c r="J488" s="40">
        <f>J489+J490+J491+J497+J496</f>
        <v>36957</v>
      </c>
      <c r="K488" s="225">
        <f t="shared" si="46"/>
        <v>38.021604938271601</v>
      </c>
      <c r="L488" s="175"/>
      <c r="M488" s="40">
        <f>M489+M490+M491+M497</f>
        <v>6000</v>
      </c>
      <c r="N488" s="40">
        <f>N489+N490+N491+N497</f>
        <v>5995</v>
      </c>
      <c r="O488" s="225">
        <f t="shared" si="47"/>
        <v>99.916666666666671</v>
      </c>
      <c r="P488" s="175"/>
      <c r="Q488" s="40">
        <f t="shared" si="48"/>
        <v>103200</v>
      </c>
      <c r="R488" s="40">
        <f t="shared" si="54"/>
        <v>42952</v>
      </c>
      <c r="S488" s="244">
        <f t="shared" si="50"/>
        <v>41.620155038759691</v>
      </c>
    </row>
    <row r="489" spans="1:19" x14ac:dyDescent="0.2">
      <c r="B489" s="67">
        <f t="shared" si="51"/>
        <v>34</v>
      </c>
      <c r="C489" s="11"/>
      <c r="D489" s="11"/>
      <c r="E489" s="11"/>
      <c r="F489" s="45" t="s">
        <v>217</v>
      </c>
      <c r="G489" s="11">
        <v>610</v>
      </c>
      <c r="H489" s="11" t="s">
        <v>135</v>
      </c>
      <c r="I489" s="42">
        <v>29300</v>
      </c>
      <c r="J489" s="42">
        <v>12667</v>
      </c>
      <c r="K489" s="225">
        <f t="shared" si="46"/>
        <v>43.232081911262796</v>
      </c>
      <c r="L489" s="114"/>
      <c r="M489" s="42"/>
      <c r="N489" s="42"/>
      <c r="O489" s="225"/>
      <c r="P489" s="114"/>
      <c r="Q489" s="42">
        <f t="shared" si="48"/>
        <v>29300</v>
      </c>
      <c r="R489" s="42">
        <f t="shared" si="54"/>
        <v>12667</v>
      </c>
      <c r="S489" s="244">
        <f t="shared" si="50"/>
        <v>43.232081911262796</v>
      </c>
    </row>
    <row r="490" spans="1:19" x14ac:dyDescent="0.2">
      <c r="B490" s="67">
        <f t="shared" si="51"/>
        <v>35</v>
      </c>
      <c r="C490" s="11"/>
      <c r="D490" s="11"/>
      <c r="E490" s="11"/>
      <c r="F490" s="45" t="s">
        <v>217</v>
      </c>
      <c r="G490" s="11">
        <v>620</v>
      </c>
      <c r="H490" s="11" t="s">
        <v>130</v>
      </c>
      <c r="I490" s="42">
        <v>15300</v>
      </c>
      <c r="J490" s="42">
        <v>5467</v>
      </c>
      <c r="K490" s="225">
        <f t="shared" si="46"/>
        <v>35.732026143790854</v>
      </c>
      <c r="L490" s="114"/>
      <c r="M490" s="42"/>
      <c r="N490" s="42"/>
      <c r="O490" s="225"/>
      <c r="P490" s="114"/>
      <c r="Q490" s="42">
        <f t="shared" si="48"/>
        <v>15300</v>
      </c>
      <c r="R490" s="42">
        <f t="shared" si="54"/>
        <v>5467</v>
      </c>
      <c r="S490" s="244">
        <f t="shared" si="50"/>
        <v>35.732026143790854</v>
      </c>
    </row>
    <row r="491" spans="1:19" x14ac:dyDescent="0.2">
      <c r="B491" s="67">
        <f t="shared" si="51"/>
        <v>36</v>
      </c>
      <c r="C491" s="11"/>
      <c r="D491" s="11"/>
      <c r="E491" s="11"/>
      <c r="F491" s="45" t="s">
        <v>217</v>
      </c>
      <c r="G491" s="11">
        <v>630</v>
      </c>
      <c r="H491" s="11" t="s">
        <v>127</v>
      </c>
      <c r="I491" s="42">
        <f>I495+I494+I493+I492</f>
        <v>52500</v>
      </c>
      <c r="J491" s="42">
        <f>J495+J494+J493+J492</f>
        <v>18823</v>
      </c>
      <c r="K491" s="225">
        <f t="shared" si="46"/>
        <v>35.853333333333332</v>
      </c>
      <c r="L491" s="114"/>
      <c r="M491" s="42">
        <f>M495+M494+M493+M492</f>
        <v>0</v>
      </c>
      <c r="N491" s="42">
        <f>N495+N494+N493+N492</f>
        <v>0</v>
      </c>
      <c r="O491" s="225"/>
      <c r="P491" s="114"/>
      <c r="Q491" s="42">
        <f t="shared" si="48"/>
        <v>52500</v>
      </c>
      <c r="R491" s="42">
        <f t="shared" si="54"/>
        <v>18823</v>
      </c>
      <c r="S491" s="244">
        <f t="shared" si="50"/>
        <v>35.853333333333332</v>
      </c>
    </row>
    <row r="492" spans="1:19" x14ac:dyDescent="0.2">
      <c r="B492" s="67">
        <f t="shared" si="51"/>
        <v>37</v>
      </c>
      <c r="C492" s="2"/>
      <c r="D492" s="2"/>
      <c r="E492" s="2"/>
      <c r="F492" s="46" t="s">
        <v>217</v>
      </c>
      <c r="G492" s="2">
        <v>633</v>
      </c>
      <c r="H492" s="2" t="s">
        <v>131</v>
      </c>
      <c r="I492" s="22">
        <v>14400</v>
      </c>
      <c r="J492" s="22">
        <v>7746</v>
      </c>
      <c r="K492" s="225">
        <f t="shared" si="46"/>
        <v>53.791666666666671</v>
      </c>
      <c r="L492" s="68"/>
      <c r="M492" s="22"/>
      <c r="N492" s="22"/>
      <c r="O492" s="225"/>
      <c r="P492" s="68"/>
      <c r="Q492" s="22">
        <f t="shared" si="48"/>
        <v>14400</v>
      </c>
      <c r="R492" s="22">
        <f t="shared" si="54"/>
        <v>7746</v>
      </c>
      <c r="S492" s="244">
        <f t="shared" si="50"/>
        <v>53.791666666666671</v>
      </c>
    </row>
    <row r="493" spans="1:19" x14ac:dyDescent="0.2">
      <c r="B493" s="67">
        <f t="shared" si="51"/>
        <v>38</v>
      </c>
      <c r="C493" s="2"/>
      <c r="D493" s="2"/>
      <c r="E493" s="2"/>
      <c r="F493" s="46" t="s">
        <v>217</v>
      </c>
      <c r="G493" s="2">
        <v>634</v>
      </c>
      <c r="H493" s="2" t="s">
        <v>136</v>
      </c>
      <c r="I493" s="22">
        <v>6100</v>
      </c>
      <c r="J493" s="22">
        <v>1988</v>
      </c>
      <c r="K493" s="225">
        <f t="shared" si="46"/>
        <v>32.590163934426229</v>
      </c>
      <c r="L493" s="68"/>
      <c r="M493" s="22"/>
      <c r="N493" s="22"/>
      <c r="O493" s="225"/>
      <c r="P493" s="68"/>
      <c r="Q493" s="22">
        <f t="shared" si="48"/>
        <v>6100</v>
      </c>
      <c r="R493" s="22">
        <f t="shared" si="54"/>
        <v>1988</v>
      </c>
      <c r="S493" s="244">
        <f t="shared" si="50"/>
        <v>32.590163934426229</v>
      </c>
    </row>
    <row r="494" spans="1:19" x14ac:dyDescent="0.2">
      <c r="B494" s="67">
        <f t="shared" si="51"/>
        <v>39</v>
      </c>
      <c r="C494" s="2"/>
      <c r="D494" s="2"/>
      <c r="E494" s="2"/>
      <c r="F494" s="46" t="s">
        <v>217</v>
      </c>
      <c r="G494" s="2">
        <v>635</v>
      </c>
      <c r="H494" s="2" t="s">
        <v>137</v>
      </c>
      <c r="I494" s="22">
        <v>9000</v>
      </c>
      <c r="J494" s="22">
        <v>2768</v>
      </c>
      <c r="K494" s="225">
        <f t="shared" si="46"/>
        <v>30.75555555555556</v>
      </c>
      <c r="L494" s="68"/>
      <c r="M494" s="22"/>
      <c r="N494" s="22"/>
      <c r="O494" s="225"/>
      <c r="P494" s="68"/>
      <c r="Q494" s="22">
        <f t="shared" si="48"/>
        <v>9000</v>
      </c>
      <c r="R494" s="22">
        <f t="shared" si="54"/>
        <v>2768</v>
      </c>
      <c r="S494" s="244">
        <f t="shared" si="50"/>
        <v>30.75555555555556</v>
      </c>
    </row>
    <row r="495" spans="1:19" x14ac:dyDescent="0.2">
      <c r="B495" s="67">
        <f t="shared" si="51"/>
        <v>40</v>
      </c>
      <c r="C495" s="2"/>
      <c r="D495" s="2"/>
      <c r="E495" s="2"/>
      <c r="F495" s="46" t="s">
        <v>217</v>
      </c>
      <c r="G495" s="2">
        <v>637</v>
      </c>
      <c r="H495" s="2" t="s">
        <v>128</v>
      </c>
      <c r="I495" s="22">
        <f>25600-2500-100</f>
        <v>23000</v>
      </c>
      <c r="J495" s="22">
        <v>6321</v>
      </c>
      <c r="K495" s="225">
        <f t="shared" si="46"/>
        <v>27.482608695652171</v>
      </c>
      <c r="L495" s="68"/>
      <c r="M495" s="22"/>
      <c r="N495" s="22"/>
      <c r="O495" s="225"/>
      <c r="P495" s="68"/>
      <c r="Q495" s="22">
        <f t="shared" si="48"/>
        <v>23000</v>
      </c>
      <c r="R495" s="22">
        <f t="shared" si="54"/>
        <v>6321</v>
      </c>
      <c r="S495" s="244">
        <f t="shared" si="50"/>
        <v>27.482608695652171</v>
      </c>
    </row>
    <row r="496" spans="1:19" x14ac:dyDescent="0.2">
      <c r="B496" s="67">
        <f t="shared" si="51"/>
        <v>41</v>
      </c>
      <c r="C496" s="2"/>
      <c r="D496" s="2"/>
      <c r="E496" s="2"/>
      <c r="F496" s="94" t="s">
        <v>217</v>
      </c>
      <c r="G496" s="1">
        <v>640</v>
      </c>
      <c r="H496" s="1" t="s">
        <v>134</v>
      </c>
      <c r="I496" s="21">
        <v>100</v>
      </c>
      <c r="J496" s="21">
        <v>0</v>
      </c>
      <c r="K496" s="225">
        <f t="shared" si="46"/>
        <v>0</v>
      </c>
      <c r="L496" s="114"/>
      <c r="M496" s="21"/>
      <c r="N496" s="21"/>
      <c r="O496" s="225"/>
      <c r="P496" s="114"/>
      <c r="Q496" s="21">
        <f t="shared" si="48"/>
        <v>100</v>
      </c>
      <c r="R496" s="21">
        <f t="shared" si="54"/>
        <v>0</v>
      </c>
      <c r="S496" s="244">
        <f t="shared" si="50"/>
        <v>0</v>
      </c>
    </row>
    <row r="497" spans="2:19" x14ac:dyDescent="0.2">
      <c r="B497" s="67">
        <f t="shared" si="51"/>
        <v>42</v>
      </c>
      <c r="C497" s="11"/>
      <c r="D497" s="11"/>
      <c r="E497" s="11"/>
      <c r="F497" s="45" t="s">
        <v>217</v>
      </c>
      <c r="G497" s="11">
        <v>710</v>
      </c>
      <c r="H497" s="11" t="s">
        <v>183</v>
      </c>
      <c r="I497" s="42">
        <f>I498</f>
        <v>0</v>
      </c>
      <c r="J497" s="42">
        <f>J498</f>
        <v>0</v>
      </c>
      <c r="K497" s="225"/>
      <c r="L497" s="114"/>
      <c r="M497" s="42">
        <f>M498</f>
        <v>6000</v>
      </c>
      <c r="N497" s="42">
        <f>N498</f>
        <v>5995</v>
      </c>
      <c r="O497" s="225">
        <f t="shared" si="47"/>
        <v>99.916666666666671</v>
      </c>
      <c r="P497" s="114"/>
      <c r="Q497" s="42">
        <f t="shared" si="48"/>
        <v>6000</v>
      </c>
      <c r="R497" s="42">
        <f t="shared" si="54"/>
        <v>5995</v>
      </c>
      <c r="S497" s="244">
        <f t="shared" si="50"/>
        <v>99.916666666666671</v>
      </c>
    </row>
    <row r="498" spans="2:19" x14ac:dyDescent="0.2">
      <c r="B498" s="67">
        <f t="shared" si="51"/>
        <v>43</v>
      </c>
      <c r="C498" s="2"/>
      <c r="D498" s="2"/>
      <c r="E498" s="2"/>
      <c r="F498" s="77" t="s">
        <v>217</v>
      </c>
      <c r="G498" s="78">
        <v>713</v>
      </c>
      <c r="H498" s="78" t="s">
        <v>4</v>
      </c>
      <c r="I498" s="79"/>
      <c r="J498" s="79"/>
      <c r="K498" s="225"/>
      <c r="L498" s="68"/>
      <c r="M498" s="79">
        <f>M499</f>
        <v>6000</v>
      </c>
      <c r="N498" s="79">
        <f>N499</f>
        <v>5995</v>
      </c>
      <c r="O498" s="225">
        <f t="shared" si="47"/>
        <v>99.916666666666671</v>
      </c>
      <c r="P498" s="68"/>
      <c r="Q498" s="79">
        <f t="shared" si="48"/>
        <v>6000</v>
      </c>
      <c r="R498" s="79">
        <f t="shared" si="54"/>
        <v>5995</v>
      </c>
      <c r="S498" s="244">
        <f t="shared" si="50"/>
        <v>99.916666666666671</v>
      </c>
    </row>
    <row r="499" spans="2:19" x14ac:dyDescent="0.2">
      <c r="B499" s="67">
        <f t="shared" si="51"/>
        <v>44</v>
      </c>
      <c r="C499" s="2"/>
      <c r="D499" s="48"/>
      <c r="E499" s="2"/>
      <c r="F499" s="46"/>
      <c r="G499" s="2"/>
      <c r="H499" s="29" t="s">
        <v>382</v>
      </c>
      <c r="I499" s="22"/>
      <c r="J499" s="22"/>
      <c r="K499" s="225"/>
      <c r="L499" s="68"/>
      <c r="M499" s="22">
        <v>6000</v>
      </c>
      <c r="N499" s="22">
        <v>5995</v>
      </c>
      <c r="O499" s="225">
        <f t="shared" si="47"/>
        <v>99.916666666666671</v>
      </c>
      <c r="P499" s="68"/>
      <c r="Q499" s="22">
        <f t="shared" si="48"/>
        <v>6000</v>
      </c>
      <c r="R499" s="22">
        <f t="shared" si="54"/>
        <v>5995</v>
      </c>
      <c r="S499" s="244">
        <f t="shared" si="50"/>
        <v>99.916666666666671</v>
      </c>
    </row>
    <row r="500" spans="2:19" ht="15" x14ac:dyDescent="0.2">
      <c r="B500" s="67">
        <f t="shared" si="51"/>
        <v>45</v>
      </c>
      <c r="C500" s="166">
        <v>3</v>
      </c>
      <c r="D500" s="325" t="s">
        <v>14</v>
      </c>
      <c r="E500" s="326"/>
      <c r="F500" s="326"/>
      <c r="G500" s="326"/>
      <c r="H500" s="327"/>
      <c r="I500" s="38">
        <f>I501+I503</f>
        <v>8000</v>
      </c>
      <c r="J500" s="38">
        <f>J501+J503</f>
        <v>1885</v>
      </c>
      <c r="K500" s="225">
        <f t="shared" si="46"/>
        <v>23.5625</v>
      </c>
      <c r="L500" s="173"/>
      <c r="M500" s="38">
        <f>M501+M503+M506</f>
        <v>2377</v>
      </c>
      <c r="N500" s="38">
        <f>N501+N503+N506</f>
        <v>377</v>
      </c>
      <c r="O500" s="225">
        <f t="shared" si="47"/>
        <v>15.860328144720235</v>
      </c>
      <c r="P500" s="173"/>
      <c r="Q500" s="38">
        <f t="shared" si="48"/>
        <v>10377</v>
      </c>
      <c r="R500" s="38">
        <f t="shared" si="54"/>
        <v>2262</v>
      </c>
      <c r="S500" s="244">
        <f t="shared" si="50"/>
        <v>21.798207574443481</v>
      </c>
    </row>
    <row r="501" spans="2:19" x14ac:dyDescent="0.2">
      <c r="B501" s="67">
        <f t="shared" si="51"/>
        <v>46</v>
      </c>
      <c r="C501" s="11"/>
      <c r="D501" s="11"/>
      <c r="E501" s="11"/>
      <c r="F501" s="45" t="s">
        <v>204</v>
      </c>
      <c r="G501" s="11">
        <v>630</v>
      </c>
      <c r="H501" s="11" t="s">
        <v>127</v>
      </c>
      <c r="I501" s="42">
        <f>I502</f>
        <v>8000</v>
      </c>
      <c r="J501" s="42">
        <f>J502</f>
        <v>1885</v>
      </c>
      <c r="K501" s="225">
        <f t="shared" si="46"/>
        <v>23.5625</v>
      </c>
      <c r="L501" s="114"/>
      <c r="M501" s="42">
        <f>M502</f>
        <v>0</v>
      </c>
      <c r="N501" s="42">
        <f>N502</f>
        <v>0</v>
      </c>
      <c r="O501" s="225"/>
      <c r="P501" s="114"/>
      <c r="Q501" s="42">
        <f t="shared" si="48"/>
        <v>8000</v>
      </c>
      <c r="R501" s="42">
        <f t="shared" si="54"/>
        <v>1885</v>
      </c>
      <c r="S501" s="244">
        <f t="shared" si="50"/>
        <v>23.5625</v>
      </c>
    </row>
    <row r="502" spans="2:19" x14ac:dyDescent="0.2">
      <c r="B502" s="67">
        <f t="shared" si="51"/>
        <v>47</v>
      </c>
      <c r="C502" s="2"/>
      <c r="D502" s="2"/>
      <c r="E502" s="2"/>
      <c r="F502" s="46" t="s">
        <v>204</v>
      </c>
      <c r="G502" s="2">
        <v>635</v>
      </c>
      <c r="H502" s="2" t="s">
        <v>137</v>
      </c>
      <c r="I502" s="22">
        <f>5000+3000</f>
        <v>8000</v>
      </c>
      <c r="J502" s="22">
        <v>1885</v>
      </c>
      <c r="K502" s="225">
        <f t="shared" si="46"/>
        <v>23.5625</v>
      </c>
      <c r="L502" s="68"/>
      <c r="M502" s="22"/>
      <c r="N502" s="22"/>
      <c r="O502" s="225"/>
      <c r="P502" s="68"/>
      <c r="Q502" s="22">
        <f t="shared" si="48"/>
        <v>8000</v>
      </c>
      <c r="R502" s="22">
        <f t="shared" si="54"/>
        <v>1885</v>
      </c>
      <c r="S502" s="244">
        <f t="shared" si="50"/>
        <v>23.5625</v>
      </c>
    </row>
    <row r="503" spans="2:19" x14ac:dyDescent="0.2">
      <c r="B503" s="67">
        <f t="shared" si="51"/>
        <v>48</v>
      </c>
      <c r="C503" s="11"/>
      <c r="D503" s="11"/>
      <c r="E503" s="11"/>
      <c r="F503" s="45" t="s">
        <v>204</v>
      </c>
      <c r="G503" s="11">
        <v>710</v>
      </c>
      <c r="H503" s="11" t="s">
        <v>183</v>
      </c>
      <c r="I503" s="42">
        <f>I504</f>
        <v>0</v>
      </c>
      <c r="J503" s="42">
        <f>J504</f>
        <v>0</v>
      </c>
      <c r="K503" s="225"/>
      <c r="L503" s="114"/>
      <c r="M503" s="42">
        <f>M504</f>
        <v>2000</v>
      </c>
      <c r="N503" s="42">
        <f>N504</f>
        <v>0</v>
      </c>
      <c r="O503" s="225">
        <f t="shared" si="47"/>
        <v>0</v>
      </c>
      <c r="P503" s="114"/>
      <c r="Q503" s="42">
        <f t="shared" si="48"/>
        <v>2000</v>
      </c>
      <c r="R503" s="42">
        <f t="shared" si="54"/>
        <v>0</v>
      </c>
      <c r="S503" s="244">
        <f t="shared" si="50"/>
        <v>0</v>
      </c>
    </row>
    <row r="504" spans="2:19" x14ac:dyDescent="0.2">
      <c r="B504" s="67">
        <f t="shared" si="51"/>
        <v>49</v>
      </c>
      <c r="C504" s="2"/>
      <c r="D504" s="2"/>
      <c r="E504" s="2"/>
      <c r="F504" s="77" t="s">
        <v>204</v>
      </c>
      <c r="G504" s="78">
        <v>713</v>
      </c>
      <c r="H504" s="78" t="s">
        <v>4</v>
      </c>
      <c r="I504" s="79"/>
      <c r="J504" s="79"/>
      <c r="K504" s="225"/>
      <c r="L504" s="68"/>
      <c r="M504" s="79">
        <f>M505</f>
        <v>2000</v>
      </c>
      <c r="N504" s="79">
        <f>N505</f>
        <v>0</v>
      </c>
      <c r="O504" s="225">
        <f t="shared" si="47"/>
        <v>0</v>
      </c>
      <c r="P504" s="68"/>
      <c r="Q504" s="79">
        <f t="shared" si="48"/>
        <v>2000</v>
      </c>
      <c r="R504" s="79">
        <f t="shared" si="54"/>
        <v>0</v>
      </c>
      <c r="S504" s="244">
        <f t="shared" si="50"/>
        <v>0</v>
      </c>
    </row>
    <row r="505" spans="2:19" x14ac:dyDescent="0.2">
      <c r="B505" s="67">
        <f t="shared" si="51"/>
        <v>50</v>
      </c>
      <c r="C505" s="2"/>
      <c r="D505" s="48"/>
      <c r="E505" s="2"/>
      <c r="F505" s="46"/>
      <c r="G505" s="2"/>
      <c r="H505" s="2" t="s">
        <v>372</v>
      </c>
      <c r="I505" s="22"/>
      <c r="J505" s="22"/>
      <c r="K505" s="225"/>
      <c r="L505" s="68"/>
      <c r="M505" s="22">
        <f>5000-3000</f>
        <v>2000</v>
      </c>
      <c r="N505" s="22"/>
      <c r="O505" s="225">
        <f t="shared" si="47"/>
        <v>0</v>
      </c>
      <c r="P505" s="68"/>
      <c r="Q505" s="22">
        <f t="shared" si="48"/>
        <v>2000</v>
      </c>
      <c r="R505" s="22">
        <f t="shared" si="54"/>
        <v>0</v>
      </c>
      <c r="S505" s="244">
        <f t="shared" si="50"/>
        <v>0</v>
      </c>
    </row>
    <row r="506" spans="2:19" x14ac:dyDescent="0.2">
      <c r="B506" s="67">
        <f t="shared" si="51"/>
        <v>51</v>
      </c>
      <c r="C506" s="2"/>
      <c r="D506" s="48"/>
      <c r="E506" s="2"/>
      <c r="F506" s="77" t="s">
        <v>204</v>
      </c>
      <c r="G506" s="78">
        <v>719</v>
      </c>
      <c r="H506" s="78" t="s">
        <v>599</v>
      </c>
      <c r="I506" s="79"/>
      <c r="J506" s="79"/>
      <c r="K506" s="225"/>
      <c r="L506" s="68"/>
      <c r="M506" s="79">
        <f>M507</f>
        <v>377</v>
      </c>
      <c r="N506" s="79">
        <f>N507</f>
        <v>377</v>
      </c>
      <c r="O506" s="225">
        <f t="shared" si="47"/>
        <v>100</v>
      </c>
      <c r="P506" s="68"/>
      <c r="Q506" s="79">
        <f t="shared" si="48"/>
        <v>377</v>
      </c>
      <c r="R506" s="79">
        <f t="shared" si="54"/>
        <v>377</v>
      </c>
      <c r="S506" s="244">
        <f t="shared" si="50"/>
        <v>100</v>
      </c>
    </row>
    <row r="507" spans="2:19" x14ac:dyDescent="0.2">
      <c r="B507" s="67">
        <f t="shared" si="51"/>
        <v>52</v>
      </c>
      <c r="C507" s="2"/>
      <c r="D507" s="48"/>
      <c r="E507" s="2"/>
      <c r="F507" s="46"/>
      <c r="G507" s="2"/>
      <c r="H507" s="2" t="s">
        <v>600</v>
      </c>
      <c r="I507" s="22"/>
      <c r="J507" s="22"/>
      <c r="K507" s="225"/>
      <c r="L507" s="68"/>
      <c r="M507" s="22">
        <v>377</v>
      </c>
      <c r="N507" s="22">
        <v>377</v>
      </c>
      <c r="O507" s="225">
        <f t="shared" si="47"/>
        <v>100</v>
      </c>
      <c r="P507" s="68"/>
      <c r="Q507" s="22">
        <f t="shared" si="48"/>
        <v>377</v>
      </c>
      <c r="R507" s="22">
        <f t="shared" si="54"/>
        <v>377</v>
      </c>
      <c r="S507" s="244">
        <f t="shared" si="50"/>
        <v>100</v>
      </c>
    </row>
    <row r="508" spans="2:19" ht="15" x14ac:dyDescent="0.2">
      <c r="B508" s="67">
        <f t="shared" si="51"/>
        <v>53</v>
      </c>
      <c r="C508" s="166">
        <v>4</v>
      </c>
      <c r="D508" s="325" t="s">
        <v>162</v>
      </c>
      <c r="E508" s="326"/>
      <c r="F508" s="326"/>
      <c r="G508" s="326"/>
      <c r="H508" s="327"/>
      <c r="I508" s="38">
        <f>I509</f>
        <v>7000</v>
      </c>
      <c r="J508" s="38">
        <f>J509</f>
        <v>5268</v>
      </c>
      <c r="K508" s="225">
        <f t="shared" si="46"/>
        <v>75.257142857142853</v>
      </c>
      <c r="L508" s="173"/>
      <c r="M508" s="38">
        <f>M509</f>
        <v>0</v>
      </c>
      <c r="N508" s="38">
        <f>N509</f>
        <v>0</v>
      </c>
      <c r="O508" s="225"/>
      <c r="P508" s="173"/>
      <c r="Q508" s="38">
        <f t="shared" si="48"/>
        <v>7000</v>
      </c>
      <c r="R508" s="38">
        <f t="shared" si="54"/>
        <v>5268</v>
      </c>
      <c r="S508" s="244">
        <f t="shared" si="50"/>
        <v>75.257142857142853</v>
      </c>
    </row>
    <row r="509" spans="2:19" x14ac:dyDescent="0.2">
      <c r="B509" s="67">
        <f t="shared" si="51"/>
        <v>54</v>
      </c>
      <c r="C509" s="11"/>
      <c r="D509" s="11"/>
      <c r="E509" s="11"/>
      <c r="F509" s="45" t="s">
        <v>161</v>
      </c>
      <c r="G509" s="11">
        <v>630</v>
      </c>
      <c r="H509" s="11" t="s">
        <v>127</v>
      </c>
      <c r="I509" s="42">
        <f>I510</f>
        <v>7000</v>
      </c>
      <c r="J509" s="42">
        <f>J510</f>
        <v>5268</v>
      </c>
      <c r="K509" s="225">
        <f t="shared" si="46"/>
        <v>75.257142857142853</v>
      </c>
      <c r="L509" s="114"/>
      <c r="M509" s="42">
        <v>0</v>
      </c>
      <c r="N509" s="42"/>
      <c r="O509" s="225"/>
      <c r="P509" s="114"/>
      <c r="Q509" s="42">
        <f t="shared" si="48"/>
        <v>7000</v>
      </c>
      <c r="R509" s="42">
        <f t="shared" si="54"/>
        <v>5268</v>
      </c>
      <c r="S509" s="244">
        <f t="shared" si="50"/>
        <v>75.257142857142853</v>
      </c>
    </row>
    <row r="510" spans="2:19" x14ac:dyDescent="0.2">
      <c r="B510" s="67">
        <f t="shared" si="51"/>
        <v>55</v>
      </c>
      <c r="C510" s="2"/>
      <c r="D510" s="2"/>
      <c r="E510" s="2"/>
      <c r="F510" s="46" t="s">
        <v>161</v>
      </c>
      <c r="G510" s="2">
        <v>637</v>
      </c>
      <c r="H510" s="2" t="s">
        <v>128</v>
      </c>
      <c r="I510" s="22">
        <v>7000</v>
      </c>
      <c r="J510" s="22">
        <v>5268</v>
      </c>
      <c r="K510" s="225">
        <f t="shared" si="46"/>
        <v>75.257142857142853</v>
      </c>
      <c r="L510" s="68"/>
      <c r="M510" s="22"/>
      <c r="N510" s="22"/>
      <c r="O510" s="225"/>
      <c r="P510" s="68"/>
      <c r="Q510" s="22">
        <f t="shared" si="48"/>
        <v>7000</v>
      </c>
      <c r="R510" s="22">
        <f t="shared" si="54"/>
        <v>5268</v>
      </c>
      <c r="S510" s="244">
        <f t="shared" si="50"/>
        <v>75.257142857142853</v>
      </c>
    </row>
    <row r="511" spans="2:19" ht="15" x14ac:dyDescent="0.2">
      <c r="B511" s="67">
        <f t="shared" si="51"/>
        <v>56</v>
      </c>
      <c r="C511" s="166">
        <v>5</v>
      </c>
      <c r="D511" s="325" t="s">
        <v>152</v>
      </c>
      <c r="E511" s="326"/>
      <c r="F511" s="326"/>
      <c r="G511" s="326"/>
      <c r="H511" s="327"/>
      <c r="I511" s="38">
        <f>I512+I518</f>
        <v>22600</v>
      </c>
      <c r="J511" s="38">
        <f>J512+J518</f>
        <v>11174</v>
      </c>
      <c r="K511" s="225">
        <f t="shared" si="46"/>
        <v>49.442477876106196</v>
      </c>
      <c r="L511" s="173"/>
      <c r="M511" s="38">
        <f>M522+M525</f>
        <v>15700</v>
      </c>
      <c r="N511" s="38">
        <f>N522+N525</f>
        <v>15700</v>
      </c>
      <c r="O511" s="225">
        <f t="shared" si="47"/>
        <v>100</v>
      </c>
      <c r="P511" s="173"/>
      <c r="Q511" s="38">
        <f t="shared" si="48"/>
        <v>38300</v>
      </c>
      <c r="R511" s="38">
        <f t="shared" si="54"/>
        <v>26874</v>
      </c>
      <c r="S511" s="244">
        <f t="shared" si="50"/>
        <v>70.167101827676234</v>
      </c>
    </row>
    <row r="512" spans="2:19" x14ac:dyDescent="0.2">
      <c r="B512" s="67">
        <f t="shared" si="51"/>
        <v>57</v>
      </c>
      <c r="C512" s="11"/>
      <c r="D512" s="11"/>
      <c r="E512" s="11"/>
      <c r="F512" s="45" t="s">
        <v>151</v>
      </c>
      <c r="G512" s="11">
        <v>630</v>
      </c>
      <c r="H512" s="11" t="s">
        <v>127</v>
      </c>
      <c r="I512" s="42">
        <f>I517+I516+I513+I514+I515</f>
        <v>13600</v>
      </c>
      <c r="J512" s="42">
        <f>J517+J516+J513+J514+J515</f>
        <v>6674</v>
      </c>
      <c r="K512" s="225">
        <f t="shared" si="46"/>
        <v>49.073529411764703</v>
      </c>
      <c r="L512" s="114"/>
      <c r="M512" s="42">
        <f>M517+M516</f>
        <v>0</v>
      </c>
      <c r="N512" s="42">
        <f>N517+N516</f>
        <v>0</v>
      </c>
      <c r="O512" s="225"/>
      <c r="P512" s="114"/>
      <c r="Q512" s="42">
        <f t="shared" si="48"/>
        <v>13600</v>
      </c>
      <c r="R512" s="42">
        <f t="shared" si="54"/>
        <v>6674</v>
      </c>
      <c r="S512" s="244">
        <f t="shared" si="50"/>
        <v>49.073529411764703</v>
      </c>
    </row>
    <row r="513" spans="2:19" x14ac:dyDescent="0.2">
      <c r="B513" s="67">
        <f t="shared" si="51"/>
        <v>58</v>
      </c>
      <c r="C513" s="11"/>
      <c r="D513" s="11"/>
      <c r="E513" s="11"/>
      <c r="F513" s="46" t="s">
        <v>151</v>
      </c>
      <c r="G513" s="2">
        <v>633</v>
      </c>
      <c r="H513" s="2" t="s">
        <v>131</v>
      </c>
      <c r="I513" s="22">
        <v>500</v>
      </c>
      <c r="J513" s="22">
        <v>0</v>
      </c>
      <c r="K513" s="225">
        <f t="shared" si="46"/>
        <v>0</v>
      </c>
      <c r="L513" s="68"/>
      <c r="M513" s="22"/>
      <c r="N513" s="22"/>
      <c r="O513" s="225"/>
      <c r="P513" s="68"/>
      <c r="Q513" s="22">
        <f t="shared" si="48"/>
        <v>500</v>
      </c>
      <c r="R513" s="22">
        <f t="shared" si="54"/>
        <v>0</v>
      </c>
      <c r="S513" s="244">
        <f t="shared" si="50"/>
        <v>0</v>
      </c>
    </row>
    <row r="514" spans="2:19" x14ac:dyDescent="0.2">
      <c r="B514" s="67">
        <f t="shared" si="51"/>
        <v>59</v>
      </c>
      <c r="C514" s="11"/>
      <c r="D514" s="11"/>
      <c r="E514" s="11"/>
      <c r="F514" s="46" t="s">
        <v>151</v>
      </c>
      <c r="G514" s="2">
        <v>633</v>
      </c>
      <c r="H514" s="2" t="s">
        <v>596</v>
      </c>
      <c r="I514" s="22">
        <v>2000</v>
      </c>
      <c r="J514" s="22">
        <v>2000</v>
      </c>
      <c r="K514" s="225">
        <f t="shared" si="46"/>
        <v>100</v>
      </c>
      <c r="L514" s="68"/>
      <c r="M514" s="22"/>
      <c r="N514" s="22"/>
      <c r="O514" s="225"/>
      <c r="P514" s="68"/>
      <c r="Q514" s="22">
        <f t="shared" si="48"/>
        <v>2000</v>
      </c>
      <c r="R514" s="22">
        <f t="shared" si="54"/>
        <v>2000</v>
      </c>
      <c r="S514" s="244">
        <f t="shared" si="50"/>
        <v>100</v>
      </c>
    </row>
    <row r="515" spans="2:19" x14ac:dyDescent="0.2">
      <c r="B515" s="67">
        <f t="shared" si="51"/>
        <v>60</v>
      </c>
      <c r="C515" s="11"/>
      <c r="D515" s="11"/>
      <c r="E515" s="11"/>
      <c r="F515" s="46" t="s">
        <v>151</v>
      </c>
      <c r="G515" s="2">
        <v>633</v>
      </c>
      <c r="H515" s="2" t="s">
        <v>646</v>
      </c>
      <c r="I515" s="22">
        <v>700</v>
      </c>
      <c r="J515" s="22">
        <v>700</v>
      </c>
      <c r="K515" s="225">
        <f t="shared" si="46"/>
        <v>100</v>
      </c>
      <c r="L515" s="68"/>
      <c r="M515" s="22"/>
      <c r="N515" s="22"/>
      <c r="O515" s="225"/>
      <c r="P515" s="68"/>
      <c r="Q515" s="22">
        <f t="shared" si="48"/>
        <v>700</v>
      </c>
      <c r="R515" s="22">
        <f t="shared" si="54"/>
        <v>700</v>
      </c>
      <c r="S515" s="244">
        <f t="shared" si="50"/>
        <v>100</v>
      </c>
    </row>
    <row r="516" spans="2:19" x14ac:dyDescent="0.2">
      <c r="B516" s="67">
        <f t="shared" si="51"/>
        <v>61</v>
      </c>
      <c r="C516" s="2"/>
      <c r="D516" s="2"/>
      <c r="E516" s="2"/>
      <c r="F516" s="46" t="s">
        <v>151</v>
      </c>
      <c r="G516" s="2">
        <v>634</v>
      </c>
      <c r="H516" s="2" t="s">
        <v>136</v>
      </c>
      <c r="I516" s="22">
        <f>480+1700</f>
        <v>2180</v>
      </c>
      <c r="J516" s="22">
        <v>1113</v>
      </c>
      <c r="K516" s="225">
        <f t="shared" si="46"/>
        <v>51.055045871559635</v>
      </c>
      <c r="L516" s="68"/>
      <c r="M516" s="22"/>
      <c r="N516" s="22"/>
      <c r="O516" s="225"/>
      <c r="P516" s="68"/>
      <c r="Q516" s="22">
        <f t="shared" si="48"/>
        <v>2180</v>
      </c>
      <c r="R516" s="22">
        <f t="shared" si="54"/>
        <v>1113</v>
      </c>
      <c r="S516" s="244">
        <f t="shared" si="50"/>
        <v>51.055045871559635</v>
      </c>
    </row>
    <row r="517" spans="2:19" x14ac:dyDescent="0.2">
      <c r="B517" s="67">
        <f t="shared" si="51"/>
        <v>62</v>
      </c>
      <c r="C517" s="2"/>
      <c r="D517" s="2"/>
      <c r="E517" s="2"/>
      <c r="F517" s="46" t="s">
        <v>151</v>
      </c>
      <c r="G517" s="2">
        <v>637</v>
      </c>
      <c r="H517" s="2" t="s">
        <v>128</v>
      </c>
      <c r="I517" s="22">
        <f>8720-500</f>
        <v>8220</v>
      </c>
      <c r="J517" s="22">
        <v>2861</v>
      </c>
      <c r="K517" s="225">
        <f t="shared" si="46"/>
        <v>34.805352798053526</v>
      </c>
      <c r="L517" s="68"/>
      <c r="M517" s="22"/>
      <c r="N517" s="22"/>
      <c r="O517" s="225"/>
      <c r="P517" s="68"/>
      <c r="Q517" s="22">
        <f t="shared" si="48"/>
        <v>8220</v>
      </c>
      <c r="R517" s="22">
        <f t="shared" si="54"/>
        <v>2861</v>
      </c>
      <c r="S517" s="244">
        <f t="shared" si="50"/>
        <v>34.805352798053526</v>
      </c>
    </row>
    <row r="518" spans="2:19" x14ac:dyDescent="0.2">
      <c r="B518" s="67">
        <f t="shared" si="51"/>
        <v>63</v>
      </c>
      <c r="C518" s="11"/>
      <c r="D518" s="11"/>
      <c r="E518" s="11"/>
      <c r="F518" s="45" t="s">
        <v>151</v>
      </c>
      <c r="G518" s="11">
        <v>640</v>
      </c>
      <c r="H518" s="11" t="s">
        <v>134</v>
      </c>
      <c r="I518" s="42">
        <f>SUM(I519:I521)</f>
        <v>9000</v>
      </c>
      <c r="J518" s="42">
        <f>SUM(J519:J521)</f>
        <v>4500</v>
      </c>
      <c r="K518" s="225">
        <f t="shared" si="46"/>
        <v>50</v>
      </c>
      <c r="L518" s="114"/>
      <c r="M518" s="42"/>
      <c r="N518" s="42"/>
      <c r="O518" s="225"/>
      <c r="P518" s="114"/>
      <c r="Q518" s="22">
        <f t="shared" si="48"/>
        <v>9000</v>
      </c>
      <c r="R518" s="22">
        <f t="shared" si="54"/>
        <v>4500</v>
      </c>
      <c r="S518" s="244">
        <f t="shared" si="50"/>
        <v>50</v>
      </c>
    </row>
    <row r="519" spans="2:19" x14ac:dyDescent="0.2">
      <c r="B519" s="67">
        <f t="shared" si="51"/>
        <v>64</v>
      </c>
      <c r="C519" s="11"/>
      <c r="D519" s="11"/>
      <c r="E519" s="11"/>
      <c r="F519" s="45"/>
      <c r="G519" s="11"/>
      <c r="H519" s="53" t="s">
        <v>462</v>
      </c>
      <c r="I519" s="51">
        <v>4000</v>
      </c>
      <c r="J519" s="51">
        <v>2000</v>
      </c>
      <c r="K519" s="225">
        <f t="shared" si="46"/>
        <v>50</v>
      </c>
      <c r="L519" s="68"/>
      <c r="M519" s="51"/>
      <c r="N519" s="51"/>
      <c r="O519" s="225"/>
      <c r="P519" s="68"/>
      <c r="Q519" s="51">
        <f t="shared" si="48"/>
        <v>4000</v>
      </c>
      <c r="R519" s="51">
        <f t="shared" si="54"/>
        <v>2000</v>
      </c>
      <c r="S519" s="244">
        <f t="shared" si="50"/>
        <v>50</v>
      </c>
    </row>
    <row r="520" spans="2:19" x14ac:dyDescent="0.2">
      <c r="B520" s="67">
        <f t="shared" si="51"/>
        <v>65</v>
      </c>
      <c r="C520" s="11"/>
      <c r="D520" s="11"/>
      <c r="E520" s="11"/>
      <c r="F520" s="45"/>
      <c r="G520" s="11"/>
      <c r="H520" s="53" t="s">
        <v>463</v>
      </c>
      <c r="I520" s="51">
        <v>4000</v>
      </c>
      <c r="J520" s="51">
        <v>2000</v>
      </c>
      <c r="K520" s="225">
        <f t="shared" ref="K520:K521" si="55">J520/I520*100</f>
        <v>50</v>
      </c>
      <c r="L520" s="68"/>
      <c r="M520" s="51"/>
      <c r="N520" s="51"/>
      <c r="O520" s="225"/>
      <c r="P520" s="68"/>
      <c r="Q520" s="51">
        <f t="shared" ref="Q520:Q523" si="56">M520+I520</f>
        <v>4000</v>
      </c>
      <c r="R520" s="51">
        <f t="shared" si="54"/>
        <v>2000</v>
      </c>
      <c r="S520" s="244">
        <f t="shared" ref="S520:S527" si="57">R520/Q520*100</f>
        <v>50</v>
      </c>
    </row>
    <row r="521" spans="2:19" x14ac:dyDescent="0.2">
      <c r="B521" s="67">
        <f t="shared" ref="B521:B527" si="58">B520+1</f>
        <v>66</v>
      </c>
      <c r="C521" s="11"/>
      <c r="D521" s="11"/>
      <c r="E521" s="11"/>
      <c r="F521" s="45"/>
      <c r="G521" s="11"/>
      <c r="H521" s="53" t="s">
        <v>464</v>
      </c>
      <c r="I521" s="51">
        <v>1000</v>
      </c>
      <c r="J521" s="51">
        <v>500</v>
      </c>
      <c r="K521" s="225">
        <f t="shared" si="55"/>
        <v>50</v>
      </c>
      <c r="L521" s="68"/>
      <c r="M521" s="51"/>
      <c r="N521" s="51"/>
      <c r="O521" s="225"/>
      <c r="P521" s="68"/>
      <c r="Q521" s="51">
        <f t="shared" si="56"/>
        <v>1000</v>
      </c>
      <c r="R521" s="51">
        <f t="shared" si="54"/>
        <v>500</v>
      </c>
      <c r="S521" s="244">
        <f t="shared" si="57"/>
        <v>50</v>
      </c>
    </row>
    <row r="522" spans="2:19" x14ac:dyDescent="0.2">
      <c r="B522" s="67">
        <f t="shared" si="58"/>
        <v>67</v>
      </c>
      <c r="C522" s="11"/>
      <c r="D522" s="11"/>
      <c r="E522" s="11"/>
      <c r="F522" s="45" t="s">
        <v>151</v>
      </c>
      <c r="G522" s="11">
        <v>710</v>
      </c>
      <c r="H522" s="11" t="s">
        <v>183</v>
      </c>
      <c r="I522" s="42">
        <f>I523</f>
        <v>0</v>
      </c>
      <c r="J522" s="42">
        <f>J523</f>
        <v>0</v>
      </c>
      <c r="K522" s="225"/>
      <c r="L522" s="114"/>
      <c r="M522" s="42">
        <f>M523</f>
        <v>700</v>
      </c>
      <c r="N522" s="42">
        <f>N523</f>
        <v>700</v>
      </c>
      <c r="O522" s="225">
        <f t="shared" ref="O522:O527" si="59">N522/M522*100</f>
        <v>100</v>
      </c>
      <c r="P522" s="114"/>
      <c r="Q522" s="42">
        <f t="shared" si="56"/>
        <v>700</v>
      </c>
      <c r="R522" s="42">
        <f t="shared" si="54"/>
        <v>700</v>
      </c>
      <c r="S522" s="244">
        <f t="shared" si="57"/>
        <v>100</v>
      </c>
    </row>
    <row r="523" spans="2:19" x14ac:dyDescent="0.2">
      <c r="B523" s="67">
        <f t="shared" si="58"/>
        <v>68</v>
      </c>
      <c r="C523" s="11"/>
      <c r="D523" s="11"/>
      <c r="E523" s="11"/>
      <c r="F523" s="77" t="s">
        <v>151</v>
      </c>
      <c r="G523" s="78">
        <v>716</v>
      </c>
      <c r="H523" s="78" t="s">
        <v>0</v>
      </c>
      <c r="I523" s="79"/>
      <c r="J523" s="79"/>
      <c r="K523" s="225"/>
      <c r="L523" s="68"/>
      <c r="M523" s="79">
        <f>M524</f>
        <v>700</v>
      </c>
      <c r="N523" s="79">
        <f>N524</f>
        <v>700</v>
      </c>
      <c r="O523" s="225">
        <f t="shared" si="59"/>
        <v>100</v>
      </c>
      <c r="P523" s="68"/>
      <c r="Q523" s="79">
        <f t="shared" si="56"/>
        <v>700</v>
      </c>
      <c r="R523" s="79">
        <f t="shared" si="54"/>
        <v>700</v>
      </c>
      <c r="S523" s="244">
        <f t="shared" si="57"/>
        <v>100</v>
      </c>
    </row>
    <row r="524" spans="2:19" x14ac:dyDescent="0.2">
      <c r="B524" s="67">
        <f t="shared" si="58"/>
        <v>69</v>
      </c>
      <c r="C524" s="11"/>
      <c r="D524" s="11"/>
      <c r="E524" s="11"/>
      <c r="F524" s="45"/>
      <c r="G524" s="11"/>
      <c r="H524" s="53" t="s">
        <v>506</v>
      </c>
      <c r="I524" s="51"/>
      <c r="J524" s="51"/>
      <c r="K524" s="225"/>
      <c r="L524" s="68"/>
      <c r="M524" s="51">
        <v>700</v>
      </c>
      <c r="N524" s="51">
        <v>700</v>
      </c>
      <c r="O524" s="225">
        <f t="shared" si="59"/>
        <v>100</v>
      </c>
      <c r="P524" s="68"/>
      <c r="Q524" s="51">
        <f>M524</f>
        <v>700</v>
      </c>
      <c r="R524" s="51">
        <f t="shared" ref="R524" si="60">N524</f>
        <v>700</v>
      </c>
      <c r="S524" s="244">
        <f t="shared" si="57"/>
        <v>100</v>
      </c>
    </row>
    <row r="525" spans="2:19" x14ac:dyDescent="0.2">
      <c r="B525" s="67">
        <f t="shared" si="58"/>
        <v>70</v>
      </c>
      <c r="C525" s="11"/>
      <c r="D525" s="11"/>
      <c r="E525" s="11"/>
      <c r="F525" s="45" t="s">
        <v>151</v>
      </c>
      <c r="G525" s="11">
        <v>720</v>
      </c>
      <c r="H525" s="11" t="s">
        <v>433</v>
      </c>
      <c r="I525" s="42">
        <f>I526</f>
        <v>0</v>
      </c>
      <c r="J525" s="42">
        <f>J526</f>
        <v>0</v>
      </c>
      <c r="K525" s="225"/>
      <c r="L525" s="114"/>
      <c r="M525" s="42">
        <f>M526</f>
        <v>15000</v>
      </c>
      <c r="N525" s="42">
        <f>N526</f>
        <v>15000</v>
      </c>
      <c r="O525" s="225">
        <f t="shared" si="59"/>
        <v>100</v>
      </c>
      <c r="P525" s="114"/>
      <c r="Q525" s="42">
        <f t="shared" ref="Q525:Q526" si="61">M525+I525</f>
        <v>15000</v>
      </c>
      <c r="R525" s="42">
        <f t="shared" ref="R525:R526" si="62">N525+J525</f>
        <v>15000</v>
      </c>
      <c r="S525" s="244">
        <f t="shared" si="57"/>
        <v>100</v>
      </c>
    </row>
    <row r="526" spans="2:19" x14ac:dyDescent="0.2">
      <c r="B526" s="67">
        <f t="shared" si="58"/>
        <v>71</v>
      </c>
      <c r="C526" s="11"/>
      <c r="D526" s="11"/>
      <c r="E526" s="11"/>
      <c r="F526" s="77" t="s">
        <v>151</v>
      </c>
      <c r="G526" s="78">
        <v>722</v>
      </c>
      <c r="H526" s="78" t="s">
        <v>601</v>
      </c>
      <c r="I526" s="79"/>
      <c r="J526" s="79"/>
      <c r="K526" s="225"/>
      <c r="L526" s="68"/>
      <c r="M526" s="79">
        <f>M527</f>
        <v>15000</v>
      </c>
      <c r="N526" s="79">
        <f>N527</f>
        <v>15000</v>
      </c>
      <c r="O526" s="225">
        <f t="shared" si="59"/>
        <v>100</v>
      </c>
      <c r="P526" s="68"/>
      <c r="Q526" s="79">
        <f t="shared" si="61"/>
        <v>15000</v>
      </c>
      <c r="R526" s="79">
        <f t="shared" si="62"/>
        <v>15000</v>
      </c>
      <c r="S526" s="244">
        <f t="shared" si="57"/>
        <v>100</v>
      </c>
    </row>
    <row r="527" spans="2:19" x14ac:dyDescent="0.2">
      <c r="B527" s="67">
        <f t="shared" si="58"/>
        <v>72</v>
      </c>
      <c r="C527" s="11"/>
      <c r="D527" s="11"/>
      <c r="E527" s="11"/>
      <c r="F527" s="45"/>
      <c r="G527" s="11"/>
      <c r="H527" s="53" t="s">
        <v>602</v>
      </c>
      <c r="I527" s="51"/>
      <c r="J527" s="51"/>
      <c r="K527" s="225"/>
      <c r="L527" s="68"/>
      <c r="M527" s="51">
        <v>15000</v>
      </c>
      <c r="N527" s="51">
        <v>15000</v>
      </c>
      <c r="O527" s="225">
        <f t="shared" si="59"/>
        <v>100</v>
      </c>
      <c r="P527" s="68"/>
      <c r="Q527" s="51">
        <f>M527</f>
        <v>15000</v>
      </c>
      <c r="R527" s="51">
        <f t="shared" ref="R527" si="63">N527</f>
        <v>15000</v>
      </c>
      <c r="S527" s="244">
        <f t="shared" si="57"/>
        <v>100</v>
      </c>
    </row>
    <row r="581" spans="2:19" ht="27" x14ac:dyDescent="0.35">
      <c r="B581" s="306" t="s">
        <v>299</v>
      </c>
      <c r="C581" s="307"/>
      <c r="D581" s="307"/>
      <c r="E581" s="307"/>
      <c r="F581" s="307"/>
      <c r="G581" s="307"/>
      <c r="H581" s="307"/>
      <c r="I581" s="307"/>
      <c r="J581" s="307"/>
      <c r="K581" s="307"/>
      <c r="L581" s="307"/>
      <c r="M581" s="307"/>
      <c r="N581" s="307"/>
      <c r="O581" s="307"/>
      <c r="P581" s="307"/>
      <c r="Q581" s="307"/>
    </row>
    <row r="582" spans="2:19" ht="12.75" customHeight="1" x14ac:dyDescent="0.2">
      <c r="B582" s="308" t="s">
        <v>279</v>
      </c>
      <c r="C582" s="309"/>
      <c r="D582" s="309"/>
      <c r="E582" s="309"/>
      <c r="F582" s="309"/>
      <c r="G582" s="309"/>
      <c r="H582" s="309"/>
      <c r="I582" s="309"/>
      <c r="J582" s="309"/>
      <c r="K582" s="309"/>
      <c r="L582" s="309"/>
      <c r="M582" s="309"/>
      <c r="N582" s="181"/>
      <c r="O582" s="182"/>
      <c r="P582" s="182"/>
      <c r="Q582" s="310" t="s">
        <v>590</v>
      </c>
      <c r="R582" s="310" t="s">
        <v>693</v>
      </c>
      <c r="S582" s="337" t="s">
        <v>691</v>
      </c>
    </row>
    <row r="583" spans="2:19" ht="18" customHeight="1" x14ac:dyDescent="0.2">
      <c r="B583" s="313" t="s">
        <v>111</v>
      </c>
      <c r="C583" s="315" t="s">
        <v>119</v>
      </c>
      <c r="D583" s="315" t="s">
        <v>120</v>
      </c>
      <c r="E583" s="317" t="s">
        <v>124</v>
      </c>
      <c r="F583" s="315" t="s">
        <v>121</v>
      </c>
      <c r="G583" s="315" t="s">
        <v>122</v>
      </c>
      <c r="H583" s="320" t="s">
        <v>123</v>
      </c>
      <c r="I583" s="310" t="s">
        <v>587</v>
      </c>
      <c r="J583" s="310" t="s">
        <v>690</v>
      </c>
      <c r="K583" s="337" t="s">
        <v>691</v>
      </c>
      <c r="L583" s="169"/>
      <c r="M583" s="310" t="s">
        <v>588</v>
      </c>
      <c r="N583" s="311" t="s">
        <v>692</v>
      </c>
      <c r="O583" s="337" t="s">
        <v>691</v>
      </c>
      <c r="P583" s="170"/>
      <c r="Q583" s="311"/>
      <c r="R583" s="311"/>
      <c r="S583" s="338"/>
    </row>
    <row r="584" spans="2:19" ht="15.75" customHeight="1" x14ac:dyDescent="0.2">
      <c r="B584" s="313"/>
      <c r="C584" s="315"/>
      <c r="D584" s="315"/>
      <c r="E584" s="318"/>
      <c r="F584" s="315"/>
      <c r="G584" s="315"/>
      <c r="H584" s="320"/>
      <c r="I584" s="311"/>
      <c r="J584" s="311"/>
      <c r="K584" s="338"/>
      <c r="L584" s="170"/>
      <c r="M584" s="311"/>
      <c r="N584" s="311"/>
      <c r="O584" s="338"/>
      <c r="P584" s="170"/>
      <c r="Q584" s="311"/>
      <c r="R584" s="311"/>
      <c r="S584" s="338"/>
    </row>
    <row r="585" spans="2:19" ht="18.75" customHeight="1" x14ac:dyDescent="0.2">
      <c r="B585" s="313"/>
      <c r="C585" s="315"/>
      <c r="D585" s="315"/>
      <c r="E585" s="318"/>
      <c r="F585" s="315"/>
      <c r="G585" s="315"/>
      <c r="H585" s="320"/>
      <c r="I585" s="311"/>
      <c r="J585" s="311"/>
      <c r="K585" s="338"/>
      <c r="L585" s="170"/>
      <c r="M585" s="311"/>
      <c r="N585" s="311"/>
      <c r="O585" s="338"/>
      <c r="P585" s="170"/>
      <c r="Q585" s="311"/>
      <c r="R585" s="311"/>
      <c r="S585" s="338"/>
    </row>
    <row r="586" spans="2:19" ht="13.5" thickBot="1" x14ac:dyDescent="0.25">
      <c r="B586" s="314"/>
      <c r="C586" s="316"/>
      <c r="D586" s="316"/>
      <c r="E586" s="319"/>
      <c r="F586" s="316"/>
      <c r="G586" s="316"/>
      <c r="H586" s="321"/>
      <c r="I586" s="312"/>
      <c r="J586" s="312"/>
      <c r="K586" s="339"/>
      <c r="L586" s="171"/>
      <c r="M586" s="312"/>
      <c r="N586" s="312"/>
      <c r="O586" s="339"/>
      <c r="P586" s="171"/>
      <c r="Q586" s="312"/>
      <c r="R586" s="312"/>
      <c r="S586" s="339"/>
    </row>
    <row r="587" spans="2:19" ht="16.5" thickTop="1" x14ac:dyDescent="0.2">
      <c r="B587" s="66">
        <v>1</v>
      </c>
      <c r="C587" s="322" t="s">
        <v>299</v>
      </c>
      <c r="D587" s="323"/>
      <c r="E587" s="323"/>
      <c r="F587" s="323"/>
      <c r="G587" s="323"/>
      <c r="H587" s="324"/>
      <c r="I587" s="37">
        <f>I616+I591+I588</f>
        <v>3197641</v>
      </c>
      <c r="J587" s="37">
        <f>J616+J591+J588</f>
        <v>1377171</v>
      </c>
      <c r="K587" s="225">
        <f t="shared" ref="K587:K612" si="64">J587/I587*100</f>
        <v>43.068343194248513</v>
      </c>
      <c r="L587" s="172"/>
      <c r="M587" s="37">
        <f>M616+M591+M588</f>
        <v>3002237</v>
      </c>
      <c r="N587" s="37">
        <f>N616+N591+N588</f>
        <v>609175</v>
      </c>
      <c r="O587" s="225">
        <f t="shared" ref="O587:O649" si="65">N587/M587*100</f>
        <v>20.29070323228979</v>
      </c>
      <c r="P587" s="172"/>
      <c r="Q587" s="37">
        <f t="shared" ref="Q587:Q649" si="66">I587+M587</f>
        <v>6199878</v>
      </c>
      <c r="R587" s="37">
        <f t="shared" ref="R587:R601" si="67">J587+N587</f>
        <v>1986346</v>
      </c>
      <c r="S587" s="244">
        <f t="shared" ref="S587:S649" si="68">R587/Q587*100</f>
        <v>32.038469144070255</v>
      </c>
    </row>
    <row r="588" spans="2:19" ht="15" x14ac:dyDescent="0.2">
      <c r="B588" s="67">
        <f t="shared" ref="B588:B651" si="69">B587+1</f>
        <v>2</v>
      </c>
      <c r="C588" s="166">
        <v>1</v>
      </c>
      <c r="D588" s="325" t="s">
        <v>29</v>
      </c>
      <c r="E588" s="326"/>
      <c r="F588" s="326"/>
      <c r="G588" s="326"/>
      <c r="H588" s="327"/>
      <c r="I588" s="38">
        <f>I589</f>
        <v>2010541</v>
      </c>
      <c r="J588" s="38">
        <f>J589</f>
        <v>1003890</v>
      </c>
      <c r="K588" s="225">
        <f t="shared" si="64"/>
        <v>49.931336888926907</v>
      </c>
      <c r="L588" s="173"/>
      <c r="M588" s="38">
        <f>M589</f>
        <v>0</v>
      </c>
      <c r="N588" s="38">
        <f>N589</f>
        <v>0</v>
      </c>
      <c r="O588" s="225"/>
      <c r="P588" s="173"/>
      <c r="Q588" s="38">
        <f t="shared" si="66"/>
        <v>2010541</v>
      </c>
      <c r="R588" s="38">
        <f t="shared" si="67"/>
        <v>1003890</v>
      </c>
      <c r="S588" s="244">
        <f t="shared" si="68"/>
        <v>49.931336888926907</v>
      </c>
    </row>
    <row r="589" spans="2:19" x14ac:dyDescent="0.2">
      <c r="B589" s="67">
        <f t="shared" si="69"/>
        <v>3</v>
      </c>
      <c r="C589" s="11"/>
      <c r="D589" s="11"/>
      <c r="E589" s="11"/>
      <c r="F589" s="45" t="s">
        <v>5</v>
      </c>
      <c r="G589" s="11">
        <v>630</v>
      </c>
      <c r="H589" s="11" t="s">
        <v>127</v>
      </c>
      <c r="I589" s="42">
        <f>I590</f>
        <v>2010541</v>
      </c>
      <c r="J589" s="42">
        <f>J590</f>
        <v>1003890</v>
      </c>
      <c r="K589" s="225">
        <f t="shared" si="64"/>
        <v>49.931336888926907</v>
      </c>
      <c r="L589" s="114"/>
      <c r="M589" s="42">
        <f>M590</f>
        <v>0</v>
      </c>
      <c r="N589" s="42">
        <f>N590</f>
        <v>0</v>
      </c>
      <c r="O589" s="225"/>
      <c r="P589" s="114"/>
      <c r="Q589" s="42">
        <f t="shared" si="66"/>
        <v>2010541</v>
      </c>
      <c r="R589" s="42">
        <f t="shared" si="67"/>
        <v>1003890</v>
      </c>
      <c r="S589" s="244">
        <f t="shared" si="68"/>
        <v>49.931336888926907</v>
      </c>
    </row>
    <row r="590" spans="2:19" x14ac:dyDescent="0.2">
      <c r="B590" s="67">
        <f t="shared" si="69"/>
        <v>4</v>
      </c>
      <c r="C590" s="2"/>
      <c r="D590" s="2"/>
      <c r="E590" s="2"/>
      <c r="F590" s="46" t="s">
        <v>5</v>
      </c>
      <c r="G590" s="2">
        <v>637</v>
      </c>
      <c r="H590" s="2" t="s">
        <v>128</v>
      </c>
      <c r="I590" s="22">
        <f>1905000+105541</f>
        <v>2010541</v>
      </c>
      <c r="J590" s="22">
        <v>1003890</v>
      </c>
      <c r="K590" s="225">
        <f t="shared" si="64"/>
        <v>49.931336888926907</v>
      </c>
      <c r="L590" s="68"/>
      <c r="M590" s="22"/>
      <c r="N590" s="22"/>
      <c r="O590" s="225"/>
      <c r="P590" s="68"/>
      <c r="Q590" s="22">
        <f t="shared" si="66"/>
        <v>2010541</v>
      </c>
      <c r="R590" s="22">
        <f t="shared" si="67"/>
        <v>1003890</v>
      </c>
      <c r="S590" s="244">
        <f t="shared" si="68"/>
        <v>49.931336888926907</v>
      </c>
    </row>
    <row r="591" spans="2:19" ht="15" x14ac:dyDescent="0.2">
      <c r="B591" s="67">
        <f t="shared" si="69"/>
        <v>5</v>
      </c>
      <c r="C591" s="166">
        <v>2</v>
      </c>
      <c r="D591" s="325" t="s">
        <v>6</v>
      </c>
      <c r="E591" s="326"/>
      <c r="F591" s="326"/>
      <c r="G591" s="326"/>
      <c r="H591" s="327"/>
      <c r="I591" s="38">
        <f>I592+I604+I603</f>
        <v>1187100</v>
      </c>
      <c r="J591" s="38">
        <f>J592+J604+J603</f>
        <v>373281</v>
      </c>
      <c r="K591" s="225">
        <f t="shared" si="64"/>
        <v>31.444781400050541</v>
      </c>
      <c r="L591" s="173"/>
      <c r="M591" s="38">
        <f>M592+M604</f>
        <v>105000</v>
      </c>
      <c r="N591" s="38">
        <f>N592+N604</f>
        <v>104988</v>
      </c>
      <c r="O591" s="225">
        <f t="shared" si="65"/>
        <v>99.988571428571433</v>
      </c>
      <c r="P591" s="173"/>
      <c r="Q591" s="38">
        <f t="shared" si="66"/>
        <v>1292100</v>
      </c>
      <c r="R591" s="38">
        <f t="shared" si="67"/>
        <v>478269</v>
      </c>
      <c r="S591" s="244">
        <f t="shared" si="68"/>
        <v>37.014859530996056</v>
      </c>
    </row>
    <row r="592" spans="2:19" x14ac:dyDescent="0.2">
      <c r="B592" s="67">
        <f t="shared" si="69"/>
        <v>6</v>
      </c>
      <c r="C592" s="11"/>
      <c r="D592" s="11"/>
      <c r="E592" s="11"/>
      <c r="F592" s="45" t="s">
        <v>5</v>
      </c>
      <c r="G592" s="11">
        <v>630</v>
      </c>
      <c r="H592" s="11" t="s">
        <v>127</v>
      </c>
      <c r="I592" s="42">
        <f>I601+I593+I599+I602+I600</f>
        <v>1099000</v>
      </c>
      <c r="J592" s="42">
        <f>J601+J593+J599+J602+J600</f>
        <v>355651</v>
      </c>
      <c r="K592" s="225">
        <f t="shared" si="64"/>
        <v>32.361328480436761</v>
      </c>
      <c r="L592" s="114"/>
      <c r="M592" s="42">
        <f>M601+M593</f>
        <v>0</v>
      </c>
      <c r="N592" s="42">
        <f>N601+N593</f>
        <v>0</v>
      </c>
      <c r="O592" s="225"/>
      <c r="P592" s="114"/>
      <c r="Q592" s="42">
        <f t="shared" si="66"/>
        <v>1099000</v>
      </c>
      <c r="R592" s="42">
        <f t="shared" si="67"/>
        <v>355651</v>
      </c>
      <c r="S592" s="244">
        <f t="shared" si="68"/>
        <v>32.361328480436761</v>
      </c>
    </row>
    <row r="593" spans="2:19" x14ac:dyDescent="0.2">
      <c r="B593" s="67">
        <f t="shared" si="69"/>
        <v>7</v>
      </c>
      <c r="C593" s="2"/>
      <c r="D593" s="2"/>
      <c r="E593" s="2"/>
      <c r="F593" s="46" t="s">
        <v>5</v>
      </c>
      <c r="G593" s="2">
        <v>635</v>
      </c>
      <c r="H593" s="2" t="s">
        <v>137</v>
      </c>
      <c r="I593" s="22">
        <f>I594+I595+I596+I597+I598</f>
        <v>1080000</v>
      </c>
      <c r="J593" s="22">
        <f>J594+J595+J596+J597+J598</f>
        <v>355557</v>
      </c>
      <c r="K593" s="225">
        <f t="shared" si="64"/>
        <v>32.921944444444442</v>
      </c>
      <c r="L593" s="68"/>
      <c r="M593" s="22"/>
      <c r="N593" s="22"/>
      <c r="O593" s="225"/>
      <c r="P593" s="68"/>
      <c r="Q593" s="22">
        <f t="shared" si="66"/>
        <v>1080000</v>
      </c>
      <c r="R593" s="22">
        <f t="shared" si="67"/>
        <v>355557</v>
      </c>
      <c r="S593" s="244">
        <f t="shared" si="68"/>
        <v>32.921944444444442</v>
      </c>
    </row>
    <row r="594" spans="2:19" x14ac:dyDescent="0.2">
      <c r="B594" s="67">
        <f t="shared" si="69"/>
        <v>8</v>
      </c>
      <c r="C594" s="2"/>
      <c r="D594" s="2"/>
      <c r="E594" s="2"/>
      <c r="F594" s="46"/>
      <c r="G594" s="2"/>
      <c r="H594" s="2" t="s">
        <v>483</v>
      </c>
      <c r="I594" s="22">
        <v>380000</v>
      </c>
      <c r="J594" s="22">
        <v>57098</v>
      </c>
      <c r="K594" s="225">
        <f t="shared" si="64"/>
        <v>15.025789473684211</v>
      </c>
      <c r="L594" s="68"/>
      <c r="M594" s="22"/>
      <c r="N594" s="22"/>
      <c r="O594" s="225"/>
      <c r="P594" s="68"/>
      <c r="Q594" s="22">
        <f t="shared" si="66"/>
        <v>380000</v>
      </c>
      <c r="R594" s="22">
        <f t="shared" si="67"/>
        <v>57098</v>
      </c>
      <c r="S594" s="244">
        <f t="shared" si="68"/>
        <v>15.025789473684211</v>
      </c>
    </row>
    <row r="595" spans="2:19" x14ac:dyDescent="0.2">
      <c r="B595" s="67">
        <f t="shared" si="69"/>
        <v>9</v>
      </c>
      <c r="C595" s="2"/>
      <c r="D595" s="2"/>
      <c r="E595" s="2"/>
      <c r="F595" s="46"/>
      <c r="G595" s="2"/>
      <c r="H595" s="2" t="s">
        <v>484</v>
      </c>
      <c r="I595" s="22">
        <v>220000</v>
      </c>
      <c r="J595" s="22">
        <v>136177</v>
      </c>
      <c r="K595" s="225">
        <f t="shared" si="64"/>
        <v>61.898636363636363</v>
      </c>
      <c r="L595" s="68"/>
      <c r="M595" s="22"/>
      <c r="N595" s="22"/>
      <c r="O595" s="225"/>
      <c r="P595" s="68"/>
      <c r="Q595" s="22">
        <f t="shared" si="66"/>
        <v>220000</v>
      </c>
      <c r="R595" s="22">
        <f t="shared" si="67"/>
        <v>136177</v>
      </c>
      <c r="S595" s="244">
        <f t="shared" si="68"/>
        <v>61.898636363636363</v>
      </c>
    </row>
    <row r="596" spans="2:19" x14ac:dyDescent="0.2">
      <c r="B596" s="67">
        <f t="shared" si="69"/>
        <v>10</v>
      </c>
      <c r="C596" s="2"/>
      <c r="D596" s="2"/>
      <c r="E596" s="2"/>
      <c r="F596" s="46"/>
      <c r="G596" s="2"/>
      <c r="H596" s="2" t="s">
        <v>485</v>
      </c>
      <c r="I596" s="22">
        <f>250000-85000</f>
        <v>165000</v>
      </c>
      <c r="J596" s="22">
        <v>162282</v>
      </c>
      <c r="K596" s="225">
        <f t="shared" si="64"/>
        <v>98.352727272727265</v>
      </c>
      <c r="L596" s="68"/>
      <c r="M596" s="22"/>
      <c r="N596" s="22"/>
      <c r="O596" s="225"/>
      <c r="P596" s="68"/>
      <c r="Q596" s="22">
        <f t="shared" si="66"/>
        <v>165000</v>
      </c>
      <c r="R596" s="22">
        <f t="shared" si="67"/>
        <v>162282</v>
      </c>
      <c r="S596" s="244">
        <f t="shared" si="68"/>
        <v>98.352727272727265</v>
      </c>
    </row>
    <row r="597" spans="2:19" x14ac:dyDescent="0.2">
      <c r="B597" s="67">
        <f t="shared" si="69"/>
        <v>11</v>
      </c>
      <c r="C597" s="2"/>
      <c r="D597" s="2"/>
      <c r="E597" s="2"/>
      <c r="F597" s="46"/>
      <c r="G597" s="2"/>
      <c r="H597" s="148" t="s">
        <v>605</v>
      </c>
      <c r="I597" s="149">
        <v>280000</v>
      </c>
      <c r="J597" s="149">
        <v>0</v>
      </c>
      <c r="K597" s="225">
        <f t="shared" si="64"/>
        <v>0</v>
      </c>
      <c r="L597" s="149"/>
      <c r="M597" s="149"/>
      <c r="N597" s="149"/>
      <c r="O597" s="225"/>
      <c r="P597" s="149"/>
      <c r="Q597" s="149">
        <f t="shared" si="66"/>
        <v>280000</v>
      </c>
      <c r="R597" s="149">
        <f t="shared" si="67"/>
        <v>0</v>
      </c>
      <c r="S597" s="244">
        <f t="shared" si="68"/>
        <v>0</v>
      </c>
    </row>
    <row r="598" spans="2:19" x14ac:dyDescent="0.2">
      <c r="B598" s="67">
        <f t="shared" si="69"/>
        <v>12</v>
      </c>
      <c r="C598" s="2"/>
      <c r="D598" s="2"/>
      <c r="E598" s="2"/>
      <c r="F598" s="46"/>
      <c r="G598" s="2"/>
      <c r="H598" s="148" t="s">
        <v>606</v>
      </c>
      <c r="I598" s="149">
        <v>35000</v>
      </c>
      <c r="J598" s="149">
        <v>0</v>
      </c>
      <c r="K598" s="225">
        <f t="shared" si="64"/>
        <v>0</v>
      </c>
      <c r="L598" s="149"/>
      <c r="M598" s="149"/>
      <c r="N598" s="149"/>
      <c r="O598" s="225"/>
      <c r="P598" s="149"/>
      <c r="Q598" s="149">
        <f t="shared" si="66"/>
        <v>35000</v>
      </c>
      <c r="R598" s="149">
        <f t="shared" si="67"/>
        <v>0</v>
      </c>
      <c r="S598" s="244">
        <f t="shared" si="68"/>
        <v>0</v>
      </c>
    </row>
    <row r="599" spans="2:19" x14ac:dyDescent="0.2">
      <c r="B599" s="67">
        <f t="shared" si="69"/>
        <v>13</v>
      </c>
      <c r="C599" s="2"/>
      <c r="D599" s="2"/>
      <c r="E599" s="2"/>
      <c r="F599" s="130" t="s">
        <v>5</v>
      </c>
      <c r="G599" s="131">
        <v>635</v>
      </c>
      <c r="H599" s="131" t="s">
        <v>562</v>
      </c>
      <c r="I599" s="129">
        <v>10000</v>
      </c>
      <c r="J599" s="129">
        <v>0</v>
      </c>
      <c r="K599" s="225">
        <f t="shared" si="64"/>
        <v>0</v>
      </c>
      <c r="L599" s="68"/>
      <c r="M599" s="129"/>
      <c r="N599" s="129"/>
      <c r="O599" s="225"/>
      <c r="P599" s="68"/>
      <c r="Q599" s="129">
        <f t="shared" si="66"/>
        <v>10000</v>
      </c>
      <c r="R599" s="129">
        <f t="shared" si="67"/>
        <v>0</v>
      </c>
      <c r="S599" s="244">
        <f t="shared" si="68"/>
        <v>0</v>
      </c>
    </row>
    <row r="600" spans="2:19" x14ac:dyDescent="0.2">
      <c r="B600" s="67"/>
      <c r="C600" s="2"/>
      <c r="D600" s="2"/>
      <c r="E600" s="2"/>
      <c r="F600" s="100" t="s">
        <v>5</v>
      </c>
      <c r="G600" s="99">
        <v>635</v>
      </c>
      <c r="H600" s="99" t="s">
        <v>672</v>
      </c>
      <c r="I600" s="68">
        <v>2000</v>
      </c>
      <c r="J600" s="68">
        <v>0</v>
      </c>
      <c r="K600" s="225">
        <f t="shared" si="64"/>
        <v>0</v>
      </c>
      <c r="L600" s="68"/>
      <c r="M600" s="68"/>
      <c r="N600" s="68"/>
      <c r="O600" s="225"/>
      <c r="P600" s="68"/>
      <c r="Q600" s="68">
        <f t="shared" si="66"/>
        <v>2000</v>
      </c>
      <c r="R600" s="68">
        <f t="shared" si="67"/>
        <v>0</v>
      </c>
      <c r="S600" s="244">
        <f t="shared" si="68"/>
        <v>0</v>
      </c>
    </row>
    <row r="601" spans="2:19" x14ac:dyDescent="0.2">
      <c r="B601" s="67">
        <f>B599+1</f>
        <v>14</v>
      </c>
      <c r="C601" s="2"/>
      <c r="D601" s="2"/>
      <c r="E601" s="2"/>
      <c r="F601" s="46" t="s">
        <v>5</v>
      </c>
      <c r="G601" s="2">
        <v>637</v>
      </c>
      <c r="H601" s="2" t="s">
        <v>128</v>
      </c>
      <c r="I601" s="22">
        <v>2000</v>
      </c>
      <c r="J601" s="22">
        <v>94</v>
      </c>
      <c r="K601" s="225">
        <f t="shared" si="64"/>
        <v>4.7</v>
      </c>
      <c r="L601" s="68"/>
      <c r="M601" s="22"/>
      <c r="N601" s="22"/>
      <c r="O601" s="225"/>
      <c r="P601" s="68"/>
      <c r="Q601" s="22">
        <f t="shared" si="66"/>
        <v>2000</v>
      </c>
      <c r="R601" s="22">
        <f t="shared" si="67"/>
        <v>94</v>
      </c>
      <c r="S601" s="244">
        <f t="shared" si="68"/>
        <v>4.7</v>
      </c>
    </row>
    <row r="602" spans="2:19" x14ac:dyDescent="0.2">
      <c r="B602" s="67">
        <f t="shared" si="69"/>
        <v>15</v>
      </c>
      <c r="C602" s="2"/>
      <c r="D602" s="2"/>
      <c r="E602" s="2"/>
      <c r="F602" s="46" t="s">
        <v>5</v>
      </c>
      <c r="G602" s="2">
        <v>637</v>
      </c>
      <c r="H602" s="2" t="s">
        <v>666</v>
      </c>
      <c r="I602" s="22">
        <v>5000</v>
      </c>
      <c r="J602" s="22">
        <v>0</v>
      </c>
      <c r="K602" s="225">
        <f t="shared" si="64"/>
        <v>0</v>
      </c>
      <c r="L602" s="68"/>
      <c r="M602" s="22"/>
      <c r="N602" s="22"/>
      <c r="O602" s="225"/>
      <c r="P602" s="68"/>
      <c r="Q602" s="22">
        <f t="shared" ref="Q602" si="70">I602+M602</f>
        <v>5000</v>
      </c>
      <c r="R602" s="22">
        <f t="shared" ref="R602" si="71">J602+N602</f>
        <v>0</v>
      </c>
      <c r="S602" s="244">
        <f t="shared" si="68"/>
        <v>0</v>
      </c>
    </row>
    <row r="603" spans="2:19" x14ac:dyDescent="0.2">
      <c r="B603" s="67">
        <f t="shared" si="69"/>
        <v>16</v>
      </c>
      <c r="C603" s="2"/>
      <c r="D603" s="2"/>
      <c r="E603" s="2"/>
      <c r="F603" s="45" t="s">
        <v>5</v>
      </c>
      <c r="G603" s="11">
        <v>630</v>
      </c>
      <c r="H603" s="119" t="s">
        <v>538</v>
      </c>
      <c r="I603" s="120">
        <v>400</v>
      </c>
      <c r="J603" s="120">
        <v>0</v>
      </c>
      <c r="K603" s="225">
        <f t="shared" si="64"/>
        <v>0</v>
      </c>
      <c r="L603" s="114"/>
      <c r="M603" s="120"/>
      <c r="N603" s="120"/>
      <c r="O603" s="225"/>
      <c r="P603" s="114"/>
      <c r="Q603" s="120">
        <f t="shared" ref="Q603" si="72">I603+M603</f>
        <v>400</v>
      </c>
      <c r="R603" s="120">
        <f t="shared" ref="R603:R616" si="73">J603+N603</f>
        <v>0</v>
      </c>
      <c r="S603" s="244">
        <f t="shared" si="68"/>
        <v>0</v>
      </c>
    </row>
    <row r="604" spans="2:19" ht="15" x14ac:dyDescent="0.25">
      <c r="B604" s="67">
        <f>B603+1</f>
        <v>17</v>
      </c>
      <c r="C604" s="14"/>
      <c r="D604" s="14"/>
      <c r="E604" s="14">
        <v>2</v>
      </c>
      <c r="F604" s="43"/>
      <c r="G604" s="14"/>
      <c r="H604" s="14" t="s">
        <v>255</v>
      </c>
      <c r="I604" s="40">
        <f>I605+I606+I607+I613+I612</f>
        <v>87700</v>
      </c>
      <c r="J604" s="40">
        <f>J605+J606+J607+J613+J612</f>
        <v>17630</v>
      </c>
      <c r="K604" s="225">
        <f t="shared" si="64"/>
        <v>20.102622576966933</v>
      </c>
      <c r="L604" s="175"/>
      <c r="M604" s="40">
        <f>M605+M606+M607+M613</f>
        <v>105000</v>
      </c>
      <c r="N604" s="40">
        <f>N605+N606+N607+N613</f>
        <v>104988</v>
      </c>
      <c r="O604" s="225">
        <f t="shared" si="65"/>
        <v>99.988571428571433</v>
      </c>
      <c r="P604" s="175"/>
      <c r="Q604" s="40">
        <f t="shared" si="66"/>
        <v>192700</v>
      </c>
      <c r="R604" s="40">
        <f t="shared" si="73"/>
        <v>122618</v>
      </c>
      <c r="S604" s="244">
        <f t="shared" si="68"/>
        <v>63.631551634665286</v>
      </c>
    </row>
    <row r="605" spans="2:19" x14ac:dyDescent="0.2">
      <c r="B605" s="67">
        <f t="shared" si="69"/>
        <v>18</v>
      </c>
      <c r="C605" s="11"/>
      <c r="D605" s="11"/>
      <c r="E605" s="11"/>
      <c r="F605" s="45" t="s">
        <v>5</v>
      </c>
      <c r="G605" s="11">
        <v>610</v>
      </c>
      <c r="H605" s="11" t="s">
        <v>135</v>
      </c>
      <c r="I605" s="42">
        <v>19900</v>
      </c>
      <c r="J605" s="42">
        <v>9896</v>
      </c>
      <c r="K605" s="225">
        <f t="shared" si="64"/>
        <v>49.728643216080407</v>
      </c>
      <c r="L605" s="114"/>
      <c r="M605" s="42"/>
      <c r="N605" s="42"/>
      <c r="O605" s="225"/>
      <c r="P605" s="114"/>
      <c r="Q605" s="42">
        <f t="shared" si="66"/>
        <v>19900</v>
      </c>
      <c r="R605" s="42">
        <f t="shared" si="73"/>
        <v>9896</v>
      </c>
      <c r="S605" s="244">
        <f t="shared" si="68"/>
        <v>49.728643216080407</v>
      </c>
    </row>
    <row r="606" spans="2:19" x14ac:dyDescent="0.2">
      <c r="B606" s="67">
        <f t="shared" si="69"/>
        <v>19</v>
      </c>
      <c r="C606" s="11"/>
      <c r="D606" s="11"/>
      <c r="E606" s="11"/>
      <c r="F606" s="45" t="s">
        <v>5</v>
      </c>
      <c r="G606" s="11">
        <v>620</v>
      </c>
      <c r="H606" s="11" t="s">
        <v>130</v>
      </c>
      <c r="I606" s="42">
        <v>10900</v>
      </c>
      <c r="J606" s="42">
        <v>3554</v>
      </c>
      <c r="K606" s="225">
        <f t="shared" si="64"/>
        <v>32.605504587155963</v>
      </c>
      <c r="L606" s="114"/>
      <c r="M606" s="42"/>
      <c r="N606" s="42"/>
      <c r="O606" s="225"/>
      <c r="P606" s="114"/>
      <c r="Q606" s="42">
        <f t="shared" si="66"/>
        <v>10900</v>
      </c>
      <c r="R606" s="42">
        <f t="shared" si="73"/>
        <v>3554</v>
      </c>
      <c r="S606" s="244">
        <f t="shared" si="68"/>
        <v>32.605504587155963</v>
      </c>
    </row>
    <row r="607" spans="2:19" x14ac:dyDescent="0.2">
      <c r="B607" s="67">
        <f t="shared" si="69"/>
        <v>20</v>
      </c>
      <c r="C607" s="11"/>
      <c r="D607" s="11"/>
      <c r="E607" s="11"/>
      <c r="F607" s="45" t="s">
        <v>5</v>
      </c>
      <c r="G607" s="11">
        <v>630</v>
      </c>
      <c r="H607" s="11" t="s">
        <v>127</v>
      </c>
      <c r="I607" s="42">
        <f>I611+I610+I609+I608</f>
        <v>56800</v>
      </c>
      <c r="J607" s="42">
        <f>J611+J610+J609+J608</f>
        <v>4180</v>
      </c>
      <c r="K607" s="225">
        <f t="shared" si="64"/>
        <v>7.359154929577465</v>
      </c>
      <c r="L607" s="114"/>
      <c r="M607" s="42">
        <f>M611+M610+M609+M608</f>
        <v>0</v>
      </c>
      <c r="N607" s="42">
        <f>N611+N610+N609+N608</f>
        <v>0</v>
      </c>
      <c r="O607" s="225"/>
      <c r="P607" s="114"/>
      <c r="Q607" s="42">
        <f t="shared" si="66"/>
        <v>56800</v>
      </c>
      <c r="R607" s="42">
        <f t="shared" si="73"/>
        <v>4180</v>
      </c>
      <c r="S607" s="244">
        <f t="shared" si="68"/>
        <v>7.359154929577465</v>
      </c>
    </row>
    <row r="608" spans="2:19" x14ac:dyDescent="0.2">
      <c r="B608" s="67">
        <f t="shared" si="69"/>
        <v>21</v>
      </c>
      <c r="C608" s="2"/>
      <c r="D608" s="2"/>
      <c r="E608" s="2"/>
      <c r="F608" s="46" t="s">
        <v>5</v>
      </c>
      <c r="G608" s="2">
        <v>633</v>
      </c>
      <c r="H608" s="2" t="s">
        <v>131</v>
      </c>
      <c r="I608" s="22">
        <v>35200</v>
      </c>
      <c r="J608" s="22">
        <v>945</v>
      </c>
      <c r="K608" s="225">
        <f t="shared" si="64"/>
        <v>2.6846590909090908</v>
      </c>
      <c r="L608" s="68"/>
      <c r="M608" s="22"/>
      <c r="N608" s="22"/>
      <c r="O608" s="225"/>
      <c r="P608" s="68"/>
      <c r="Q608" s="22">
        <f t="shared" si="66"/>
        <v>35200</v>
      </c>
      <c r="R608" s="22">
        <f t="shared" si="73"/>
        <v>945</v>
      </c>
      <c r="S608" s="244">
        <f t="shared" si="68"/>
        <v>2.6846590909090908</v>
      </c>
    </row>
    <row r="609" spans="2:19" x14ac:dyDescent="0.2">
      <c r="B609" s="67">
        <f t="shared" si="69"/>
        <v>22</v>
      </c>
      <c r="C609" s="2"/>
      <c r="D609" s="2"/>
      <c r="E609" s="2"/>
      <c r="F609" s="46" t="s">
        <v>5</v>
      </c>
      <c r="G609" s="2">
        <v>634</v>
      </c>
      <c r="H609" s="2" t="s">
        <v>136</v>
      </c>
      <c r="I609" s="22">
        <v>8000</v>
      </c>
      <c r="J609" s="22">
        <v>2366</v>
      </c>
      <c r="K609" s="225">
        <f t="shared" si="64"/>
        <v>29.575000000000003</v>
      </c>
      <c r="L609" s="68"/>
      <c r="M609" s="22"/>
      <c r="N609" s="22"/>
      <c r="O609" s="225"/>
      <c r="P609" s="68"/>
      <c r="Q609" s="22">
        <f t="shared" si="66"/>
        <v>8000</v>
      </c>
      <c r="R609" s="22">
        <f t="shared" si="73"/>
        <v>2366</v>
      </c>
      <c r="S609" s="244">
        <f t="shared" si="68"/>
        <v>29.575000000000003</v>
      </c>
    </row>
    <row r="610" spans="2:19" x14ac:dyDescent="0.2">
      <c r="B610" s="67">
        <f t="shared" si="69"/>
        <v>23</v>
      </c>
      <c r="C610" s="2"/>
      <c r="D610" s="2"/>
      <c r="E610" s="2"/>
      <c r="F610" s="46" t="s">
        <v>5</v>
      </c>
      <c r="G610" s="2">
        <v>635</v>
      </c>
      <c r="H610" s="2" t="s">
        <v>137</v>
      </c>
      <c r="I610" s="22">
        <v>500</v>
      </c>
      <c r="J610" s="22">
        <v>0</v>
      </c>
      <c r="K610" s="225">
        <f t="shared" si="64"/>
        <v>0</v>
      </c>
      <c r="L610" s="68"/>
      <c r="M610" s="22"/>
      <c r="N610" s="22"/>
      <c r="O610" s="225"/>
      <c r="P610" s="68"/>
      <c r="Q610" s="22">
        <f t="shared" si="66"/>
        <v>500</v>
      </c>
      <c r="R610" s="22">
        <f t="shared" si="73"/>
        <v>0</v>
      </c>
      <c r="S610" s="244">
        <f t="shared" si="68"/>
        <v>0</v>
      </c>
    </row>
    <row r="611" spans="2:19" x14ac:dyDescent="0.2">
      <c r="B611" s="67">
        <f t="shared" si="69"/>
        <v>24</v>
      </c>
      <c r="C611" s="2"/>
      <c r="D611" s="2"/>
      <c r="E611" s="2"/>
      <c r="F611" s="46" t="s">
        <v>5</v>
      </c>
      <c r="G611" s="2">
        <v>637</v>
      </c>
      <c r="H611" s="2" t="s">
        <v>128</v>
      </c>
      <c r="I611" s="22">
        <f>13200-100</f>
        <v>13100</v>
      </c>
      <c r="J611" s="22">
        <v>869</v>
      </c>
      <c r="K611" s="225">
        <f t="shared" si="64"/>
        <v>6.6335877862595414</v>
      </c>
      <c r="L611" s="68"/>
      <c r="M611" s="22"/>
      <c r="N611" s="22"/>
      <c r="O611" s="225"/>
      <c r="P611" s="68"/>
      <c r="Q611" s="22">
        <f t="shared" si="66"/>
        <v>13100</v>
      </c>
      <c r="R611" s="22">
        <f t="shared" si="73"/>
        <v>869</v>
      </c>
      <c r="S611" s="244">
        <f t="shared" si="68"/>
        <v>6.6335877862595414</v>
      </c>
    </row>
    <row r="612" spans="2:19" x14ac:dyDescent="0.2">
      <c r="B612" s="67">
        <f t="shared" si="69"/>
        <v>25</v>
      </c>
      <c r="C612" s="2"/>
      <c r="D612" s="2"/>
      <c r="E612" s="2"/>
      <c r="F612" s="94" t="s">
        <v>5</v>
      </c>
      <c r="G612" s="1">
        <v>640</v>
      </c>
      <c r="H612" s="1" t="s">
        <v>657</v>
      </c>
      <c r="I612" s="21">
        <v>100</v>
      </c>
      <c r="J612" s="21"/>
      <c r="K612" s="225">
        <f t="shared" si="64"/>
        <v>0</v>
      </c>
      <c r="L612" s="114"/>
      <c r="M612" s="21"/>
      <c r="N612" s="21"/>
      <c r="O612" s="225"/>
      <c r="P612" s="114"/>
      <c r="Q612" s="21">
        <f t="shared" si="66"/>
        <v>100</v>
      </c>
      <c r="R612" s="21">
        <f t="shared" si="73"/>
        <v>0</v>
      </c>
      <c r="S612" s="244">
        <f t="shared" si="68"/>
        <v>0</v>
      </c>
    </row>
    <row r="613" spans="2:19" x14ac:dyDescent="0.2">
      <c r="B613" s="67">
        <f t="shared" si="69"/>
        <v>26</v>
      </c>
      <c r="C613" s="11"/>
      <c r="D613" s="11"/>
      <c r="E613" s="11"/>
      <c r="F613" s="45" t="s">
        <v>5</v>
      </c>
      <c r="G613" s="11">
        <v>710</v>
      </c>
      <c r="H613" s="11" t="s">
        <v>183</v>
      </c>
      <c r="I613" s="42">
        <f>I614</f>
        <v>0</v>
      </c>
      <c r="J613" s="42">
        <f>J614</f>
        <v>0</v>
      </c>
      <c r="K613" s="225"/>
      <c r="L613" s="114"/>
      <c r="M613" s="42">
        <f>M614</f>
        <v>105000</v>
      </c>
      <c r="N613" s="42">
        <f>N614</f>
        <v>104988</v>
      </c>
      <c r="O613" s="225">
        <f t="shared" si="65"/>
        <v>99.988571428571433</v>
      </c>
      <c r="P613" s="114"/>
      <c r="Q613" s="42">
        <f t="shared" si="66"/>
        <v>105000</v>
      </c>
      <c r="R613" s="42">
        <f t="shared" si="73"/>
        <v>104988</v>
      </c>
      <c r="S613" s="244">
        <f t="shared" si="68"/>
        <v>99.988571428571433</v>
      </c>
    </row>
    <row r="614" spans="2:19" x14ac:dyDescent="0.2">
      <c r="B614" s="67">
        <f t="shared" si="69"/>
        <v>27</v>
      </c>
      <c r="C614" s="2"/>
      <c r="D614" s="2"/>
      <c r="E614" s="2"/>
      <c r="F614" s="77" t="s">
        <v>5</v>
      </c>
      <c r="G614" s="78">
        <v>714</v>
      </c>
      <c r="H614" s="78" t="s">
        <v>184</v>
      </c>
      <c r="I614" s="79"/>
      <c r="J614" s="79"/>
      <c r="K614" s="225"/>
      <c r="L614" s="68"/>
      <c r="M614" s="79">
        <f>M615</f>
        <v>105000</v>
      </c>
      <c r="N614" s="79">
        <f>N615</f>
        <v>104988</v>
      </c>
      <c r="O614" s="225">
        <f t="shared" si="65"/>
        <v>99.988571428571433</v>
      </c>
      <c r="P614" s="68"/>
      <c r="Q614" s="79">
        <f t="shared" si="66"/>
        <v>105000</v>
      </c>
      <c r="R614" s="79">
        <f t="shared" si="73"/>
        <v>104988</v>
      </c>
      <c r="S614" s="244">
        <f t="shared" si="68"/>
        <v>99.988571428571433</v>
      </c>
    </row>
    <row r="615" spans="2:19" x14ac:dyDescent="0.2">
      <c r="B615" s="67">
        <f t="shared" si="69"/>
        <v>28</v>
      </c>
      <c r="C615" s="2"/>
      <c r="D615" s="2"/>
      <c r="E615" s="2"/>
      <c r="F615" s="46"/>
      <c r="G615" s="2"/>
      <c r="H615" s="2" t="s">
        <v>373</v>
      </c>
      <c r="I615" s="22"/>
      <c r="J615" s="22"/>
      <c r="K615" s="225"/>
      <c r="L615" s="68"/>
      <c r="M615" s="22">
        <v>105000</v>
      </c>
      <c r="N615" s="22">
        <v>104988</v>
      </c>
      <c r="O615" s="225">
        <f t="shared" si="65"/>
        <v>99.988571428571433</v>
      </c>
      <c r="P615" s="68"/>
      <c r="Q615" s="22">
        <f t="shared" si="66"/>
        <v>105000</v>
      </c>
      <c r="R615" s="22">
        <f t="shared" si="73"/>
        <v>104988</v>
      </c>
      <c r="S615" s="244">
        <f t="shared" si="68"/>
        <v>99.988571428571433</v>
      </c>
    </row>
    <row r="616" spans="2:19" ht="15" x14ac:dyDescent="0.2">
      <c r="B616" s="67">
        <f t="shared" si="69"/>
        <v>29</v>
      </c>
      <c r="C616" s="166">
        <v>3</v>
      </c>
      <c r="D616" s="325" t="s">
        <v>10</v>
      </c>
      <c r="E616" s="326"/>
      <c r="F616" s="326"/>
      <c r="G616" s="326"/>
      <c r="H616" s="327"/>
      <c r="I616" s="38">
        <f>I617</f>
        <v>0</v>
      </c>
      <c r="J616" s="38">
        <f>J617</f>
        <v>0</v>
      </c>
      <c r="K616" s="225"/>
      <c r="L616" s="173"/>
      <c r="M616" s="38">
        <f>M617+M697</f>
        <v>2897237</v>
      </c>
      <c r="N616" s="38">
        <f>N617+N697</f>
        <v>504187</v>
      </c>
      <c r="O616" s="225">
        <f t="shared" si="65"/>
        <v>17.402338849048249</v>
      </c>
      <c r="P616" s="173"/>
      <c r="Q616" s="38">
        <f t="shared" si="66"/>
        <v>2897237</v>
      </c>
      <c r="R616" s="38">
        <f t="shared" si="73"/>
        <v>504187</v>
      </c>
      <c r="S616" s="244">
        <f t="shared" si="68"/>
        <v>17.402338849048249</v>
      </c>
    </row>
    <row r="617" spans="2:19" x14ac:dyDescent="0.2">
      <c r="B617" s="67">
        <f t="shared" si="69"/>
        <v>30</v>
      </c>
      <c r="C617" s="11"/>
      <c r="D617" s="11"/>
      <c r="E617" s="11"/>
      <c r="F617" s="45" t="s">
        <v>5</v>
      </c>
      <c r="G617" s="11">
        <v>710</v>
      </c>
      <c r="H617" s="11" t="s">
        <v>183</v>
      </c>
      <c r="I617" s="42">
        <f>I647+I620</f>
        <v>0</v>
      </c>
      <c r="J617" s="42">
        <f>J647+J620</f>
        <v>0</v>
      </c>
      <c r="K617" s="245"/>
      <c r="L617" s="114"/>
      <c r="M617" s="42">
        <f>M647+M620+M618</f>
        <v>2627111</v>
      </c>
      <c r="N617" s="42">
        <f>N647+N620+N618</f>
        <v>289062</v>
      </c>
      <c r="O617" s="225">
        <f t="shared" si="65"/>
        <v>11.00303717657914</v>
      </c>
      <c r="P617" s="114"/>
      <c r="Q617" s="42">
        <f>I617+M617+Q618</f>
        <v>2647111</v>
      </c>
      <c r="R617" s="42">
        <f t="shared" ref="R617" si="74">J617+N617+R618</f>
        <v>289062</v>
      </c>
      <c r="S617" s="244">
        <f t="shared" si="68"/>
        <v>10.919904756544021</v>
      </c>
    </row>
    <row r="618" spans="2:19" x14ac:dyDescent="0.2">
      <c r="B618" s="67">
        <f t="shared" si="69"/>
        <v>31</v>
      </c>
      <c r="C618" s="11"/>
      <c r="D618" s="11"/>
      <c r="E618" s="11"/>
      <c r="F618" s="77" t="s">
        <v>5</v>
      </c>
      <c r="G618" s="78">
        <v>712</v>
      </c>
      <c r="H618" s="78" t="s">
        <v>243</v>
      </c>
      <c r="I618" s="79"/>
      <c r="J618" s="79"/>
      <c r="K618" s="246"/>
      <c r="L618" s="68"/>
      <c r="M618" s="79">
        <f>M619</f>
        <v>20000</v>
      </c>
      <c r="N618" s="79">
        <f>N619</f>
        <v>0</v>
      </c>
      <c r="O618" s="225">
        <f t="shared" si="65"/>
        <v>0</v>
      </c>
      <c r="P618" s="68"/>
      <c r="Q618" s="79">
        <f>Q619</f>
        <v>20000</v>
      </c>
      <c r="R618" s="79">
        <f t="shared" ref="R618" si="75">R619</f>
        <v>0</v>
      </c>
      <c r="S618" s="244">
        <f t="shared" si="68"/>
        <v>0</v>
      </c>
    </row>
    <row r="619" spans="2:19" x14ac:dyDescent="0.2">
      <c r="B619" s="67">
        <f t="shared" si="69"/>
        <v>32</v>
      </c>
      <c r="C619" s="11"/>
      <c r="D619" s="11"/>
      <c r="E619" s="11"/>
      <c r="F619" s="45"/>
      <c r="G619" s="11"/>
      <c r="H619" s="53" t="s">
        <v>603</v>
      </c>
      <c r="I619" s="42"/>
      <c r="J619" s="42"/>
      <c r="K619" s="245"/>
      <c r="L619" s="114"/>
      <c r="M619" s="51">
        <v>20000</v>
      </c>
      <c r="N619" s="51">
        <v>0</v>
      </c>
      <c r="O619" s="225">
        <f t="shared" si="65"/>
        <v>0</v>
      </c>
      <c r="P619" s="68"/>
      <c r="Q619" s="51">
        <f>M619</f>
        <v>20000</v>
      </c>
      <c r="R619" s="51">
        <f t="shared" ref="R619" si="76">N619</f>
        <v>0</v>
      </c>
      <c r="S619" s="244">
        <f t="shared" si="68"/>
        <v>0</v>
      </c>
    </row>
    <row r="620" spans="2:19" x14ac:dyDescent="0.2">
      <c r="B620" s="67">
        <f t="shared" si="69"/>
        <v>33</v>
      </c>
      <c r="C620" s="2"/>
      <c r="D620" s="2"/>
      <c r="E620" s="2"/>
      <c r="F620" s="77" t="s">
        <v>5</v>
      </c>
      <c r="G620" s="78">
        <v>716</v>
      </c>
      <c r="H620" s="78" t="s">
        <v>0</v>
      </c>
      <c r="I620" s="79"/>
      <c r="J620" s="79"/>
      <c r="K620" s="246"/>
      <c r="L620" s="68"/>
      <c r="M620" s="79">
        <f>SUM(M621:M646)</f>
        <v>242196</v>
      </c>
      <c r="N620" s="79">
        <f>SUM(N621:N646)</f>
        <v>81046</v>
      </c>
      <c r="O620" s="225">
        <f t="shared" si="65"/>
        <v>33.462980396042873</v>
      </c>
      <c r="P620" s="68"/>
      <c r="Q620" s="79">
        <f t="shared" si="66"/>
        <v>242196</v>
      </c>
      <c r="R620" s="79">
        <f t="shared" ref="R620:R682" si="77">J620+N620</f>
        <v>81046</v>
      </c>
      <c r="S620" s="244">
        <f t="shared" si="68"/>
        <v>33.462980396042873</v>
      </c>
    </row>
    <row r="621" spans="2:19" x14ac:dyDescent="0.2">
      <c r="B621" s="67">
        <f t="shared" si="69"/>
        <v>34</v>
      </c>
      <c r="C621" s="2"/>
      <c r="D621" s="2"/>
      <c r="E621" s="2"/>
      <c r="F621" s="46"/>
      <c r="G621" s="2"/>
      <c r="H621" s="2" t="s">
        <v>440</v>
      </c>
      <c r="I621" s="22"/>
      <c r="J621" s="22"/>
      <c r="K621" s="246"/>
      <c r="L621" s="68"/>
      <c r="M621" s="22">
        <v>150000</v>
      </c>
      <c r="N621" s="22">
        <v>54600</v>
      </c>
      <c r="O621" s="225">
        <f t="shared" si="65"/>
        <v>36.4</v>
      </c>
      <c r="P621" s="68"/>
      <c r="Q621" s="22">
        <f t="shared" si="66"/>
        <v>150000</v>
      </c>
      <c r="R621" s="22">
        <f t="shared" si="77"/>
        <v>54600</v>
      </c>
      <c r="S621" s="244">
        <f t="shared" si="68"/>
        <v>36.4</v>
      </c>
    </row>
    <row r="622" spans="2:19" x14ac:dyDescent="0.2">
      <c r="B622" s="67">
        <f t="shared" si="69"/>
        <v>35</v>
      </c>
      <c r="C622" s="2"/>
      <c r="D622" s="2"/>
      <c r="E622" s="2"/>
      <c r="F622" s="46"/>
      <c r="G622" s="2"/>
      <c r="H622" s="2" t="s">
        <v>470</v>
      </c>
      <c r="I622" s="22"/>
      <c r="J622" s="22"/>
      <c r="K622" s="246"/>
      <c r="L622" s="68"/>
      <c r="M622" s="22">
        <f>10000+20000</f>
        <v>30000</v>
      </c>
      <c r="N622" s="22">
        <v>0</v>
      </c>
      <c r="O622" s="225">
        <f t="shared" si="65"/>
        <v>0</v>
      </c>
      <c r="P622" s="68"/>
      <c r="Q622" s="22">
        <f t="shared" si="66"/>
        <v>30000</v>
      </c>
      <c r="R622" s="22">
        <f t="shared" si="77"/>
        <v>0</v>
      </c>
      <c r="S622" s="244">
        <f t="shared" si="68"/>
        <v>0</v>
      </c>
    </row>
    <row r="623" spans="2:19" x14ac:dyDescent="0.2">
      <c r="B623" s="67">
        <f t="shared" si="69"/>
        <v>36</v>
      </c>
      <c r="C623" s="2"/>
      <c r="D623" s="2"/>
      <c r="E623" s="2"/>
      <c r="F623" s="46"/>
      <c r="G623" s="2"/>
      <c r="H623" s="2" t="s">
        <v>479</v>
      </c>
      <c r="I623" s="22"/>
      <c r="J623" s="22"/>
      <c r="K623" s="246"/>
      <c r="L623" s="68"/>
      <c r="M623" s="22">
        <v>3500</v>
      </c>
      <c r="N623" s="22">
        <v>0</v>
      </c>
      <c r="O623" s="225">
        <f t="shared" si="65"/>
        <v>0</v>
      </c>
      <c r="P623" s="68"/>
      <c r="Q623" s="22">
        <f t="shared" si="66"/>
        <v>3500</v>
      </c>
      <c r="R623" s="22">
        <f t="shared" si="77"/>
        <v>0</v>
      </c>
      <c r="S623" s="244">
        <f t="shared" si="68"/>
        <v>0</v>
      </c>
    </row>
    <row r="624" spans="2:19" x14ac:dyDescent="0.2">
      <c r="B624" s="67">
        <f t="shared" si="69"/>
        <v>37</v>
      </c>
      <c r="C624" s="2"/>
      <c r="D624" s="2"/>
      <c r="E624" s="2"/>
      <c r="F624" s="46"/>
      <c r="G624" s="2"/>
      <c r="H624" s="2" t="s">
        <v>478</v>
      </c>
      <c r="I624" s="22"/>
      <c r="J624" s="22"/>
      <c r="K624" s="246"/>
      <c r="L624" s="68"/>
      <c r="M624" s="22">
        <v>3000</v>
      </c>
      <c r="N624" s="22">
        <v>800</v>
      </c>
      <c r="O624" s="225">
        <f t="shared" si="65"/>
        <v>26.666666666666668</v>
      </c>
      <c r="P624" s="68"/>
      <c r="Q624" s="22">
        <f t="shared" si="66"/>
        <v>3000</v>
      </c>
      <c r="R624" s="22">
        <f t="shared" si="77"/>
        <v>800</v>
      </c>
      <c r="S624" s="244">
        <f t="shared" si="68"/>
        <v>26.666666666666668</v>
      </c>
    </row>
    <row r="625" spans="1:19" x14ac:dyDescent="0.2">
      <c r="B625" s="67">
        <f t="shared" si="69"/>
        <v>38</v>
      </c>
      <c r="C625" s="2"/>
      <c r="D625" s="2"/>
      <c r="E625" s="2"/>
      <c r="F625" s="46"/>
      <c r="G625" s="2"/>
      <c r="H625" s="2" t="s">
        <v>518</v>
      </c>
      <c r="I625" s="22"/>
      <c r="J625" s="22"/>
      <c r="K625" s="246"/>
      <c r="L625" s="68"/>
      <c r="M625" s="22">
        <v>2000</v>
      </c>
      <c r="N625" s="22">
        <v>0</v>
      </c>
      <c r="O625" s="225">
        <f t="shared" si="65"/>
        <v>0</v>
      </c>
      <c r="P625" s="68"/>
      <c r="Q625" s="22">
        <f t="shared" si="66"/>
        <v>2000</v>
      </c>
      <c r="R625" s="22">
        <f t="shared" si="77"/>
        <v>0</v>
      </c>
      <c r="S625" s="244">
        <f t="shared" si="68"/>
        <v>0</v>
      </c>
    </row>
    <row r="626" spans="1:19" x14ac:dyDescent="0.2">
      <c r="B626" s="67">
        <f t="shared" si="69"/>
        <v>39</v>
      </c>
      <c r="C626" s="2"/>
      <c r="D626" s="2"/>
      <c r="E626" s="2"/>
      <c r="F626" s="46"/>
      <c r="G626" s="2"/>
      <c r="H626" s="2" t="s">
        <v>438</v>
      </c>
      <c r="I626" s="22"/>
      <c r="J626" s="22"/>
      <c r="K626" s="246"/>
      <c r="L626" s="68"/>
      <c r="M626" s="22">
        <v>1100</v>
      </c>
      <c r="N626" s="22">
        <v>400</v>
      </c>
      <c r="O626" s="225">
        <f t="shared" si="65"/>
        <v>36.363636363636367</v>
      </c>
      <c r="P626" s="68"/>
      <c r="Q626" s="22">
        <f t="shared" si="66"/>
        <v>1100</v>
      </c>
      <c r="R626" s="22">
        <f t="shared" si="77"/>
        <v>400</v>
      </c>
      <c r="S626" s="244">
        <f t="shared" si="68"/>
        <v>36.363636363636367</v>
      </c>
    </row>
    <row r="627" spans="1:19" x14ac:dyDescent="0.2">
      <c r="B627" s="67">
        <f t="shared" si="69"/>
        <v>40</v>
      </c>
      <c r="C627" s="2"/>
      <c r="D627" s="2"/>
      <c r="E627" s="2"/>
      <c r="F627" s="46"/>
      <c r="G627" s="2"/>
      <c r="H627" s="2" t="s">
        <v>482</v>
      </c>
      <c r="I627" s="22"/>
      <c r="J627" s="22"/>
      <c r="K627" s="246"/>
      <c r="L627" s="68"/>
      <c r="M627" s="22">
        <v>750</v>
      </c>
      <c r="N627" s="22">
        <v>200</v>
      </c>
      <c r="O627" s="225">
        <f t="shared" si="65"/>
        <v>26.666666666666668</v>
      </c>
      <c r="P627" s="68"/>
      <c r="Q627" s="22">
        <f t="shared" si="66"/>
        <v>750</v>
      </c>
      <c r="R627" s="22">
        <f t="shared" si="77"/>
        <v>200</v>
      </c>
      <c r="S627" s="244">
        <f t="shared" si="68"/>
        <v>26.666666666666668</v>
      </c>
    </row>
    <row r="628" spans="1:19" x14ac:dyDescent="0.2">
      <c r="B628" s="67">
        <f t="shared" si="69"/>
        <v>41</v>
      </c>
      <c r="C628" s="2"/>
      <c r="D628" s="2"/>
      <c r="E628" s="2"/>
      <c r="F628" s="46"/>
      <c r="G628" s="2"/>
      <c r="H628" s="2" t="s">
        <v>636</v>
      </c>
      <c r="I628" s="22"/>
      <c r="J628" s="22"/>
      <c r="K628" s="246"/>
      <c r="L628" s="68"/>
      <c r="M628" s="22">
        <v>250</v>
      </c>
      <c r="N628" s="22">
        <v>250</v>
      </c>
      <c r="O628" s="225">
        <f t="shared" si="65"/>
        <v>100</v>
      </c>
      <c r="P628" s="68"/>
      <c r="Q628" s="22">
        <f t="shared" si="66"/>
        <v>250</v>
      </c>
      <c r="R628" s="22">
        <f t="shared" si="77"/>
        <v>250</v>
      </c>
      <c r="S628" s="244">
        <f t="shared" si="68"/>
        <v>100</v>
      </c>
    </row>
    <row r="629" spans="1:19" s="63" customFormat="1" x14ac:dyDescent="0.2">
      <c r="A629" s="59"/>
      <c r="B629" s="66">
        <f t="shared" si="69"/>
        <v>42</v>
      </c>
      <c r="C629" s="71"/>
      <c r="D629" s="71"/>
      <c r="E629" s="71"/>
      <c r="F629" s="72"/>
      <c r="G629" s="71"/>
      <c r="H629" s="71" t="s">
        <v>645</v>
      </c>
      <c r="I629" s="55"/>
      <c r="J629" s="55"/>
      <c r="K629" s="247"/>
      <c r="L629" s="149"/>
      <c r="M629" s="55">
        <v>6000</v>
      </c>
      <c r="N629" s="55">
        <v>0</v>
      </c>
      <c r="O629" s="225">
        <f t="shared" si="65"/>
        <v>0</v>
      </c>
      <c r="P629" s="149"/>
      <c r="Q629" s="55">
        <f t="shared" si="66"/>
        <v>6000</v>
      </c>
      <c r="R629" s="55">
        <f t="shared" si="77"/>
        <v>0</v>
      </c>
      <c r="S629" s="248">
        <f t="shared" si="68"/>
        <v>0</v>
      </c>
    </row>
    <row r="630" spans="1:19" s="63" customFormat="1" x14ac:dyDescent="0.2">
      <c r="A630" s="59"/>
      <c r="B630" s="66">
        <f t="shared" si="69"/>
        <v>43</v>
      </c>
      <c r="C630" s="71"/>
      <c r="D630" s="71"/>
      <c r="E630" s="71"/>
      <c r="F630" s="72"/>
      <c r="G630" s="71"/>
      <c r="H630" s="138" t="s">
        <v>563</v>
      </c>
      <c r="I630" s="134"/>
      <c r="J630" s="134"/>
      <c r="K630" s="247"/>
      <c r="L630" s="149"/>
      <c r="M630" s="134">
        <v>1000</v>
      </c>
      <c r="N630" s="134">
        <v>0</v>
      </c>
      <c r="O630" s="225">
        <f t="shared" si="65"/>
        <v>0</v>
      </c>
      <c r="P630" s="149"/>
      <c r="Q630" s="134">
        <f t="shared" si="66"/>
        <v>1000</v>
      </c>
      <c r="R630" s="134">
        <f t="shared" si="77"/>
        <v>0</v>
      </c>
      <c r="S630" s="248">
        <f t="shared" si="68"/>
        <v>0</v>
      </c>
    </row>
    <row r="631" spans="1:19" s="63" customFormat="1" ht="24" x14ac:dyDescent="0.2">
      <c r="A631" s="59"/>
      <c r="B631" s="66">
        <f t="shared" si="69"/>
        <v>44</v>
      </c>
      <c r="C631" s="71"/>
      <c r="D631" s="71"/>
      <c r="E631" s="71"/>
      <c r="F631" s="72"/>
      <c r="G631" s="71"/>
      <c r="H631" s="139" t="s">
        <v>564</v>
      </c>
      <c r="I631" s="134"/>
      <c r="J631" s="134"/>
      <c r="K631" s="247"/>
      <c r="L631" s="149"/>
      <c r="M631" s="134">
        <v>1500</v>
      </c>
      <c r="N631" s="134">
        <v>0</v>
      </c>
      <c r="O631" s="225">
        <f t="shared" si="65"/>
        <v>0</v>
      </c>
      <c r="P631" s="149"/>
      <c r="Q631" s="134">
        <f t="shared" si="66"/>
        <v>1500</v>
      </c>
      <c r="R631" s="134">
        <f t="shared" si="77"/>
        <v>0</v>
      </c>
      <c r="S631" s="248">
        <f t="shared" si="68"/>
        <v>0</v>
      </c>
    </row>
    <row r="632" spans="1:19" s="63" customFormat="1" ht="24" x14ac:dyDescent="0.2">
      <c r="A632" s="59"/>
      <c r="B632" s="66">
        <f t="shared" si="69"/>
        <v>45</v>
      </c>
      <c r="C632" s="71"/>
      <c r="D632" s="71"/>
      <c r="E632" s="71"/>
      <c r="F632" s="72"/>
      <c r="G632" s="71"/>
      <c r="H632" s="139" t="s">
        <v>565</v>
      </c>
      <c r="I632" s="134"/>
      <c r="J632" s="134"/>
      <c r="K632" s="247"/>
      <c r="L632" s="149"/>
      <c r="M632" s="134">
        <v>750</v>
      </c>
      <c r="N632" s="134">
        <v>0</v>
      </c>
      <c r="O632" s="225">
        <f t="shared" si="65"/>
        <v>0</v>
      </c>
      <c r="P632" s="149"/>
      <c r="Q632" s="134">
        <f t="shared" si="66"/>
        <v>750</v>
      </c>
      <c r="R632" s="134">
        <f t="shared" si="77"/>
        <v>0</v>
      </c>
      <c r="S632" s="248">
        <f t="shared" si="68"/>
        <v>0</v>
      </c>
    </row>
    <row r="633" spans="1:19" s="63" customFormat="1" x14ac:dyDescent="0.2">
      <c r="A633" s="59"/>
      <c r="B633" s="66">
        <f t="shared" si="69"/>
        <v>46</v>
      </c>
      <c r="C633" s="71"/>
      <c r="D633" s="71"/>
      <c r="E633" s="71"/>
      <c r="F633" s="72"/>
      <c r="G633" s="71"/>
      <c r="H633" s="138" t="s">
        <v>566</v>
      </c>
      <c r="I633" s="134"/>
      <c r="J633" s="134"/>
      <c r="K633" s="247"/>
      <c r="L633" s="149"/>
      <c r="M633" s="134">
        <v>750</v>
      </c>
      <c r="N633" s="134">
        <v>0</v>
      </c>
      <c r="O633" s="225">
        <f t="shared" si="65"/>
        <v>0</v>
      </c>
      <c r="P633" s="149"/>
      <c r="Q633" s="134">
        <f t="shared" si="66"/>
        <v>750</v>
      </c>
      <c r="R633" s="134">
        <f t="shared" si="77"/>
        <v>0</v>
      </c>
      <c r="S633" s="248">
        <f t="shared" si="68"/>
        <v>0</v>
      </c>
    </row>
    <row r="634" spans="1:19" s="63" customFormat="1" x14ac:dyDescent="0.2">
      <c r="A634" s="59"/>
      <c r="B634" s="66">
        <f t="shared" si="69"/>
        <v>47</v>
      </c>
      <c r="C634" s="71"/>
      <c r="D634" s="71"/>
      <c r="E634" s="71"/>
      <c r="F634" s="72"/>
      <c r="G634" s="71"/>
      <c r="H634" s="138" t="s">
        <v>567</v>
      </c>
      <c r="I634" s="134"/>
      <c r="J634" s="134"/>
      <c r="K634" s="247"/>
      <c r="L634" s="149"/>
      <c r="M634" s="134">
        <v>750</v>
      </c>
      <c r="N634" s="134">
        <v>0</v>
      </c>
      <c r="O634" s="225">
        <f t="shared" si="65"/>
        <v>0</v>
      </c>
      <c r="P634" s="149"/>
      <c r="Q634" s="134">
        <f t="shared" si="66"/>
        <v>750</v>
      </c>
      <c r="R634" s="134">
        <f t="shared" si="77"/>
        <v>0</v>
      </c>
      <c r="S634" s="248">
        <f t="shared" si="68"/>
        <v>0</v>
      </c>
    </row>
    <row r="635" spans="1:19" s="63" customFormat="1" ht="24" x14ac:dyDescent="0.2">
      <c r="A635" s="59"/>
      <c r="B635" s="66">
        <f t="shared" si="69"/>
        <v>48</v>
      </c>
      <c r="C635" s="71"/>
      <c r="D635" s="71"/>
      <c r="E635" s="71"/>
      <c r="F635" s="72"/>
      <c r="G635" s="71"/>
      <c r="H635" s="140" t="s">
        <v>557</v>
      </c>
      <c r="I635" s="127"/>
      <c r="J635" s="127"/>
      <c r="K635" s="247"/>
      <c r="L635" s="149"/>
      <c r="M635" s="127">
        <v>4200</v>
      </c>
      <c r="N635" s="127">
        <v>0</v>
      </c>
      <c r="O635" s="225">
        <f t="shared" si="65"/>
        <v>0</v>
      </c>
      <c r="P635" s="149"/>
      <c r="Q635" s="127">
        <f t="shared" si="66"/>
        <v>4200</v>
      </c>
      <c r="R635" s="127">
        <f t="shared" si="77"/>
        <v>0</v>
      </c>
      <c r="S635" s="248">
        <f t="shared" si="68"/>
        <v>0</v>
      </c>
    </row>
    <row r="636" spans="1:19" s="63" customFormat="1" ht="36" x14ac:dyDescent="0.2">
      <c r="A636" s="59"/>
      <c r="B636" s="66">
        <f t="shared" si="69"/>
        <v>49</v>
      </c>
      <c r="C636" s="71"/>
      <c r="D636" s="71"/>
      <c r="E636" s="71"/>
      <c r="F636" s="72"/>
      <c r="G636" s="71"/>
      <c r="H636" s="140" t="s">
        <v>560</v>
      </c>
      <c r="I636" s="127"/>
      <c r="J636" s="127"/>
      <c r="K636" s="247"/>
      <c r="L636" s="149"/>
      <c r="M636" s="127">
        <v>4200</v>
      </c>
      <c r="N636" s="127">
        <v>0</v>
      </c>
      <c r="O636" s="225">
        <f t="shared" si="65"/>
        <v>0</v>
      </c>
      <c r="P636" s="149"/>
      <c r="Q636" s="127">
        <f t="shared" si="66"/>
        <v>4200</v>
      </c>
      <c r="R636" s="127">
        <f t="shared" si="77"/>
        <v>0</v>
      </c>
      <c r="S636" s="248">
        <f t="shared" si="68"/>
        <v>0</v>
      </c>
    </row>
    <row r="637" spans="1:19" s="63" customFormat="1" ht="48" x14ac:dyDescent="0.2">
      <c r="A637" s="59"/>
      <c r="B637" s="66">
        <f t="shared" si="69"/>
        <v>50</v>
      </c>
      <c r="C637" s="71"/>
      <c r="D637" s="71"/>
      <c r="E637" s="71"/>
      <c r="F637" s="72"/>
      <c r="G637" s="71"/>
      <c r="H637" s="73" t="s">
        <v>510</v>
      </c>
      <c r="I637" s="55"/>
      <c r="J637" s="55"/>
      <c r="K637" s="247"/>
      <c r="L637" s="149"/>
      <c r="M637" s="55">
        <v>600</v>
      </c>
      <c r="N637" s="55">
        <v>600</v>
      </c>
      <c r="O637" s="225">
        <f t="shared" si="65"/>
        <v>100</v>
      </c>
      <c r="P637" s="149"/>
      <c r="Q637" s="55">
        <f t="shared" si="66"/>
        <v>600</v>
      </c>
      <c r="R637" s="55">
        <f t="shared" si="77"/>
        <v>600</v>
      </c>
      <c r="S637" s="248">
        <f t="shared" si="68"/>
        <v>100</v>
      </c>
    </row>
    <row r="638" spans="1:19" s="63" customFormat="1" x14ac:dyDescent="0.2">
      <c r="A638" s="59"/>
      <c r="B638" s="66">
        <f t="shared" si="69"/>
        <v>51</v>
      </c>
      <c r="C638" s="71"/>
      <c r="D638" s="71"/>
      <c r="E638" s="71"/>
      <c r="F638" s="72"/>
      <c r="G638" s="71"/>
      <c r="H638" s="71" t="s">
        <v>511</v>
      </c>
      <c r="I638" s="55"/>
      <c r="J638" s="55"/>
      <c r="K638" s="247"/>
      <c r="L638" s="149"/>
      <c r="M638" s="55">
        <v>400</v>
      </c>
      <c r="N638" s="55">
        <v>400</v>
      </c>
      <c r="O638" s="225">
        <f t="shared" si="65"/>
        <v>100</v>
      </c>
      <c r="P638" s="149"/>
      <c r="Q638" s="55">
        <f t="shared" si="66"/>
        <v>400</v>
      </c>
      <c r="R638" s="55">
        <f t="shared" si="77"/>
        <v>400</v>
      </c>
      <c r="S638" s="248">
        <f t="shared" si="68"/>
        <v>100</v>
      </c>
    </row>
    <row r="639" spans="1:19" ht="24" x14ac:dyDescent="0.2">
      <c r="B639" s="67">
        <f t="shared" si="69"/>
        <v>52</v>
      </c>
      <c r="C639" s="71"/>
      <c r="D639" s="71"/>
      <c r="E639" s="71"/>
      <c r="F639" s="72"/>
      <c r="G639" s="71"/>
      <c r="H639" s="141" t="s">
        <v>584</v>
      </c>
      <c r="I639" s="136"/>
      <c r="J639" s="136"/>
      <c r="K639" s="247"/>
      <c r="L639" s="149"/>
      <c r="M639" s="136">
        <v>600</v>
      </c>
      <c r="N639" s="136">
        <v>600</v>
      </c>
      <c r="O639" s="225">
        <f t="shared" si="65"/>
        <v>100</v>
      </c>
      <c r="P639" s="149"/>
      <c r="Q639" s="136">
        <f t="shared" si="66"/>
        <v>600</v>
      </c>
      <c r="R639" s="136">
        <f t="shared" si="77"/>
        <v>600</v>
      </c>
      <c r="S639" s="244">
        <f t="shared" si="68"/>
        <v>100</v>
      </c>
    </row>
    <row r="640" spans="1:19" x14ac:dyDescent="0.2">
      <c r="B640" s="67">
        <f t="shared" si="69"/>
        <v>53</v>
      </c>
      <c r="C640" s="2"/>
      <c r="D640" s="2"/>
      <c r="E640" s="2"/>
      <c r="F640" s="46"/>
      <c r="G640" s="2"/>
      <c r="H640" s="2" t="s">
        <v>519</v>
      </c>
      <c r="I640" s="22"/>
      <c r="J640" s="22"/>
      <c r="K640" s="246"/>
      <c r="L640" s="68"/>
      <c r="M640" s="22">
        <f>10000+5696</f>
        <v>15696</v>
      </c>
      <c r="N640" s="22">
        <v>15696</v>
      </c>
      <c r="O640" s="225">
        <f t="shared" si="65"/>
        <v>100</v>
      </c>
      <c r="P640" s="68"/>
      <c r="Q640" s="22">
        <f t="shared" si="66"/>
        <v>15696</v>
      </c>
      <c r="R640" s="22">
        <f t="shared" si="77"/>
        <v>15696</v>
      </c>
      <c r="S640" s="244">
        <f t="shared" si="68"/>
        <v>100</v>
      </c>
    </row>
    <row r="641" spans="2:19" x14ac:dyDescent="0.2">
      <c r="B641" s="67">
        <f t="shared" si="69"/>
        <v>54</v>
      </c>
      <c r="C641" s="2"/>
      <c r="D641" s="2"/>
      <c r="E641" s="2"/>
      <c r="F641" s="46"/>
      <c r="G641" s="2"/>
      <c r="H641" s="2" t="s">
        <v>520</v>
      </c>
      <c r="I641" s="22"/>
      <c r="J641" s="22"/>
      <c r="K641" s="246"/>
      <c r="L641" s="68"/>
      <c r="M641" s="22">
        <v>3500</v>
      </c>
      <c r="N641" s="22">
        <v>500</v>
      </c>
      <c r="O641" s="225">
        <f t="shared" si="65"/>
        <v>14.285714285714285</v>
      </c>
      <c r="P641" s="68"/>
      <c r="Q641" s="22">
        <f t="shared" si="66"/>
        <v>3500</v>
      </c>
      <c r="R641" s="22">
        <f t="shared" si="77"/>
        <v>500</v>
      </c>
      <c r="S641" s="244">
        <f t="shared" si="68"/>
        <v>14.285714285714285</v>
      </c>
    </row>
    <row r="642" spans="2:19" x14ac:dyDescent="0.2">
      <c r="B642" s="67">
        <f t="shared" si="69"/>
        <v>55</v>
      </c>
      <c r="C642" s="2"/>
      <c r="D642" s="2"/>
      <c r="E642" s="2"/>
      <c r="F642" s="46"/>
      <c r="G642" s="2"/>
      <c r="H642" s="2" t="s">
        <v>521</v>
      </c>
      <c r="I642" s="22"/>
      <c r="J642" s="22"/>
      <c r="K642" s="246"/>
      <c r="L642" s="68"/>
      <c r="M642" s="22">
        <v>5000</v>
      </c>
      <c r="N642" s="22">
        <v>5000</v>
      </c>
      <c r="O642" s="225">
        <f t="shared" si="65"/>
        <v>100</v>
      </c>
      <c r="P642" s="68"/>
      <c r="Q642" s="22">
        <f t="shared" si="66"/>
        <v>5000</v>
      </c>
      <c r="R642" s="22">
        <f t="shared" si="77"/>
        <v>5000</v>
      </c>
      <c r="S642" s="244">
        <f t="shared" si="68"/>
        <v>100</v>
      </c>
    </row>
    <row r="643" spans="2:19" x14ac:dyDescent="0.2">
      <c r="B643" s="67">
        <f t="shared" si="69"/>
        <v>56</v>
      </c>
      <c r="C643" s="2"/>
      <c r="D643" s="2"/>
      <c r="E643" s="2"/>
      <c r="F643" s="46"/>
      <c r="G643" s="2"/>
      <c r="H643" s="2" t="s">
        <v>554</v>
      </c>
      <c r="I643" s="22"/>
      <c r="J643" s="22"/>
      <c r="K643" s="246"/>
      <c r="L643" s="68"/>
      <c r="M643" s="22">
        <v>1700</v>
      </c>
      <c r="N643" s="22">
        <v>1700</v>
      </c>
      <c r="O643" s="225">
        <f t="shared" si="65"/>
        <v>100</v>
      </c>
      <c r="P643" s="68"/>
      <c r="Q643" s="22">
        <f t="shared" si="66"/>
        <v>1700</v>
      </c>
      <c r="R643" s="22">
        <f t="shared" si="77"/>
        <v>1700</v>
      </c>
      <c r="S643" s="244">
        <f t="shared" si="68"/>
        <v>100</v>
      </c>
    </row>
    <row r="644" spans="2:19" x14ac:dyDescent="0.2">
      <c r="B644" s="67">
        <f t="shared" si="69"/>
        <v>57</v>
      </c>
      <c r="C644" s="2"/>
      <c r="D644" s="2"/>
      <c r="E644" s="2"/>
      <c r="F644" s="46"/>
      <c r="G644" s="2"/>
      <c r="H644" s="116" t="s">
        <v>539</v>
      </c>
      <c r="I644" s="115"/>
      <c r="J644" s="115"/>
      <c r="K644" s="246"/>
      <c r="L644" s="68"/>
      <c r="M644" s="115">
        <v>600</v>
      </c>
      <c r="N644" s="115">
        <v>300</v>
      </c>
      <c r="O644" s="225">
        <f t="shared" si="65"/>
        <v>50</v>
      </c>
      <c r="P644" s="68"/>
      <c r="Q644" s="115">
        <f t="shared" si="66"/>
        <v>600</v>
      </c>
      <c r="R644" s="115">
        <f t="shared" si="77"/>
        <v>300</v>
      </c>
      <c r="S644" s="244">
        <f t="shared" si="68"/>
        <v>50</v>
      </c>
    </row>
    <row r="645" spans="2:19" x14ac:dyDescent="0.2">
      <c r="B645" s="67">
        <f t="shared" si="69"/>
        <v>58</v>
      </c>
      <c r="C645" s="2"/>
      <c r="D645" s="2"/>
      <c r="E645" s="2"/>
      <c r="F645" s="46"/>
      <c r="G645" s="2"/>
      <c r="H645" s="117" t="s">
        <v>635</v>
      </c>
      <c r="I645" s="118"/>
      <c r="J645" s="118"/>
      <c r="K645" s="247"/>
      <c r="L645" s="149"/>
      <c r="M645" s="118">
        <v>2350</v>
      </c>
      <c r="N645" s="118">
        <v>0</v>
      </c>
      <c r="O645" s="225">
        <f t="shared" si="65"/>
        <v>0</v>
      </c>
      <c r="P645" s="149"/>
      <c r="Q645" s="118">
        <f t="shared" si="66"/>
        <v>2350</v>
      </c>
      <c r="R645" s="118">
        <f t="shared" si="77"/>
        <v>0</v>
      </c>
      <c r="S645" s="244">
        <f t="shared" si="68"/>
        <v>0</v>
      </c>
    </row>
    <row r="646" spans="2:19" ht="24" x14ac:dyDescent="0.2">
      <c r="B646" s="67">
        <f t="shared" si="69"/>
        <v>59</v>
      </c>
      <c r="C646" s="2"/>
      <c r="D646" s="2"/>
      <c r="E646" s="2"/>
      <c r="F646" s="46"/>
      <c r="G646" s="2"/>
      <c r="H646" s="148" t="s">
        <v>658</v>
      </c>
      <c r="I646" s="149"/>
      <c r="J646" s="149"/>
      <c r="K646" s="247"/>
      <c r="L646" s="149"/>
      <c r="M646" s="149">
        <v>2000</v>
      </c>
      <c r="N646" s="149">
        <v>0</v>
      </c>
      <c r="O646" s="225">
        <f t="shared" si="65"/>
        <v>0</v>
      </c>
      <c r="P646" s="149"/>
      <c r="Q646" s="149">
        <f t="shared" si="66"/>
        <v>2000</v>
      </c>
      <c r="R646" s="149">
        <f t="shared" si="77"/>
        <v>0</v>
      </c>
      <c r="S646" s="244">
        <f t="shared" si="68"/>
        <v>0</v>
      </c>
    </row>
    <row r="647" spans="2:19" x14ac:dyDescent="0.2">
      <c r="B647" s="67">
        <f t="shared" si="69"/>
        <v>60</v>
      </c>
      <c r="C647" s="2"/>
      <c r="D647" s="2"/>
      <c r="E647" s="2"/>
      <c r="F647" s="77" t="s">
        <v>5</v>
      </c>
      <c r="G647" s="78">
        <v>717</v>
      </c>
      <c r="H647" s="78" t="s">
        <v>193</v>
      </c>
      <c r="I647" s="79"/>
      <c r="J647" s="79"/>
      <c r="K647" s="246"/>
      <c r="L647" s="68"/>
      <c r="M647" s="79">
        <f>SUM(M648:M696)</f>
        <v>2364915</v>
      </c>
      <c r="N647" s="79">
        <f>SUM(N648:N696)</f>
        <v>208016</v>
      </c>
      <c r="O647" s="225">
        <f t="shared" si="65"/>
        <v>8.7959186693813507</v>
      </c>
      <c r="P647" s="68"/>
      <c r="Q647" s="79">
        <f t="shared" si="66"/>
        <v>2364915</v>
      </c>
      <c r="R647" s="79">
        <f t="shared" si="77"/>
        <v>208016</v>
      </c>
      <c r="S647" s="244">
        <f t="shared" si="68"/>
        <v>8.7959186693813507</v>
      </c>
    </row>
    <row r="648" spans="2:19" x14ac:dyDescent="0.2">
      <c r="B648" s="67">
        <f t="shared" si="69"/>
        <v>61</v>
      </c>
      <c r="C648" s="2"/>
      <c r="D648" s="2"/>
      <c r="E648" s="2"/>
      <c r="F648" s="46"/>
      <c r="G648" s="2"/>
      <c r="H648" s="2" t="s">
        <v>466</v>
      </c>
      <c r="I648" s="22"/>
      <c r="J648" s="22"/>
      <c r="K648" s="246"/>
      <c r="L648" s="68"/>
      <c r="M648" s="22">
        <f>54988+35000</f>
        <v>89988</v>
      </c>
      <c r="N648" s="22">
        <v>0</v>
      </c>
      <c r="O648" s="225">
        <f t="shared" si="65"/>
        <v>0</v>
      </c>
      <c r="P648" s="68"/>
      <c r="Q648" s="22">
        <f t="shared" si="66"/>
        <v>89988</v>
      </c>
      <c r="R648" s="22">
        <f t="shared" si="77"/>
        <v>0</v>
      </c>
      <c r="S648" s="244">
        <f t="shared" si="68"/>
        <v>0</v>
      </c>
    </row>
    <row r="649" spans="2:19" x14ac:dyDescent="0.2">
      <c r="B649" s="67">
        <f t="shared" si="69"/>
        <v>62</v>
      </c>
      <c r="C649" s="2"/>
      <c r="D649" s="2"/>
      <c r="E649" s="2"/>
      <c r="F649" s="46"/>
      <c r="G649" s="2"/>
      <c r="H649" s="2" t="s">
        <v>638</v>
      </c>
      <c r="I649" s="22"/>
      <c r="J649" s="22"/>
      <c r="K649" s="246"/>
      <c r="L649" s="68"/>
      <c r="M649" s="22">
        <f>82549+750</f>
        <v>83299</v>
      </c>
      <c r="N649" s="22">
        <v>0</v>
      </c>
      <c r="O649" s="225">
        <f t="shared" si="65"/>
        <v>0</v>
      </c>
      <c r="P649" s="68"/>
      <c r="Q649" s="22">
        <f t="shared" si="66"/>
        <v>83299</v>
      </c>
      <c r="R649" s="22">
        <f t="shared" si="77"/>
        <v>0</v>
      </c>
      <c r="S649" s="244">
        <f t="shared" si="68"/>
        <v>0</v>
      </c>
    </row>
    <row r="650" spans="2:19" x14ac:dyDescent="0.2">
      <c r="B650" s="67">
        <f t="shared" si="69"/>
        <v>63</v>
      </c>
      <c r="C650" s="2"/>
      <c r="D650" s="2"/>
      <c r="E650" s="2"/>
      <c r="F650" s="46"/>
      <c r="G650" s="2"/>
      <c r="H650" s="2" t="s">
        <v>505</v>
      </c>
      <c r="I650" s="22"/>
      <c r="J650" s="22"/>
      <c r="K650" s="246"/>
      <c r="L650" s="68"/>
      <c r="M650" s="22">
        <f>200000-20000+100000</f>
        <v>280000</v>
      </c>
      <c r="N650" s="22">
        <v>24</v>
      </c>
      <c r="O650" s="225">
        <f t="shared" ref="O650:O700" si="78">N650/M650*100</f>
        <v>8.5714285714285719E-3</v>
      </c>
      <c r="P650" s="68"/>
      <c r="Q650" s="22">
        <f t="shared" ref="Q650:Q700" si="79">I650+M650</f>
        <v>280000</v>
      </c>
      <c r="R650" s="22">
        <f t="shared" si="77"/>
        <v>24</v>
      </c>
      <c r="S650" s="244">
        <f t="shared" ref="S650:S700" si="80">R650/Q650*100</f>
        <v>8.5714285714285719E-3</v>
      </c>
    </row>
    <row r="651" spans="2:19" x14ac:dyDescent="0.2">
      <c r="B651" s="67">
        <f t="shared" si="69"/>
        <v>64</v>
      </c>
      <c r="C651" s="2"/>
      <c r="D651" s="2"/>
      <c r="E651" s="2"/>
      <c r="F651" s="46"/>
      <c r="G651" s="2"/>
      <c r="H651" s="2" t="s">
        <v>432</v>
      </c>
      <c r="I651" s="22"/>
      <c r="J651" s="22"/>
      <c r="K651" s="246"/>
      <c r="L651" s="68"/>
      <c r="M651" s="22">
        <f>50000-25000</f>
        <v>25000</v>
      </c>
      <c r="N651" s="22"/>
      <c r="O651" s="225">
        <f t="shared" si="78"/>
        <v>0</v>
      </c>
      <c r="P651" s="68"/>
      <c r="Q651" s="22">
        <f t="shared" si="79"/>
        <v>25000</v>
      </c>
      <c r="R651" s="22">
        <f t="shared" si="77"/>
        <v>0</v>
      </c>
      <c r="S651" s="244">
        <f t="shared" si="80"/>
        <v>0</v>
      </c>
    </row>
    <row r="652" spans="2:19" x14ac:dyDescent="0.2">
      <c r="B652" s="67">
        <f t="shared" ref="B652:B660" si="81">B651+1</f>
        <v>65</v>
      </c>
      <c r="C652" s="2"/>
      <c r="D652" s="2"/>
      <c r="E652" s="2"/>
      <c r="F652" s="46"/>
      <c r="G652" s="2"/>
      <c r="H652" s="2" t="s">
        <v>435</v>
      </c>
      <c r="I652" s="22"/>
      <c r="J652" s="22"/>
      <c r="K652" s="246"/>
      <c r="L652" s="68"/>
      <c r="M652" s="22">
        <f>170000-20000</f>
        <v>150000</v>
      </c>
      <c r="N652" s="22">
        <v>96437</v>
      </c>
      <c r="O652" s="225">
        <f t="shared" si="78"/>
        <v>64.291333333333327</v>
      </c>
      <c r="P652" s="68"/>
      <c r="Q652" s="22">
        <f t="shared" si="79"/>
        <v>150000</v>
      </c>
      <c r="R652" s="22">
        <f t="shared" si="77"/>
        <v>96437</v>
      </c>
      <c r="S652" s="244">
        <f t="shared" si="80"/>
        <v>64.291333333333327</v>
      </c>
    </row>
    <row r="653" spans="2:19" x14ac:dyDescent="0.2">
      <c r="B653" s="67">
        <f t="shared" si="81"/>
        <v>66</v>
      </c>
      <c r="C653" s="2"/>
      <c r="D653" s="2"/>
      <c r="E653" s="2"/>
      <c r="F653" s="46"/>
      <c r="G653" s="2"/>
      <c r="H653" s="2" t="s">
        <v>436</v>
      </c>
      <c r="I653" s="22"/>
      <c r="J653" s="22"/>
      <c r="K653" s="246"/>
      <c r="L653" s="68"/>
      <c r="M653" s="22">
        <f>15000-7000+4000</f>
        <v>12000</v>
      </c>
      <c r="N653" s="22"/>
      <c r="O653" s="225">
        <f t="shared" si="78"/>
        <v>0</v>
      </c>
      <c r="P653" s="68"/>
      <c r="Q653" s="22">
        <f t="shared" si="79"/>
        <v>12000</v>
      </c>
      <c r="R653" s="22">
        <f t="shared" si="77"/>
        <v>0</v>
      </c>
      <c r="S653" s="244">
        <f t="shared" si="80"/>
        <v>0</v>
      </c>
    </row>
    <row r="654" spans="2:19" x14ac:dyDescent="0.2">
      <c r="B654" s="67">
        <f t="shared" si="81"/>
        <v>67</v>
      </c>
      <c r="C654" s="2"/>
      <c r="D654" s="2"/>
      <c r="E654" s="2"/>
      <c r="F654" s="46"/>
      <c r="G654" s="2"/>
      <c r="H654" s="2" t="s">
        <v>445</v>
      </c>
      <c r="I654" s="22"/>
      <c r="J654" s="22"/>
      <c r="K654" s="246"/>
      <c r="L654" s="68"/>
      <c r="M654" s="22">
        <v>86899</v>
      </c>
      <c r="N654" s="22">
        <v>0</v>
      </c>
      <c r="O654" s="225">
        <f t="shared" si="78"/>
        <v>0</v>
      </c>
      <c r="P654" s="68"/>
      <c r="Q654" s="22">
        <f t="shared" si="79"/>
        <v>86899</v>
      </c>
      <c r="R654" s="22">
        <f t="shared" si="77"/>
        <v>0</v>
      </c>
      <c r="S654" s="244">
        <f t="shared" si="80"/>
        <v>0</v>
      </c>
    </row>
    <row r="655" spans="2:19" x14ac:dyDescent="0.2">
      <c r="B655" s="67">
        <f t="shared" si="81"/>
        <v>68</v>
      </c>
      <c r="C655" s="2"/>
      <c r="D655" s="2"/>
      <c r="E655" s="2"/>
      <c r="F655" s="46"/>
      <c r="G655" s="2"/>
      <c r="H655" s="2" t="s">
        <v>427</v>
      </c>
      <c r="I655" s="22"/>
      <c r="J655" s="22"/>
      <c r="K655" s="246"/>
      <c r="L655" s="68"/>
      <c r="M655" s="22">
        <f>50000+40000-250</f>
        <v>89750</v>
      </c>
      <c r="N655" s="22"/>
      <c r="O655" s="225">
        <f t="shared" si="78"/>
        <v>0</v>
      </c>
      <c r="P655" s="68"/>
      <c r="Q655" s="22">
        <f t="shared" si="79"/>
        <v>89750</v>
      </c>
      <c r="R655" s="22">
        <f t="shared" si="77"/>
        <v>0</v>
      </c>
      <c r="S655" s="244">
        <f t="shared" si="80"/>
        <v>0</v>
      </c>
    </row>
    <row r="656" spans="2:19" x14ac:dyDescent="0.2">
      <c r="B656" s="67">
        <f t="shared" si="81"/>
        <v>69</v>
      </c>
      <c r="C656" s="2"/>
      <c r="D656" s="2"/>
      <c r="E656" s="2"/>
      <c r="F656" s="46"/>
      <c r="G656" s="2"/>
      <c r="H656" s="2" t="s">
        <v>449</v>
      </c>
      <c r="I656" s="22"/>
      <c r="J656" s="22"/>
      <c r="K656" s="246"/>
      <c r="L656" s="68"/>
      <c r="M656" s="22">
        <f>60000-1700</f>
        <v>58300</v>
      </c>
      <c r="N656" s="22">
        <v>12</v>
      </c>
      <c r="O656" s="225">
        <f t="shared" si="78"/>
        <v>2.0583190394511147E-2</v>
      </c>
      <c r="P656" s="68"/>
      <c r="Q656" s="22">
        <f t="shared" si="79"/>
        <v>58300</v>
      </c>
      <c r="R656" s="22">
        <f t="shared" si="77"/>
        <v>12</v>
      </c>
      <c r="S656" s="244">
        <f t="shared" si="80"/>
        <v>2.0583190394511147E-2</v>
      </c>
    </row>
    <row r="657" spans="2:19" x14ac:dyDescent="0.2">
      <c r="B657" s="67">
        <f t="shared" si="81"/>
        <v>70</v>
      </c>
      <c r="C657" s="2"/>
      <c r="D657" s="2"/>
      <c r="E657" s="2"/>
      <c r="F657" s="46"/>
      <c r="G657" s="2"/>
      <c r="H657" s="2" t="s">
        <v>437</v>
      </c>
      <c r="I657" s="22"/>
      <c r="J657" s="22"/>
      <c r="K657" s="246"/>
      <c r="L657" s="68"/>
      <c r="M657" s="22">
        <f>12000-5000</f>
        <v>7000</v>
      </c>
      <c r="N657" s="22"/>
      <c r="O657" s="225">
        <f t="shared" si="78"/>
        <v>0</v>
      </c>
      <c r="P657" s="68"/>
      <c r="Q657" s="22">
        <f t="shared" si="79"/>
        <v>7000</v>
      </c>
      <c r="R657" s="22">
        <f t="shared" si="77"/>
        <v>0</v>
      </c>
      <c r="S657" s="244">
        <f t="shared" si="80"/>
        <v>0</v>
      </c>
    </row>
    <row r="658" spans="2:19" x14ac:dyDescent="0.2">
      <c r="B658" s="67">
        <f t="shared" si="81"/>
        <v>71</v>
      </c>
      <c r="C658" s="2"/>
      <c r="D658" s="2"/>
      <c r="E658" s="2"/>
      <c r="F658" s="46"/>
      <c r="G658" s="2"/>
      <c r="H658" s="2" t="s">
        <v>438</v>
      </c>
      <c r="I658" s="22"/>
      <c r="J658" s="22"/>
      <c r="K658" s="246"/>
      <c r="L658" s="68"/>
      <c r="M658" s="22">
        <f>18000-5000-1100</f>
        <v>11900</v>
      </c>
      <c r="N658" s="22"/>
      <c r="O658" s="225">
        <f t="shared" si="78"/>
        <v>0</v>
      </c>
      <c r="P658" s="68"/>
      <c r="Q658" s="22">
        <f t="shared" si="79"/>
        <v>11900</v>
      </c>
      <c r="R658" s="22">
        <f t="shared" si="77"/>
        <v>0</v>
      </c>
      <c r="S658" s="244">
        <f t="shared" si="80"/>
        <v>0</v>
      </c>
    </row>
    <row r="659" spans="2:19" x14ac:dyDescent="0.2">
      <c r="B659" s="67">
        <f t="shared" si="81"/>
        <v>72</v>
      </c>
      <c r="C659" s="2"/>
      <c r="D659" s="2"/>
      <c r="E659" s="2"/>
      <c r="F659" s="46"/>
      <c r="G659" s="2"/>
      <c r="H659" s="2" t="s">
        <v>482</v>
      </c>
      <c r="I659" s="22"/>
      <c r="J659" s="22"/>
      <c r="K659" s="246"/>
      <c r="L659" s="68"/>
      <c r="M659" s="22">
        <f>4000+5300-750</f>
        <v>8550</v>
      </c>
      <c r="N659" s="22"/>
      <c r="O659" s="225">
        <f t="shared" si="78"/>
        <v>0</v>
      </c>
      <c r="P659" s="68"/>
      <c r="Q659" s="22">
        <f t="shared" si="79"/>
        <v>8550</v>
      </c>
      <c r="R659" s="22">
        <f t="shared" si="77"/>
        <v>0</v>
      </c>
      <c r="S659" s="244">
        <f t="shared" si="80"/>
        <v>0</v>
      </c>
    </row>
    <row r="660" spans="2:19" x14ac:dyDescent="0.2">
      <c r="B660" s="67">
        <f t="shared" si="81"/>
        <v>73</v>
      </c>
      <c r="C660" s="2"/>
      <c r="D660" s="2"/>
      <c r="E660" s="2"/>
      <c r="F660" s="46"/>
      <c r="G660" s="2"/>
      <c r="H660" s="2" t="s">
        <v>446</v>
      </c>
      <c r="I660" s="22"/>
      <c r="J660" s="22"/>
      <c r="K660" s="246"/>
      <c r="L660" s="68"/>
      <c r="M660" s="22">
        <v>17026</v>
      </c>
      <c r="N660" s="22">
        <v>12</v>
      </c>
      <c r="O660" s="225">
        <f t="shared" si="78"/>
        <v>7.0480441677434516E-2</v>
      </c>
      <c r="P660" s="68"/>
      <c r="Q660" s="22">
        <f t="shared" si="79"/>
        <v>17026</v>
      </c>
      <c r="R660" s="22">
        <f t="shared" si="77"/>
        <v>12</v>
      </c>
      <c r="S660" s="244">
        <f t="shared" si="80"/>
        <v>7.0480441677434516E-2</v>
      </c>
    </row>
    <row r="661" spans="2:19" x14ac:dyDescent="0.2">
      <c r="B661" s="67">
        <f t="shared" ref="B661:B700" si="82">B660+1</f>
        <v>74</v>
      </c>
      <c r="C661" s="2"/>
      <c r="D661" s="2"/>
      <c r="E661" s="2"/>
      <c r="F661" s="46"/>
      <c r="G661" s="2"/>
      <c r="H661" s="54" t="s">
        <v>451</v>
      </c>
      <c r="I661" s="22"/>
      <c r="J661" s="22"/>
      <c r="K661" s="246"/>
      <c r="L661" s="68"/>
      <c r="M661" s="22">
        <v>39414</v>
      </c>
      <c r="N661" s="22">
        <v>36</v>
      </c>
      <c r="O661" s="225">
        <f t="shared" si="78"/>
        <v>9.1338103212056626E-2</v>
      </c>
      <c r="P661" s="68"/>
      <c r="Q661" s="22">
        <f t="shared" si="79"/>
        <v>39414</v>
      </c>
      <c r="R661" s="22">
        <f t="shared" si="77"/>
        <v>36</v>
      </c>
      <c r="S661" s="244">
        <f t="shared" si="80"/>
        <v>9.1338103212056626E-2</v>
      </c>
    </row>
    <row r="662" spans="2:19" ht="33.75" x14ac:dyDescent="0.2">
      <c r="B662" s="67">
        <f t="shared" si="82"/>
        <v>75</v>
      </c>
      <c r="C662" s="71"/>
      <c r="D662" s="71"/>
      <c r="E662" s="71"/>
      <c r="F662" s="72"/>
      <c r="G662" s="71"/>
      <c r="H662" s="56" t="s">
        <v>452</v>
      </c>
      <c r="I662" s="55"/>
      <c r="J662" s="55"/>
      <c r="K662" s="247"/>
      <c r="L662" s="149"/>
      <c r="M662" s="55">
        <v>4000</v>
      </c>
      <c r="N662" s="55">
        <v>0</v>
      </c>
      <c r="O662" s="225">
        <f t="shared" si="78"/>
        <v>0</v>
      </c>
      <c r="P662" s="149"/>
      <c r="Q662" s="55">
        <f t="shared" si="79"/>
        <v>4000</v>
      </c>
      <c r="R662" s="55">
        <f t="shared" si="77"/>
        <v>0</v>
      </c>
      <c r="S662" s="244">
        <f t="shared" si="80"/>
        <v>0</v>
      </c>
    </row>
    <row r="663" spans="2:19" x14ac:dyDescent="0.2">
      <c r="B663" s="67">
        <f t="shared" si="82"/>
        <v>76</v>
      </c>
      <c r="C663" s="2"/>
      <c r="D663" s="2"/>
      <c r="E663" s="2"/>
      <c r="F663" s="46"/>
      <c r="G663" s="2"/>
      <c r="H663" s="54" t="s">
        <v>447</v>
      </c>
      <c r="I663" s="22"/>
      <c r="J663" s="22"/>
      <c r="K663" s="246"/>
      <c r="L663" s="68"/>
      <c r="M663" s="22">
        <v>132435</v>
      </c>
      <c r="N663" s="22">
        <v>0</v>
      </c>
      <c r="O663" s="225">
        <f t="shared" si="78"/>
        <v>0</v>
      </c>
      <c r="P663" s="68"/>
      <c r="Q663" s="22">
        <f t="shared" si="79"/>
        <v>132435</v>
      </c>
      <c r="R663" s="22">
        <f t="shared" si="77"/>
        <v>0</v>
      </c>
      <c r="S663" s="244">
        <f t="shared" si="80"/>
        <v>0</v>
      </c>
    </row>
    <row r="664" spans="2:19" x14ac:dyDescent="0.2">
      <c r="B664" s="67">
        <f t="shared" si="82"/>
        <v>77</v>
      </c>
      <c r="C664" s="2"/>
      <c r="D664" s="2"/>
      <c r="E664" s="2"/>
      <c r="F664" s="46"/>
      <c r="G664" s="2"/>
      <c r="H664" s="125" t="s">
        <v>556</v>
      </c>
      <c r="I664" s="124"/>
      <c r="J664" s="124"/>
      <c r="K664" s="246"/>
      <c r="L664" s="68"/>
      <c r="M664" s="124">
        <v>47000</v>
      </c>
      <c r="N664" s="124"/>
      <c r="O664" s="225">
        <f t="shared" si="78"/>
        <v>0</v>
      </c>
      <c r="P664" s="68"/>
      <c r="Q664" s="124">
        <f t="shared" si="79"/>
        <v>47000</v>
      </c>
      <c r="R664" s="124">
        <f t="shared" si="77"/>
        <v>0</v>
      </c>
      <c r="S664" s="244">
        <f t="shared" si="80"/>
        <v>0</v>
      </c>
    </row>
    <row r="665" spans="2:19" x14ac:dyDescent="0.2">
      <c r="B665" s="67">
        <f t="shared" si="82"/>
        <v>78</v>
      </c>
      <c r="C665" s="2"/>
      <c r="D665" s="2"/>
      <c r="E665" s="2"/>
      <c r="F665" s="46"/>
      <c r="G665" s="2"/>
      <c r="H665" s="125" t="s">
        <v>558</v>
      </c>
      <c r="I665" s="124"/>
      <c r="J665" s="124"/>
      <c r="K665" s="246"/>
      <c r="L665" s="68"/>
      <c r="M665" s="124">
        <v>12000</v>
      </c>
      <c r="N665" s="124"/>
      <c r="O665" s="225">
        <f t="shared" si="78"/>
        <v>0</v>
      </c>
      <c r="P665" s="68"/>
      <c r="Q665" s="124">
        <f t="shared" si="79"/>
        <v>12000</v>
      </c>
      <c r="R665" s="124">
        <f t="shared" si="77"/>
        <v>0</v>
      </c>
      <c r="S665" s="244">
        <f t="shared" si="80"/>
        <v>0</v>
      </c>
    </row>
    <row r="666" spans="2:19" x14ac:dyDescent="0.2">
      <c r="B666" s="67">
        <f t="shared" si="82"/>
        <v>79</v>
      </c>
      <c r="C666" s="2"/>
      <c r="D666" s="2"/>
      <c r="E666" s="2"/>
      <c r="F666" s="46"/>
      <c r="G666" s="2"/>
      <c r="H666" s="125" t="s">
        <v>559</v>
      </c>
      <c r="I666" s="124"/>
      <c r="J666" s="124"/>
      <c r="K666" s="246"/>
      <c r="L666" s="68"/>
      <c r="M666" s="124">
        <v>28600</v>
      </c>
      <c r="N666" s="124"/>
      <c r="O666" s="225">
        <f t="shared" si="78"/>
        <v>0</v>
      </c>
      <c r="P666" s="68"/>
      <c r="Q666" s="124">
        <f t="shared" si="79"/>
        <v>28600</v>
      </c>
      <c r="R666" s="124">
        <f t="shared" si="77"/>
        <v>0</v>
      </c>
      <c r="S666" s="244">
        <f t="shared" si="80"/>
        <v>0</v>
      </c>
    </row>
    <row r="667" spans="2:19" x14ac:dyDescent="0.2">
      <c r="B667" s="67">
        <f t="shared" si="82"/>
        <v>80</v>
      </c>
      <c r="C667" s="2"/>
      <c r="D667" s="2"/>
      <c r="E667" s="2"/>
      <c r="F667" s="46"/>
      <c r="G667" s="2"/>
      <c r="H667" s="125" t="s">
        <v>632</v>
      </c>
      <c r="I667" s="124"/>
      <c r="J667" s="124"/>
      <c r="K667" s="246"/>
      <c r="L667" s="68"/>
      <c r="M667" s="124">
        <v>150000</v>
      </c>
      <c r="N667" s="124"/>
      <c r="O667" s="225">
        <f t="shared" si="78"/>
        <v>0</v>
      </c>
      <c r="P667" s="68"/>
      <c r="Q667" s="124">
        <f t="shared" si="79"/>
        <v>150000</v>
      </c>
      <c r="R667" s="124">
        <f t="shared" si="77"/>
        <v>0</v>
      </c>
      <c r="S667" s="244">
        <f t="shared" si="80"/>
        <v>0</v>
      </c>
    </row>
    <row r="668" spans="2:19" x14ac:dyDescent="0.2">
      <c r="B668" s="67">
        <f t="shared" si="82"/>
        <v>81</v>
      </c>
      <c r="C668" s="2"/>
      <c r="D668" s="2"/>
      <c r="E668" s="2"/>
      <c r="F668" s="46"/>
      <c r="G668" s="2"/>
      <c r="H668" s="54" t="s">
        <v>475</v>
      </c>
      <c r="I668" s="22"/>
      <c r="J668" s="22"/>
      <c r="K668" s="246"/>
      <c r="L668" s="68"/>
      <c r="M668" s="22">
        <v>25000</v>
      </c>
      <c r="N668" s="22"/>
      <c r="O668" s="225">
        <f t="shared" si="78"/>
        <v>0</v>
      </c>
      <c r="P668" s="68"/>
      <c r="Q668" s="22">
        <f t="shared" si="79"/>
        <v>25000</v>
      </c>
      <c r="R668" s="22">
        <f t="shared" si="77"/>
        <v>0</v>
      </c>
      <c r="S668" s="244">
        <f t="shared" si="80"/>
        <v>0</v>
      </c>
    </row>
    <row r="669" spans="2:19" ht="24" x14ac:dyDescent="0.2">
      <c r="B669" s="67">
        <f t="shared" si="82"/>
        <v>82</v>
      </c>
      <c r="C669" s="71"/>
      <c r="D669" s="71"/>
      <c r="E669" s="71"/>
      <c r="F669" s="72"/>
      <c r="G669" s="71"/>
      <c r="H669" s="108" t="s">
        <v>476</v>
      </c>
      <c r="I669" s="55"/>
      <c r="J669" s="55"/>
      <c r="K669" s="247"/>
      <c r="L669" s="149"/>
      <c r="M669" s="55">
        <v>60000</v>
      </c>
      <c r="N669" s="55"/>
      <c r="O669" s="225">
        <f t="shared" si="78"/>
        <v>0</v>
      </c>
      <c r="P669" s="149"/>
      <c r="Q669" s="55">
        <f t="shared" si="79"/>
        <v>60000</v>
      </c>
      <c r="R669" s="55">
        <f t="shared" si="77"/>
        <v>0</v>
      </c>
      <c r="S669" s="244">
        <f t="shared" si="80"/>
        <v>0</v>
      </c>
    </row>
    <row r="670" spans="2:19" x14ac:dyDescent="0.2">
      <c r="B670" s="67">
        <f t="shared" si="82"/>
        <v>83</v>
      </c>
      <c r="C670" s="71"/>
      <c r="D670" s="71"/>
      <c r="E670" s="71"/>
      <c r="F670" s="72"/>
      <c r="G670" s="71"/>
      <c r="H670" s="108" t="s">
        <v>477</v>
      </c>
      <c r="I670" s="55"/>
      <c r="J670" s="55"/>
      <c r="K670" s="247"/>
      <c r="L670" s="149"/>
      <c r="M670" s="55">
        <v>50000</v>
      </c>
      <c r="N670" s="55"/>
      <c r="O670" s="225">
        <f t="shared" si="78"/>
        <v>0</v>
      </c>
      <c r="P670" s="149"/>
      <c r="Q670" s="55">
        <f t="shared" si="79"/>
        <v>50000</v>
      </c>
      <c r="R670" s="55">
        <f t="shared" si="77"/>
        <v>0</v>
      </c>
      <c r="S670" s="244">
        <f t="shared" si="80"/>
        <v>0</v>
      </c>
    </row>
    <row r="671" spans="2:19" ht="24" x14ac:dyDescent="0.2">
      <c r="B671" s="67">
        <f t="shared" si="82"/>
        <v>84</v>
      </c>
      <c r="C671" s="71"/>
      <c r="D671" s="71"/>
      <c r="E671" s="71"/>
      <c r="F671" s="72"/>
      <c r="G671" s="71"/>
      <c r="H671" s="108" t="s">
        <v>512</v>
      </c>
      <c r="I671" s="55"/>
      <c r="J671" s="55"/>
      <c r="K671" s="247"/>
      <c r="L671" s="149"/>
      <c r="M671" s="55">
        <v>300</v>
      </c>
      <c r="N671" s="55">
        <v>300</v>
      </c>
      <c r="O671" s="225">
        <f t="shared" si="78"/>
        <v>100</v>
      </c>
      <c r="P671" s="149"/>
      <c r="Q671" s="55">
        <f t="shared" si="79"/>
        <v>300</v>
      </c>
      <c r="R671" s="55">
        <f t="shared" si="77"/>
        <v>300</v>
      </c>
      <c r="S671" s="244">
        <f t="shared" si="80"/>
        <v>100</v>
      </c>
    </row>
    <row r="672" spans="2:19" x14ac:dyDescent="0.2">
      <c r="B672" s="67">
        <f t="shared" si="82"/>
        <v>85</v>
      </c>
      <c r="C672" s="71"/>
      <c r="D672" s="71"/>
      <c r="E672" s="71"/>
      <c r="F672" s="72"/>
      <c r="G672" s="71"/>
      <c r="H672" s="108" t="s">
        <v>522</v>
      </c>
      <c r="I672" s="55"/>
      <c r="J672" s="55"/>
      <c r="K672" s="247"/>
      <c r="L672" s="149"/>
      <c r="M672" s="55">
        <v>130</v>
      </c>
      <c r="N672" s="55"/>
      <c r="O672" s="225">
        <f t="shared" si="78"/>
        <v>0</v>
      </c>
      <c r="P672" s="149"/>
      <c r="Q672" s="55">
        <f t="shared" si="79"/>
        <v>130</v>
      </c>
      <c r="R672" s="55">
        <f t="shared" si="77"/>
        <v>0</v>
      </c>
      <c r="S672" s="244">
        <f t="shared" si="80"/>
        <v>0</v>
      </c>
    </row>
    <row r="673" spans="2:19" x14ac:dyDescent="0.2">
      <c r="B673" s="67">
        <f t="shared" si="82"/>
        <v>86</v>
      </c>
      <c r="C673" s="71"/>
      <c r="D673" s="71"/>
      <c r="E673" s="71"/>
      <c r="F673" s="72"/>
      <c r="G673" s="71"/>
      <c r="H673" s="108" t="s">
        <v>509</v>
      </c>
      <c r="I673" s="55"/>
      <c r="J673" s="55"/>
      <c r="K673" s="247"/>
      <c r="L673" s="149"/>
      <c r="M673" s="55">
        <f>200+94</f>
        <v>294</v>
      </c>
      <c r="N673" s="55">
        <v>94</v>
      </c>
      <c r="O673" s="225">
        <f t="shared" si="78"/>
        <v>31.972789115646261</v>
      </c>
      <c r="P673" s="149"/>
      <c r="Q673" s="55">
        <f t="shared" si="79"/>
        <v>294</v>
      </c>
      <c r="R673" s="55">
        <f t="shared" si="77"/>
        <v>94</v>
      </c>
      <c r="S673" s="244">
        <f t="shared" si="80"/>
        <v>31.972789115646261</v>
      </c>
    </row>
    <row r="674" spans="2:19" x14ac:dyDescent="0.2">
      <c r="B674" s="67">
        <f t="shared" si="82"/>
        <v>87</v>
      </c>
      <c r="C674" s="71"/>
      <c r="D674" s="71"/>
      <c r="E674" s="71"/>
      <c r="F674" s="72"/>
      <c r="G674" s="71"/>
      <c r="H674" s="133" t="s">
        <v>568</v>
      </c>
      <c r="I674" s="134"/>
      <c r="J674" s="134"/>
      <c r="K674" s="247"/>
      <c r="L674" s="149"/>
      <c r="M674" s="134">
        <v>25000</v>
      </c>
      <c r="N674" s="134">
        <v>25000</v>
      </c>
      <c r="O674" s="225">
        <f t="shared" si="78"/>
        <v>100</v>
      </c>
      <c r="P674" s="149"/>
      <c r="Q674" s="134">
        <f t="shared" si="79"/>
        <v>25000</v>
      </c>
      <c r="R674" s="134">
        <f t="shared" si="77"/>
        <v>25000</v>
      </c>
      <c r="S674" s="244">
        <f t="shared" si="80"/>
        <v>100</v>
      </c>
    </row>
    <row r="675" spans="2:19" ht="24" x14ac:dyDescent="0.2">
      <c r="B675" s="67">
        <f t="shared" si="82"/>
        <v>88</v>
      </c>
      <c r="C675" s="71"/>
      <c r="D675" s="71"/>
      <c r="E675" s="71"/>
      <c r="F675" s="72"/>
      <c r="G675" s="71"/>
      <c r="H675" s="133" t="s">
        <v>569</v>
      </c>
      <c r="I675" s="134"/>
      <c r="J675" s="134"/>
      <c r="K675" s="247"/>
      <c r="L675" s="149"/>
      <c r="M675" s="134">
        <v>2400</v>
      </c>
      <c r="N675" s="134"/>
      <c r="O675" s="225">
        <f t="shared" si="78"/>
        <v>0</v>
      </c>
      <c r="P675" s="149"/>
      <c r="Q675" s="134">
        <f t="shared" si="79"/>
        <v>2400</v>
      </c>
      <c r="R675" s="134">
        <f t="shared" si="77"/>
        <v>0</v>
      </c>
      <c r="S675" s="244">
        <f t="shared" si="80"/>
        <v>0</v>
      </c>
    </row>
    <row r="676" spans="2:19" x14ac:dyDescent="0.2">
      <c r="B676" s="67">
        <f t="shared" si="82"/>
        <v>89</v>
      </c>
      <c r="C676" s="71"/>
      <c r="D676" s="71"/>
      <c r="E676" s="71"/>
      <c r="F676" s="72"/>
      <c r="G676" s="71"/>
      <c r="H676" s="133" t="s">
        <v>634</v>
      </c>
      <c r="I676" s="134"/>
      <c r="J676" s="134"/>
      <c r="K676" s="247"/>
      <c r="L676" s="149"/>
      <c r="M676" s="134">
        <v>65000</v>
      </c>
      <c r="N676" s="134"/>
      <c r="O676" s="225">
        <f t="shared" si="78"/>
        <v>0</v>
      </c>
      <c r="P676" s="149"/>
      <c r="Q676" s="134">
        <f t="shared" si="79"/>
        <v>65000</v>
      </c>
      <c r="R676" s="134">
        <f t="shared" si="77"/>
        <v>0</v>
      </c>
      <c r="S676" s="244">
        <f t="shared" si="80"/>
        <v>0</v>
      </c>
    </row>
    <row r="677" spans="2:19" x14ac:dyDescent="0.2">
      <c r="B677" s="67">
        <f t="shared" si="82"/>
        <v>90</v>
      </c>
      <c r="C677" s="71"/>
      <c r="D677" s="71"/>
      <c r="E677" s="71"/>
      <c r="F677" s="72"/>
      <c r="G677" s="71"/>
      <c r="H677" s="108" t="s">
        <v>523</v>
      </c>
      <c r="I677" s="55"/>
      <c r="J677" s="55"/>
      <c r="K677" s="247"/>
      <c r="L677" s="149"/>
      <c r="M677" s="55">
        <v>180</v>
      </c>
      <c r="N677" s="55"/>
      <c r="O677" s="225">
        <f t="shared" si="78"/>
        <v>0</v>
      </c>
      <c r="P677" s="149"/>
      <c r="Q677" s="55">
        <f t="shared" si="79"/>
        <v>180</v>
      </c>
      <c r="R677" s="55">
        <f t="shared" si="77"/>
        <v>0</v>
      </c>
      <c r="S677" s="244">
        <f t="shared" si="80"/>
        <v>0</v>
      </c>
    </row>
    <row r="678" spans="2:19" x14ac:dyDescent="0.2">
      <c r="B678" s="67">
        <f t="shared" si="82"/>
        <v>91</v>
      </c>
      <c r="C678" s="71"/>
      <c r="D678" s="71"/>
      <c r="E678" s="71"/>
      <c r="F678" s="72"/>
      <c r="G678" s="71"/>
      <c r="H678" s="108" t="s">
        <v>524</v>
      </c>
      <c r="I678" s="55"/>
      <c r="J678" s="55"/>
      <c r="K678" s="247"/>
      <c r="L678" s="149"/>
      <c r="M678" s="55">
        <v>79300</v>
      </c>
      <c r="N678" s="55">
        <v>79188</v>
      </c>
      <c r="O678" s="225">
        <f t="shared" si="78"/>
        <v>99.858764186633039</v>
      </c>
      <c r="P678" s="149"/>
      <c r="Q678" s="55">
        <f t="shared" si="79"/>
        <v>79300</v>
      </c>
      <c r="R678" s="55">
        <f t="shared" si="77"/>
        <v>79188</v>
      </c>
      <c r="S678" s="244">
        <f t="shared" si="80"/>
        <v>99.858764186633039</v>
      </c>
    </row>
    <row r="679" spans="2:19" x14ac:dyDescent="0.2">
      <c r="B679" s="67">
        <f t="shared" si="82"/>
        <v>92</v>
      </c>
      <c r="C679" s="71"/>
      <c r="D679" s="71"/>
      <c r="E679" s="71"/>
      <c r="F679" s="72"/>
      <c r="G679" s="71"/>
      <c r="H679" s="108" t="s">
        <v>525</v>
      </c>
      <c r="I679" s="55"/>
      <c r="J679" s="55"/>
      <c r="K679" s="247"/>
      <c r="L679" s="149"/>
      <c r="M679" s="55">
        <v>9500</v>
      </c>
      <c r="N679" s="55">
        <v>0</v>
      </c>
      <c r="O679" s="225">
        <f t="shared" si="78"/>
        <v>0</v>
      </c>
      <c r="P679" s="149"/>
      <c r="Q679" s="55">
        <f t="shared" si="79"/>
        <v>9500</v>
      </c>
      <c r="R679" s="55">
        <f t="shared" si="77"/>
        <v>0</v>
      </c>
      <c r="S679" s="244">
        <f t="shared" si="80"/>
        <v>0</v>
      </c>
    </row>
    <row r="680" spans="2:19" x14ac:dyDescent="0.2">
      <c r="B680" s="67">
        <f t="shared" si="82"/>
        <v>93</v>
      </c>
      <c r="C680" s="71"/>
      <c r="D680" s="71"/>
      <c r="E680" s="71"/>
      <c r="F680" s="72"/>
      <c r="G680" s="71"/>
      <c r="H680" s="135" t="s">
        <v>581</v>
      </c>
      <c r="I680" s="136"/>
      <c r="J680" s="136"/>
      <c r="K680" s="247"/>
      <c r="L680" s="149"/>
      <c r="M680" s="136">
        <v>42000</v>
      </c>
      <c r="N680" s="136">
        <v>5712</v>
      </c>
      <c r="O680" s="225">
        <f t="shared" si="78"/>
        <v>13.600000000000001</v>
      </c>
      <c r="P680" s="149"/>
      <c r="Q680" s="136">
        <f t="shared" si="79"/>
        <v>42000</v>
      </c>
      <c r="R680" s="136">
        <f t="shared" si="77"/>
        <v>5712</v>
      </c>
      <c r="S680" s="244">
        <f t="shared" si="80"/>
        <v>13.600000000000001</v>
      </c>
    </row>
    <row r="681" spans="2:19" ht="24" x14ac:dyDescent="0.2">
      <c r="B681" s="67">
        <f t="shared" si="82"/>
        <v>94</v>
      </c>
      <c r="C681" s="71"/>
      <c r="D681" s="71"/>
      <c r="E681" s="71"/>
      <c r="F681" s="72"/>
      <c r="G681" s="71"/>
      <c r="H681" s="135" t="s">
        <v>582</v>
      </c>
      <c r="I681" s="136"/>
      <c r="J681" s="136"/>
      <c r="K681" s="247"/>
      <c r="L681" s="149"/>
      <c r="M681" s="136">
        <v>7500</v>
      </c>
      <c r="N681" s="136"/>
      <c r="O681" s="225">
        <f t="shared" si="78"/>
        <v>0</v>
      </c>
      <c r="P681" s="149"/>
      <c r="Q681" s="136">
        <f t="shared" si="79"/>
        <v>7500</v>
      </c>
      <c r="R681" s="136">
        <f t="shared" si="77"/>
        <v>0</v>
      </c>
      <c r="S681" s="244">
        <f t="shared" si="80"/>
        <v>0</v>
      </c>
    </row>
    <row r="682" spans="2:19" ht="24" x14ac:dyDescent="0.2">
      <c r="B682" s="67">
        <f t="shared" si="82"/>
        <v>95</v>
      </c>
      <c r="C682" s="71"/>
      <c r="D682" s="71"/>
      <c r="E682" s="71"/>
      <c r="F682" s="72"/>
      <c r="G682" s="71"/>
      <c r="H682" s="135" t="s">
        <v>583</v>
      </c>
      <c r="I682" s="136"/>
      <c r="J682" s="136"/>
      <c r="K682" s="247"/>
      <c r="L682" s="149"/>
      <c r="M682" s="136">
        <v>5500</v>
      </c>
      <c r="N682" s="136"/>
      <c r="O682" s="225">
        <f t="shared" si="78"/>
        <v>0</v>
      </c>
      <c r="P682" s="149"/>
      <c r="Q682" s="136">
        <f t="shared" si="79"/>
        <v>5500</v>
      </c>
      <c r="R682" s="136">
        <f t="shared" si="77"/>
        <v>0</v>
      </c>
      <c r="S682" s="244">
        <f t="shared" si="80"/>
        <v>0</v>
      </c>
    </row>
    <row r="683" spans="2:19" ht="36" x14ac:dyDescent="0.2">
      <c r="B683" s="67">
        <f t="shared" si="82"/>
        <v>96</v>
      </c>
      <c r="C683" s="71"/>
      <c r="D683" s="71"/>
      <c r="E683" s="71"/>
      <c r="F683" s="72"/>
      <c r="G683" s="71"/>
      <c r="H683" s="135" t="s">
        <v>585</v>
      </c>
      <c r="I683" s="136"/>
      <c r="J683" s="136"/>
      <c r="K683" s="247"/>
      <c r="L683" s="149"/>
      <c r="M683" s="136">
        <v>13000</v>
      </c>
      <c r="N683" s="136"/>
      <c r="O683" s="225">
        <f t="shared" si="78"/>
        <v>0</v>
      </c>
      <c r="P683" s="149"/>
      <c r="Q683" s="136">
        <f t="shared" si="79"/>
        <v>13000</v>
      </c>
      <c r="R683" s="136">
        <f t="shared" ref="R683:R700" si="83">J683+N683</f>
        <v>0</v>
      </c>
      <c r="S683" s="244">
        <f t="shared" si="80"/>
        <v>0</v>
      </c>
    </row>
    <row r="684" spans="2:19" x14ac:dyDescent="0.2">
      <c r="B684" s="67">
        <f t="shared" si="82"/>
        <v>97</v>
      </c>
      <c r="C684" s="71"/>
      <c r="D684" s="71"/>
      <c r="E684" s="71"/>
      <c r="F684" s="72"/>
      <c r="G684" s="71"/>
      <c r="H684" s="117" t="s">
        <v>532</v>
      </c>
      <c r="I684" s="118"/>
      <c r="J684" s="118"/>
      <c r="K684" s="247"/>
      <c r="L684" s="149"/>
      <c r="M684" s="118">
        <f>19000-2350</f>
        <v>16650</v>
      </c>
      <c r="N684" s="118">
        <v>750</v>
      </c>
      <c r="O684" s="225">
        <f t="shared" si="78"/>
        <v>4.5045045045045047</v>
      </c>
      <c r="P684" s="149"/>
      <c r="Q684" s="118">
        <f t="shared" si="79"/>
        <v>16650</v>
      </c>
      <c r="R684" s="118">
        <f t="shared" si="83"/>
        <v>750</v>
      </c>
      <c r="S684" s="244">
        <f t="shared" si="80"/>
        <v>4.5045045045045047</v>
      </c>
    </row>
    <row r="685" spans="2:19" x14ac:dyDescent="0.2">
      <c r="B685" s="67">
        <f t="shared" si="82"/>
        <v>98</v>
      </c>
      <c r="C685" s="71"/>
      <c r="D685" s="71"/>
      <c r="E685" s="71"/>
      <c r="F685" s="72"/>
      <c r="G685" s="71"/>
      <c r="H685" s="117" t="s">
        <v>533</v>
      </c>
      <c r="I685" s="118"/>
      <c r="J685" s="118"/>
      <c r="K685" s="247"/>
      <c r="L685" s="149"/>
      <c r="M685" s="118">
        <f>15000+2000</f>
        <v>17000</v>
      </c>
      <c r="N685" s="118">
        <v>61</v>
      </c>
      <c r="O685" s="225">
        <f t="shared" si="78"/>
        <v>0.35882352941176471</v>
      </c>
      <c r="P685" s="149"/>
      <c r="Q685" s="118">
        <f t="shared" si="79"/>
        <v>17000</v>
      </c>
      <c r="R685" s="118">
        <f t="shared" si="83"/>
        <v>61</v>
      </c>
      <c r="S685" s="244">
        <f t="shared" si="80"/>
        <v>0.35882352941176471</v>
      </c>
    </row>
    <row r="686" spans="2:19" x14ac:dyDescent="0.2">
      <c r="B686" s="67">
        <f t="shared" si="82"/>
        <v>99</v>
      </c>
      <c r="C686" s="71"/>
      <c r="D686" s="71"/>
      <c r="E686" s="71"/>
      <c r="F686" s="72"/>
      <c r="G686" s="71"/>
      <c r="H686" s="117" t="s">
        <v>534</v>
      </c>
      <c r="I686" s="118"/>
      <c r="J686" s="118"/>
      <c r="K686" s="247"/>
      <c r="L686" s="149"/>
      <c r="M686" s="118">
        <v>10000</v>
      </c>
      <c r="N686" s="118"/>
      <c r="O686" s="225">
        <f t="shared" si="78"/>
        <v>0</v>
      </c>
      <c r="P686" s="149"/>
      <c r="Q686" s="118">
        <f t="shared" si="79"/>
        <v>10000</v>
      </c>
      <c r="R686" s="118">
        <f t="shared" si="83"/>
        <v>0</v>
      </c>
      <c r="S686" s="244">
        <f t="shared" si="80"/>
        <v>0</v>
      </c>
    </row>
    <row r="687" spans="2:19" ht="24" x14ac:dyDescent="0.2">
      <c r="B687" s="67">
        <f t="shared" si="82"/>
        <v>100</v>
      </c>
      <c r="C687" s="71"/>
      <c r="D687" s="71"/>
      <c r="E687" s="71"/>
      <c r="F687" s="72"/>
      <c r="G687" s="71"/>
      <c r="H687" s="117" t="s">
        <v>535</v>
      </c>
      <c r="I687" s="118"/>
      <c r="J687" s="118"/>
      <c r="K687" s="247"/>
      <c r="L687" s="149"/>
      <c r="M687" s="118">
        <f>8500+2800</f>
        <v>11300</v>
      </c>
      <c r="N687" s="118"/>
      <c r="O687" s="225">
        <f t="shared" si="78"/>
        <v>0</v>
      </c>
      <c r="P687" s="149"/>
      <c r="Q687" s="118">
        <f t="shared" si="79"/>
        <v>11300</v>
      </c>
      <c r="R687" s="118">
        <f t="shared" si="83"/>
        <v>0</v>
      </c>
      <c r="S687" s="244">
        <f t="shared" si="80"/>
        <v>0</v>
      </c>
    </row>
    <row r="688" spans="2:19" x14ac:dyDescent="0.2">
      <c r="B688" s="67">
        <f t="shared" si="82"/>
        <v>101</v>
      </c>
      <c r="C688" s="71"/>
      <c r="D688" s="71"/>
      <c r="E688" s="71"/>
      <c r="F688" s="72"/>
      <c r="G688" s="71"/>
      <c r="H688" s="117" t="s">
        <v>536</v>
      </c>
      <c r="I688" s="118"/>
      <c r="J688" s="118"/>
      <c r="K688" s="247"/>
      <c r="L688" s="149"/>
      <c r="M688" s="118">
        <v>3000</v>
      </c>
      <c r="N688" s="118"/>
      <c r="O688" s="225">
        <f t="shared" si="78"/>
        <v>0</v>
      </c>
      <c r="P688" s="149"/>
      <c r="Q688" s="118">
        <f t="shared" si="79"/>
        <v>3000</v>
      </c>
      <c r="R688" s="118">
        <f t="shared" si="83"/>
        <v>0</v>
      </c>
      <c r="S688" s="244">
        <f t="shared" si="80"/>
        <v>0</v>
      </c>
    </row>
    <row r="689" spans="2:19" ht="24" x14ac:dyDescent="0.2">
      <c r="B689" s="67">
        <f t="shared" si="82"/>
        <v>102</v>
      </c>
      <c r="C689" s="71"/>
      <c r="D689" s="71"/>
      <c r="E689" s="71"/>
      <c r="F689" s="72"/>
      <c r="G689" s="71"/>
      <c r="H689" s="117" t="s">
        <v>537</v>
      </c>
      <c r="I689" s="118"/>
      <c r="J689" s="118"/>
      <c r="K689" s="247"/>
      <c r="L689" s="149"/>
      <c r="M689" s="118">
        <f>10000+14200</f>
        <v>24200</v>
      </c>
      <c r="N689" s="118"/>
      <c r="O689" s="225">
        <f t="shared" si="78"/>
        <v>0</v>
      </c>
      <c r="P689" s="149"/>
      <c r="Q689" s="118">
        <f t="shared" si="79"/>
        <v>24200</v>
      </c>
      <c r="R689" s="118">
        <f t="shared" si="83"/>
        <v>0</v>
      </c>
      <c r="S689" s="244">
        <f t="shared" si="80"/>
        <v>0</v>
      </c>
    </row>
    <row r="690" spans="2:19" ht="24" x14ac:dyDescent="0.2">
      <c r="B690" s="67">
        <f t="shared" si="82"/>
        <v>103</v>
      </c>
      <c r="C690" s="71"/>
      <c r="D690" s="71"/>
      <c r="E690" s="71"/>
      <c r="F690" s="72"/>
      <c r="G690" s="71"/>
      <c r="H690" s="117" t="s">
        <v>673</v>
      </c>
      <c r="I690" s="118"/>
      <c r="J690" s="118"/>
      <c r="K690" s="247"/>
      <c r="L690" s="149"/>
      <c r="M690" s="118">
        <v>3500</v>
      </c>
      <c r="N690" s="118"/>
      <c r="O690" s="225">
        <f t="shared" si="78"/>
        <v>0</v>
      </c>
      <c r="P690" s="149"/>
      <c r="Q690" s="118">
        <f t="shared" si="79"/>
        <v>3500</v>
      </c>
      <c r="R690" s="118">
        <f t="shared" si="83"/>
        <v>0</v>
      </c>
      <c r="S690" s="244">
        <f t="shared" si="80"/>
        <v>0</v>
      </c>
    </row>
    <row r="691" spans="2:19" ht="24" x14ac:dyDescent="0.2">
      <c r="B691" s="67">
        <f t="shared" si="82"/>
        <v>104</v>
      </c>
      <c r="C691" s="71"/>
      <c r="D691" s="71"/>
      <c r="E691" s="71"/>
      <c r="F691" s="72"/>
      <c r="G691" s="71"/>
      <c r="H691" s="117" t="s">
        <v>674</v>
      </c>
      <c r="I691" s="118"/>
      <c r="J691" s="118"/>
      <c r="K691" s="247"/>
      <c r="L691" s="149"/>
      <c r="M691" s="118">
        <v>4000</v>
      </c>
      <c r="N691" s="118"/>
      <c r="O691" s="225">
        <f t="shared" si="78"/>
        <v>0</v>
      </c>
      <c r="P691" s="149"/>
      <c r="Q691" s="118">
        <f t="shared" si="79"/>
        <v>4000</v>
      </c>
      <c r="R691" s="118">
        <f t="shared" si="83"/>
        <v>0</v>
      </c>
      <c r="S691" s="244">
        <f t="shared" si="80"/>
        <v>0</v>
      </c>
    </row>
    <row r="692" spans="2:19" x14ac:dyDescent="0.2">
      <c r="B692" s="67">
        <f t="shared" si="82"/>
        <v>105</v>
      </c>
      <c r="C692" s="71"/>
      <c r="D692" s="71"/>
      <c r="E692" s="71"/>
      <c r="F692" s="72"/>
      <c r="G692" s="71"/>
      <c r="H692" s="148" t="s">
        <v>604</v>
      </c>
      <c r="I692" s="149"/>
      <c r="J692" s="149"/>
      <c r="K692" s="247"/>
      <c r="L692" s="149"/>
      <c r="M692" s="149">
        <f>150000-6000</f>
        <v>144000</v>
      </c>
      <c r="N692" s="149">
        <v>390</v>
      </c>
      <c r="O692" s="225">
        <f t="shared" si="78"/>
        <v>0.27083333333333337</v>
      </c>
      <c r="P692" s="149"/>
      <c r="Q692" s="149">
        <f t="shared" si="79"/>
        <v>144000</v>
      </c>
      <c r="R692" s="149">
        <f t="shared" si="83"/>
        <v>390</v>
      </c>
      <c r="S692" s="244">
        <f t="shared" si="80"/>
        <v>0.27083333333333337</v>
      </c>
    </row>
    <row r="693" spans="2:19" x14ac:dyDescent="0.2">
      <c r="B693" s="67">
        <f t="shared" si="82"/>
        <v>106</v>
      </c>
      <c r="C693" s="71"/>
      <c r="D693" s="71"/>
      <c r="E693" s="71"/>
      <c r="F693" s="72"/>
      <c r="G693" s="71"/>
      <c r="H693" s="148" t="s">
        <v>607</v>
      </c>
      <c r="I693" s="149"/>
      <c r="J693" s="149"/>
      <c r="K693" s="247"/>
      <c r="L693" s="149"/>
      <c r="M693" s="149">
        <f>115000+30000</f>
        <v>145000</v>
      </c>
      <c r="N693" s="149"/>
      <c r="O693" s="225">
        <f t="shared" si="78"/>
        <v>0</v>
      </c>
      <c r="P693" s="149"/>
      <c r="Q693" s="149">
        <f t="shared" si="79"/>
        <v>145000</v>
      </c>
      <c r="R693" s="149">
        <f t="shared" si="83"/>
        <v>0</v>
      </c>
      <c r="S693" s="244">
        <f t="shared" si="80"/>
        <v>0</v>
      </c>
    </row>
    <row r="694" spans="2:19" x14ac:dyDescent="0.2">
      <c r="B694" s="67">
        <f t="shared" si="82"/>
        <v>107</v>
      </c>
      <c r="C694" s="71"/>
      <c r="D694" s="71"/>
      <c r="E694" s="71"/>
      <c r="F694" s="72"/>
      <c r="G694" s="71"/>
      <c r="H694" s="148" t="s">
        <v>608</v>
      </c>
      <c r="I694" s="149"/>
      <c r="J694" s="149"/>
      <c r="K694" s="247"/>
      <c r="L694" s="149"/>
      <c r="M694" s="149">
        <f>100000-2000</f>
        <v>98000</v>
      </c>
      <c r="N694" s="149"/>
      <c r="O694" s="225">
        <f t="shared" si="78"/>
        <v>0</v>
      </c>
      <c r="P694" s="149"/>
      <c r="Q694" s="149">
        <f t="shared" si="79"/>
        <v>98000</v>
      </c>
      <c r="R694" s="149">
        <f t="shared" si="83"/>
        <v>0</v>
      </c>
      <c r="S694" s="244">
        <f t="shared" si="80"/>
        <v>0</v>
      </c>
    </row>
    <row r="695" spans="2:19" x14ac:dyDescent="0.2">
      <c r="B695" s="67">
        <f t="shared" si="82"/>
        <v>108</v>
      </c>
      <c r="C695" s="71"/>
      <c r="D695" s="71"/>
      <c r="E695" s="71"/>
      <c r="F695" s="72"/>
      <c r="G695" s="71"/>
      <c r="H695" s="148" t="s">
        <v>609</v>
      </c>
      <c r="I695" s="149"/>
      <c r="J695" s="149"/>
      <c r="K695" s="247"/>
      <c r="L695" s="149"/>
      <c r="M695" s="149">
        <v>70000</v>
      </c>
      <c r="N695" s="149"/>
      <c r="O695" s="225">
        <f t="shared" si="78"/>
        <v>0</v>
      </c>
      <c r="P695" s="149"/>
      <c r="Q695" s="149">
        <f t="shared" si="79"/>
        <v>70000</v>
      </c>
      <c r="R695" s="149">
        <f t="shared" si="83"/>
        <v>0</v>
      </c>
      <c r="S695" s="244">
        <f t="shared" si="80"/>
        <v>0</v>
      </c>
    </row>
    <row r="696" spans="2:19" x14ac:dyDescent="0.2">
      <c r="B696" s="67">
        <f t="shared" si="82"/>
        <v>109</v>
      </c>
      <c r="C696" s="71"/>
      <c r="D696" s="71"/>
      <c r="E696" s="71"/>
      <c r="F696" s="72"/>
      <c r="G696" s="71"/>
      <c r="H696" s="148" t="s">
        <v>633</v>
      </c>
      <c r="I696" s="149"/>
      <c r="J696" s="149"/>
      <c r="K696" s="247"/>
      <c r="L696" s="149"/>
      <c r="M696" s="149">
        <v>100000</v>
      </c>
      <c r="N696" s="149"/>
      <c r="O696" s="225">
        <f t="shared" si="78"/>
        <v>0</v>
      </c>
      <c r="P696" s="149"/>
      <c r="Q696" s="149">
        <f t="shared" si="79"/>
        <v>100000</v>
      </c>
      <c r="R696" s="149">
        <f t="shared" si="83"/>
        <v>0</v>
      </c>
      <c r="S696" s="244">
        <f t="shared" si="80"/>
        <v>0</v>
      </c>
    </row>
    <row r="697" spans="2:19" x14ac:dyDescent="0.2">
      <c r="B697" s="67">
        <f t="shared" si="82"/>
        <v>110</v>
      </c>
      <c r="C697" s="2"/>
      <c r="D697" s="2"/>
      <c r="E697" s="2"/>
      <c r="F697" s="45" t="s">
        <v>5</v>
      </c>
      <c r="G697" s="11">
        <v>720</v>
      </c>
      <c r="H697" s="11" t="s">
        <v>433</v>
      </c>
      <c r="I697" s="42">
        <f>I698</f>
        <v>0</v>
      </c>
      <c r="J697" s="42">
        <f>J698</f>
        <v>0</v>
      </c>
      <c r="K697" s="245"/>
      <c r="L697" s="114"/>
      <c r="M697" s="42">
        <f>M698</f>
        <v>270126</v>
      </c>
      <c r="N697" s="42">
        <f>N698</f>
        <v>215125</v>
      </c>
      <c r="O697" s="225">
        <f t="shared" si="78"/>
        <v>79.638761170712925</v>
      </c>
      <c r="P697" s="114"/>
      <c r="Q697" s="42">
        <f t="shared" si="79"/>
        <v>270126</v>
      </c>
      <c r="R697" s="42">
        <f t="shared" si="83"/>
        <v>215125</v>
      </c>
      <c r="S697" s="244">
        <f t="shared" si="80"/>
        <v>79.638761170712925</v>
      </c>
    </row>
    <row r="698" spans="2:19" x14ac:dyDescent="0.2">
      <c r="B698" s="67">
        <f t="shared" si="82"/>
        <v>111</v>
      </c>
      <c r="C698" s="2"/>
      <c r="D698" s="2"/>
      <c r="E698" s="2"/>
      <c r="F698" s="77" t="s">
        <v>5</v>
      </c>
      <c r="G698" s="78">
        <v>720</v>
      </c>
      <c r="H698" s="78" t="s">
        <v>433</v>
      </c>
      <c r="I698" s="79"/>
      <c r="J698" s="79"/>
      <c r="K698" s="246"/>
      <c r="L698" s="68"/>
      <c r="M698" s="79">
        <f>M699+M700</f>
        <v>270126</v>
      </c>
      <c r="N698" s="79">
        <f>N699+N700</f>
        <v>215125</v>
      </c>
      <c r="O698" s="225">
        <f t="shared" si="78"/>
        <v>79.638761170712925</v>
      </c>
      <c r="P698" s="68"/>
      <c r="Q698" s="79">
        <f t="shared" si="79"/>
        <v>270126</v>
      </c>
      <c r="R698" s="79">
        <f t="shared" si="83"/>
        <v>215125</v>
      </c>
      <c r="S698" s="244">
        <f t="shared" si="80"/>
        <v>79.638761170712925</v>
      </c>
    </row>
    <row r="699" spans="2:19" x14ac:dyDescent="0.2">
      <c r="B699" s="67">
        <f t="shared" si="82"/>
        <v>112</v>
      </c>
      <c r="C699" s="2"/>
      <c r="D699" s="2"/>
      <c r="E699" s="2"/>
      <c r="F699" s="100"/>
      <c r="G699" s="99">
        <v>723</v>
      </c>
      <c r="H699" s="99" t="s">
        <v>434</v>
      </c>
      <c r="I699" s="68"/>
      <c r="J699" s="68"/>
      <c r="K699" s="246"/>
      <c r="L699" s="68"/>
      <c r="M699" s="68">
        <v>55000</v>
      </c>
      <c r="N699" s="68">
        <v>0</v>
      </c>
      <c r="O699" s="225">
        <f t="shared" si="78"/>
        <v>0</v>
      </c>
      <c r="P699" s="68"/>
      <c r="Q699" s="68">
        <f t="shared" si="79"/>
        <v>55000</v>
      </c>
      <c r="R699" s="68">
        <f t="shared" si="83"/>
        <v>0</v>
      </c>
      <c r="S699" s="244">
        <f t="shared" si="80"/>
        <v>0</v>
      </c>
    </row>
    <row r="700" spans="2:19" x14ac:dyDescent="0.2">
      <c r="B700" s="67">
        <f t="shared" si="82"/>
        <v>113</v>
      </c>
      <c r="C700" s="2"/>
      <c r="D700" s="2"/>
      <c r="E700" s="2"/>
      <c r="F700" s="100"/>
      <c r="G700" s="99">
        <v>723</v>
      </c>
      <c r="H700" s="99" t="s">
        <v>526</v>
      </c>
      <c r="I700" s="68"/>
      <c r="J700" s="68"/>
      <c r="K700" s="246"/>
      <c r="L700" s="68"/>
      <c r="M700" s="68">
        <f>297675-82549</f>
        <v>215126</v>
      </c>
      <c r="N700" s="68">
        <v>215125</v>
      </c>
      <c r="O700" s="225">
        <f t="shared" si="78"/>
        <v>99.99953515614105</v>
      </c>
      <c r="P700" s="68"/>
      <c r="Q700" s="68">
        <f t="shared" si="79"/>
        <v>215126</v>
      </c>
      <c r="R700" s="68">
        <f t="shared" si="83"/>
        <v>215125</v>
      </c>
      <c r="S700" s="244">
        <f t="shared" si="80"/>
        <v>99.99953515614105</v>
      </c>
    </row>
    <row r="701" spans="2:19" x14ac:dyDescent="0.2">
      <c r="B701" s="89"/>
      <c r="C701" s="9"/>
      <c r="D701" s="9"/>
      <c r="E701" s="9"/>
      <c r="F701" s="101"/>
      <c r="G701" s="9"/>
      <c r="H701" s="9"/>
      <c r="I701" s="102"/>
      <c r="J701" s="102"/>
      <c r="K701" s="176"/>
      <c r="L701" s="176"/>
      <c r="M701" s="102"/>
      <c r="N701" s="102"/>
      <c r="O701" s="176"/>
      <c r="P701" s="176"/>
      <c r="Q701" s="102"/>
    </row>
    <row r="756" spans="2:19" ht="30.75" customHeight="1" x14ac:dyDescent="0.35">
      <c r="B756" s="306" t="s">
        <v>301</v>
      </c>
      <c r="C756" s="307"/>
      <c r="D756" s="307"/>
      <c r="E756" s="307"/>
      <c r="F756" s="307"/>
      <c r="G756" s="307"/>
      <c r="H756" s="307"/>
      <c r="I756" s="307"/>
      <c r="J756" s="307"/>
      <c r="K756" s="307"/>
      <c r="L756" s="307"/>
      <c r="M756" s="307"/>
      <c r="N756" s="307"/>
      <c r="O756" s="307"/>
      <c r="P756" s="307"/>
      <c r="Q756" s="307"/>
    </row>
    <row r="757" spans="2:19" ht="19.5" customHeight="1" x14ac:dyDescent="0.2">
      <c r="B757" s="308" t="s">
        <v>279</v>
      </c>
      <c r="C757" s="309"/>
      <c r="D757" s="309"/>
      <c r="E757" s="309"/>
      <c r="F757" s="309"/>
      <c r="G757" s="309"/>
      <c r="H757" s="309"/>
      <c r="I757" s="309"/>
      <c r="J757" s="309"/>
      <c r="K757" s="309"/>
      <c r="L757" s="309"/>
      <c r="M757" s="309"/>
      <c r="N757" s="181"/>
      <c r="O757" s="182"/>
      <c r="P757" s="182"/>
      <c r="Q757" s="310" t="s">
        <v>590</v>
      </c>
      <c r="R757" s="310" t="s">
        <v>693</v>
      </c>
      <c r="S757" s="337" t="s">
        <v>691</v>
      </c>
    </row>
    <row r="758" spans="2:19" ht="14.25" customHeight="1" x14ac:dyDescent="0.2">
      <c r="B758" s="313" t="s">
        <v>111</v>
      </c>
      <c r="C758" s="315" t="s">
        <v>119</v>
      </c>
      <c r="D758" s="315" t="s">
        <v>120</v>
      </c>
      <c r="E758" s="317" t="s">
        <v>124</v>
      </c>
      <c r="F758" s="315" t="s">
        <v>121</v>
      </c>
      <c r="G758" s="315" t="s">
        <v>122</v>
      </c>
      <c r="H758" s="320" t="s">
        <v>123</v>
      </c>
      <c r="I758" s="310" t="s">
        <v>587</v>
      </c>
      <c r="J758" s="310" t="s">
        <v>690</v>
      </c>
      <c r="K758" s="337" t="s">
        <v>691</v>
      </c>
      <c r="L758" s="169"/>
      <c r="M758" s="310" t="s">
        <v>588</v>
      </c>
      <c r="N758" s="311" t="s">
        <v>692</v>
      </c>
      <c r="O758" s="337" t="s">
        <v>691</v>
      </c>
      <c r="P758" s="170"/>
      <c r="Q758" s="311"/>
      <c r="R758" s="311"/>
      <c r="S758" s="338"/>
    </row>
    <row r="759" spans="2:19" ht="17.25" customHeight="1" x14ac:dyDescent="0.2">
      <c r="B759" s="313"/>
      <c r="C759" s="315"/>
      <c r="D759" s="315"/>
      <c r="E759" s="318"/>
      <c r="F759" s="315"/>
      <c r="G759" s="315"/>
      <c r="H759" s="320"/>
      <c r="I759" s="311"/>
      <c r="J759" s="311"/>
      <c r="K759" s="338"/>
      <c r="L759" s="170"/>
      <c r="M759" s="311"/>
      <c r="N759" s="311"/>
      <c r="O759" s="338"/>
      <c r="P759" s="170"/>
      <c r="Q759" s="311"/>
      <c r="R759" s="311"/>
      <c r="S759" s="338"/>
    </row>
    <row r="760" spans="2:19" ht="16.5" customHeight="1" x14ac:dyDescent="0.2">
      <c r="B760" s="313"/>
      <c r="C760" s="315"/>
      <c r="D760" s="315"/>
      <c r="E760" s="318"/>
      <c r="F760" s="315"/>
      <c r="G760" s="315"/>
      <c r="H760" s="320"/>
      <c r="I760" s="311"/>
      <c r="J760" s="311"/>
      <c r="K760" s="338"/>
      <c r="L760" s="170"/>
      <c r="M760" s="311"/>
      <c r="N760" s="311"/>
      <c r="O760" s="338"/>
      <c r="P760" s="170"/>
      <c r="Q760" s="311"/>
      <c r="R760" s="311"/>
      <c r="S760" s="338"/>
    </row>
    <row r="761" spans="2:19" ht="13.5" thickBot="1" x14ac:dyDescent="0.25">
      <c r="B761" s="314"/>
      <c r="C761" s="316"/>
      <c r="D761" s="316"/>
      <c r="E761" s="319"/>
      <c r="F761" s="316"/>
      <c r="G761" s="316"/>
      <c r="H761" s="321"/>
      <c r="I761" s="312"/>
      <c r="J761" s="312"/>
      <c r="K761" s="339"/>
      <c r="L761" s="171"/>
      <c r="M761" s="312"/>
      <c r="N761" s="312"/>
      <c r="O761" s="339"/>
      <c r="P761" s="171"/>
      <c r="Q761" s="312"/>
      <c r="R761" s="312"/>
      <c r="S761" s="339"/>
    </row>
    <row r="762" spans="2:19" ht="16.5" thickTop="1" x14ac:dyDescent="0.2">
      <c r="B762" s="66">
        <v>1</v>
      </c>
      <c r="C762" s="322" t="s">
        <v>301</v>
      </c>
      <c r="D762" s="323"/>
      <c r="E762" s="323"/>
      <c r="F762" s="323"/>
      <c r="G762" s="323"/>
      <c r="H762" s="324"/>
      <c r="I762" s="37">
        <f>I1563+I1314+I1211+I966+I763</f>
        <v>13780315</v>
      </c>
      <c r="J762" s="37">
        <f>J1563+J1314+J1211+J966+J763</f>
        <v>5856747</v>
      </c>
      <c r="K762" s="225">
        <f t="shared" ref="K762:K825" si="84">J762/I762*100</f>
        <v>42.500820917373808</v>
      </c>
      <c r="L762" s="172"/>
      <c r="M762" s="37">
        <f>M1563+M1314+M1211+M966+M763</f>
        <v>1073706</v>
      </c>
      <c r="N762" s="37">
        <f>N1563+N1314+N1211+N966+N763</f>
        <v>36106</v>
      </c>
      <c r="O762" s="225">
        <f t="shared" ref="O762:O821" si="85">N762/M762*100</f>
        <v>3.3627454815377766</v>
      </c>
      <c r="P762" s="172"/>
      <c r="Q762" s="37">
        <f t="shared" ref="Q762:Q825" si="86">M762+I762</f>
        <v>14854021</v>
      </c>
      <c r="R762" s="37">
        <f t="shared" ref="R762:R785" si="87">N762+J762</f>
        <v>5892853</v>
      </c>
      <c r="S762" s="244">
        <f t="shared" ref="S762:S825" si="88">R762/Q762*100</f>
        <v>39.6717696844511</v>
      </c>
    </row>
    <row r="763" spans="2:19" ht="15" x14ac:dyDescent="0.2">
      <c r="B763" s="67">
        <f t="shared" ref="B763:B826" si="89">B762+1</f>
        <v>2</v>
      </c>
      <c r="C763" s="166">
        <v>1</v>
      </c>
      <c r="D763" s="325" t="s">
        <v>199</v>
      </c>
      <c r="E763" s="326"/>
      <c r="F763" s="326"/>
      <c r="G763" s="326"/>
      <c r="H763" s="327"/>
      <c r="I763" s="38">
        <f>I764+I774+I789</f>
        <v>3432857</v>
      </c>
      <c r="J763" s="38">
        <f>J764+J774+J789</f>
        <v>1524070</v>
      </c>
      <c r="K763" s="225">
        <f t="shared" si="84"/>
        <v>44.396547831733159</v>
      </c>
      <c r="L763" s="173"/>
      <c r="M763" s="38">
        <f>M764+M774+M789</f>
        <v>562706</v>
      </c>
      <c r="N763" s="38">
        <f>N764+N774+N789</f>
        <v>32156</v>
      </c>
      <c r="O763" s="225">
        <f t="shared" si="85"/>
        <v>5.7145294345537456</v>
      </c>
      <c r="P763" s="173"/>
      <c r="Q763" s="38">
        <f t="shared" si="86"/>
        <v>3995563</v>
      </c>
      <c r="R763" s="38">
        <f t="shared" si="87"/>
        <v>1556226</v>
      </c>
      <c r="S763" s="244">
        <f t="shared" si="88"/>
        <v>38.948854016317604</v>
      </c>
    </row>
    <row r="764" spans="2:19" x14ac:dyDescent="0.2">
      <c r="B764" s="67">
        <f t="shared" si="89"/>
        <v>3</v>
      </c>
      <c r="C764" s="11"/>
      <c r="D764" s="11"/>
      <c r="E764" s="11"/>
      <c r="F764" s="45" t="s">
        <v>198</v>
      </c>
      <c r="G764" s="11">
        <v>640</v>
      </c>
      <c r="H764" s="11" t="s">
        <v>134</v>
      </c>
      <c r="I764" s="42">
        <f>SUM(I765:I773)</f>
        <v>380099</v>
      </c>
      <c r="J764" s="42">
        <f>SUM(J765:J773)</f>
        <v>183042</v>
      </c>
      <c r="K764" s="225">
        <f t="shared" si="84"/>
        <v>48.156401358593421</v>
      </c>
      <c r="L764" s="114"/>
      <c r="M764" s="42"/>
      <c r="N764" s="42"/>
      <c r="O764" s="225"/>
      <c r="P764" s="114"/>
      <c r="Q764" s="42">
        <f t="shared" si="86"/>
        <v>380099</v>
      </c>
      <c r="R764" s="42">
        <f t="shared" si="87"/>
        <v>183042</v>
      </c>
      <c r="S764" s="244">
        <f t="shared" si="88"/>
        <v>48.156401358593421</v>
      </c>
    </row>
    <row r="765" spans="2:19" x14ac:dyDescent="0.2">
      <c r="B765" s="67">
        <f t="shared" si="89"/>
        <v>4</v>
      </c>
      <c r="C765" s="11"/>
      <c r="D765" s="11"/>
      <c r="E765" s="11"/>
      <c r="F765" s="45"/>
      <c r="G765" s="11"/>
      <c r="H765" s="53" t="s">
        <v>248</v>
      </c>
      <c r="I765" s="51">
        <v>95582</v>
      </c>
      <c r="J765" s="51">
        <v>47790</v>
      </c>
      <c r="K765" s="225">
        <f t="shared" si="84"/>
        <v>49.998953777907971</v>
      </c>
      <c r="L765" s="68"/>
      <c r="M765" s="51"/>
      <c r="N765" s="51"/>
      <c r="O765" s="225"/>
      <c r="P765" s="68"/>
      <c r="Q765" s="51">
        <f t="shared" si="86"/>
        <v>95582</v>
      </c>
      <c r="R765" s="51">
        <f t="shared" si="87"/>
        <v>47790</v>
      </c>
      <c r="S765" s="244">
        <f t="shared" si="88"/>
        <v>49.998953777907971</v>
      </c>
    </row>
    <row r="766" spans="2:19" x14ac:dyDescent="0.2">
      <c r="B766" s="67">
        <f t="shared" si="89"/>
        <v>5</v>
      </c>
      <c r="C766" s="11"/>
      <c r="D766" s="11"/>
      <c r="E766" s="11"/>
      <c r="F766" s="45"/>
      <c r="G766" s="11"/>
      <c r="H766" s="53" t="s">
        <v>374</v>
      </c>
      <c r="I766" s="51">
        <v>73941</v>
      </c>
      <c r="J766" s="51">
        <v>36966</v>
      </c>
      <c r="K766" s="225">
        <f t="shared" si="84"/>
        <v>49.993914066620682</v>
      </c>
      <c r="L766" s="68"/>
      <c r="M766" s="51"/>
      <c r="N766" s="51"/>
      <c r="O766" s="225"/>
      <c r="P766" s="68"/>
      <c r="Q766" s="51">
        <f t="shared" si="86"/>
        <v>73941</v>
      </c>
      <c r="R766" s="51">
        <f t="shared" si="87"/>
        <v>36966</v>
      </c>
      <c r="S766" s="244">
        <f t="shared" si="88"/>
        <v>49.993914066620682</v>
      </c>
    </row>
    <row r="767" spans="2:19" x14ac:dyDescent="0.2">
      <c r="B767" s="67">
        <f t="shared" si="89"/>
        <v>6</v>
      </c>
      <c r="C767" s="11"/>
      <c r="D767" s="11"/>
      <c r="E767" s="11"/>
      <c r="F767" s="45"/>
      <c r="G767" s="11"/>
      <c r="H767" s="53" t="s">
        <v>375</v>
      </c>
      <c r="I767" s="51">
        <v>45086</v>
      </c>
      <c r="J767" s="51">
        <v>22542</v>
      </c>
      <c r="K767" s="225">
        <f t="shared" si="84"/>
        <v>49.997782016590513</v>
      </c>
      <c r="L767" s="68"/>
      <c r="M767" s="51"/>
      <c r="N767" s="51"/>
      <c r="O767" s="225"/>
      <c r="P767" s="68"/>
      <c r="Q767" s="51">
        <f t="shared" si="86"/>
        <v>45086</v>
      </c>
      <c r="R767" s="51">
        <f t="shared" si="87"/>
        <v>22542</v>
      </c>
      <c r="S767" s="244">
        <f t="shared" si="88"/>
        <v>49.997782016590513</v>
      </c>
    </row>
    <row r="768" spans="2:19" x14ac:dyDescent="0.2">
      <c r="B768" s="67">
        <f t="shared" si="89"/>
        <v>7</v>
      </c>
      <c r="C768" s="11"/>
      <c r="D768" s="11"/>
      <c r="E768" s="11"/>
      <c r="F768" s="45"/>
      <c r="G768" s="11"/>
      <c r="H768" s="53" t="s">
        <v>287</v>
      </c>
      <c r="I768" s="51">
        <v>21642</v>
      </c>
      <c r="J768" s="51">
        <v>10818</v>
      </c>
      <c r="K768" s="225">
        <f t="shared" si="84"/>
        <v>49.986138064873856</v>
      </c>
      <c r="L768" s="68"/>
      <c r="M768" s="51"/>
      <c r="N768" s="51"/>
      <c r="O768" s="225"/>
      <c r="P768" s="68"/>
      <c r="Q768" s="51">
        <f t="shared" si="86"/>
        <v>21642</v>
      </c>
      <c r="R768" s="51">
        <f t="shared" si="87"/>
        <v>10818</v>
      </c>
      <c r="S768" s="244">
        <f t="shared" si="88"/>
        <v>49.986138064873856</v>
      </c>
    </row>
    <row r="769" spans="2:19" x14ac:dyDescent="0.2">
      <c r="B769" s="67">
        <f t="shared" si="89"/>
        <v>8</v>
      </c>
      <c r="C769" s="11"/>
      <c r="D769" s="11"/>
      <c r="E769" s="11"/>
      <c r="F769" s="45"/>
      <c r="G769" s="11"/>
      <c r="H769" s="53" t="s">
        <v>288</v>
      </c>
      <c r="I769" s="51">
        <v>36069</v>
      </c>
      <c r="J769" s="51">
        <v>18036</v>
      </c>
      <c r="K769" s="225">
        <f t="shared" si="84"/>
        <v>50.004158695832992</v>
      </c>
      <c r="L769" s="68"/>
      <c r="M769" s="51"/>
      <c r="N769" s="51"/>
      <c r="O769" s="225"/>
      <c r="P769" s="68"/>
      <c r="Q769" s="51">
        <f t="shared" si="86"/>
        <v>36069</v>
      </c>
      <c r="R769" s="51">
        <f t="shared" si="87"/>
        <v>18036</v>
      </c>
      <c r="S769" s="244">
        <f t="shared" si="88"/>
        <v>50.004158695832992</v>
      </c>
    </row>
    <row r="770" spans="2:19" x14ac:dyDescent="0.2">
      <c r="B770" s="67">
        <f t="shared" si="89"/>
        <v>9</v>
      </c>
      <c r="C770" s="11"/>
      <c r="D770" s="11"/>
      <c r="E770" s="11"/>
      <c r="F770" s="45"/>
      <c r="G770" s="11"/>
      <c r="H770" s="53" t="s">
        <v>289</v>
      </c>
      <c r="I770" s="51">
        <v>75744</v>
      </c>
      <c r="J770" s="51">
        <v>37872</v>
      </c>
      <c r="K770" s="225">
        <f t="shared" si="84"/>
        <v>50</v>
      </c>
      <c r="L770" s="68"/>
      <c r="M770" s="51"/>
      <c r="N770" s="51"/>
      <c r="O770" s="225"/>
      <c r="P770" s="68"/>
      <c r="Q770" s="51">
        <f t="shared" si="86"/>
        <v>75744</v>
      </c>
      <c r="R770" s="51">
        <f t="shared" si="87"/>
        <v>37872</v>
      </c>
      <c r="S770" s="244">
        <f t="shared" si="88"/>
        <v>50</v>
      </c>
    </row>
    <row r="771" spans="2:19" x14ac:dyDescent="0.2">
      <c r="B771" s="67">
        <f t="shared" si="89"/>
        <v>10</v>
      </c>
      <c r="C771" s="11"/>
      <c r="D771" s="11"/>
      <c r="E771" s="11"/>
      <c r="F771" s="45"/>
      <c r="G771" s="11"/>
      <c r="H771" s="53" t="s">
        <v>637</v>
      </c>
      <c r="I771" s="51">
        <v>7000</v>
      </c>
      <c r="J771" s="51">
        <v>0</v>
      </c>
      <c r="K771" s="225">
        <f t="shared" si="84"/>
        <v>0</v>
      </c>
      <c r="L771" s="68"/>
      <c r="M771" s="51"/>
      <c r="N771" s="51"/>
      <c r="O771" s="225"/>
      <c r="P771" s="68"/>
      <c r="Q771" s="51">
        <f t="shared" si="86"/>
        <v>7000</v>
      </c>
      <c r="R771" s="51">
        <f t="shared" si="87"/>
        <v>0</v>
      </c>
      <c r="S771" s="244">
        <f t="shared" si="88"/>
        <v>0</v>
      </c>
    </row>
    <row r="772" spans="2:19" x14ac:dyDescent="0.2">
      <c r="B772" s="67">
        <f t="shared" si="89"/>
        <v>11</v>
      </c>
      <c r="C772" s="11"/>
      <c r="D772" s="11"/>
      <c r="E772" s="11"/>
      <c r="F772" s="45"/>
      <c r="G772" s="11"/>
      <c r="H772" s="53" t="s">
        <v>659</v>
      </c>
      <c r="I772" s="51">
        <v>18035</v>
      </c>
      <c r="J772" s="51">
        <v>9018</v>
      </c>
      <c r="K772" s="225">
        <f t="shared" si="84"/>
        <v>50.002772387025232</v>
      </c>
      <c r="L772" s="68"/>
      <c r="M772" s="51"/>
      <c r="N772" s="51"/>
      <c r="O772" s="225"/>
      <c r="P772" s="68"/>
      <c r="Q772" s="51">
        <f t="shared" si="86"/>
        <v>18035</v>
      </c>
      <c r="R772" s="51">
        <f t="shared" si="87"/>
        <v>9018</v>
      </c>
      <c r="S772" s="244">
        <f t="shared" si="88"/>
        <v>50.002772387025232</v>
      </c>
    </row>
    <row r="773" spans="2:19" x14ac:dyDescent="0.2">
      <c r="B773" s="67">
        <f t="shared" si="89"/>
        <v>12</v>
      </c>
      <c r="C773" s="11"/>
      <c r="D773" s="11"/>
      <c r="E773" s="11"/>
      <c r="F773" s="45"/>
      <c r="G773" s="11"/>
      <c r="H773" s="53" t="s">
        <v>647</v>
      </c>
      <c r="I773" s="51">
        <v>7000</v>
      </c>
      <c r="J773" s="51">
        <v>0</v>
      </c>
      <c r="K773" s="225">
        <f t="shared" si="84"/>
        <v>0</v>
      </c>
      <c r="L773" s="68"/>
      <c r="M773" s="51"/>
      <c r="N773" s="51"/>
      <c r="O773" s="225"/>
      <c r="P773" s="68"/>
      <c r="Q773" s="51">
        <f t="shared" si="86"/>
        <v>7000</v>
      </c>
      <c r="R773" s="51">
        <f t="shared" si="87"/>
        <v>0</v>
      </c>
      <c r="S773" s="244">
        <f t="shared" si="88"/>
        <v>0</v>
      </c>
    </row>
    <row r="774" spans="2:19" ht="15" x14ac:dyDescent="0.25">
      <c r="B774" s="67">
        <f t="shared" si="89"/>
        <v>13</v>
      </c>
      <c r="C774" s="14"/>
      <c r="D774" s="14"/>
      <c r="E774" s="14">
        <v>3</v>
      </c>
      <c r="F774" s="43"/>
      <c r="G774" s="14"/>
      <c r="H774" s="14" t="s">
        <v>267</v>
      </c>
      <c r="I774" s="40">
        <f>I775+I776+I777+I784</f>
        <v>417563</v>
      </c>
      <c r="J774" s="40">
        <f>J775+J776+J777+J784</f>
        <v>192839</v>
      </c>
      <c r="K774" s="225">
        <f t="shared" si="84"/>
        <v>46.182013253089956</v>
      </c>
      <c r="L774" s="175"/>
      <c r="M774" s="40">
        <f>M775+M776+M777+M784+M787+M785</f>
        <v>64660</v>
      </c>
      <c r="N774" s="40">
        <f>N775+N776+N777+N784+N787+N785</f>
        <v>9310</v>
      </c>
      <c r="O774" s="225">
        <f t="shared" si="85"/>
        <v>14.398391586761521</v>
      </c>
      <c r="P774" s="175"/>
      <c r="Q774" s="40">
        <f t="shared" si="86"/>
        <v>482223</v>
      </c>
      <c r="R774" s="40">
        <f t="shared" si="87"/>
        <v>202149</v>
      </c>
      <c r="S774" s="244">
        <f t="shared" si="88"/>
        <v>41.920231925893212</v>
      </c>
    </row>
    <row r="775" spans="2:19" x14ac:dyDescent="0.2">
      <c r="B775" s="67">
        <f t="shared" si="89"/>
        <v>14</v>
      </c>
      <c r="C775" s="11"/>
      <c r="D775" s="11"/>
      <c r="E775" s="11"/>
      <c r="F775" s="45" t="s">
        <v>198</v>
      </c>
      <c r="G775" s="11">
        <v>610</v>
      </c>
      <c r="H775" s="11" t="s">
        <v>135</v>
      </c>
      <c r="I775" s="42">
        <f>233795+1300</f>
        <v>235095</v>
      </c>
      <c r="J775" s="42">
        <v>112445</v>
      </c>
      <c r="K775" s="225">
        <f t="shared" si="84"/>
        <v>47.829600799676726</v>
      </c>
      <c r="L775" s="114"/>
      <c r="M775" s="42"/>
      <c r="N775" s="42"/>
      <c r="O775" s="225"/>
      <c r="P775" s="114"/>
      <c r="Q775" s="42">
        <f t="shared" si="86"/>
        <v>235095</v>
      </c>
      <c r="R775" s="42">
        <f t="shared" si="87"/>
        <v>112445</v>
      </c>
      <c r="S775" s="244">
        <f t="shared" si="88"/>
        <v>47.829600799676726</v>
      </c>
    </row>
    <row r="776" spans="2:19" x14ac:dyDescent="0.2">
      <c r="B776" s="67">
        <f t="shared" si="89"/>
        <v>15</v>
      </c>
      <c r="C776" s="11"/>
      <c r="D776" s="11"/>
      <c r="E776" s="11"/>
      <c r="F776" s="45" t="s">
        <v>198</v>
      </c>
      <c r="G776" s="11">
        <v>620</v>
      </c>
      <c r="H776" s="11" t="s">
        <v>130</v>
      </c>
      <c r="I776" s="42">
        <f>88720+700</f>
        <v>89420</v>
      </c>
      <c r="J776" s="42">
        <v>41426</v>
      </c>
      <c r="K776" s="225">
        <f t="shared" si="84"/>
        <v>46.327443524938495</v>
      </c>
      <c r="L776" s="114"/>
      <c r="M776" s="42"/>
      <c r="N776" s="42"/>
      <c r="O776" s="225"/>
      <c r="P776" s="114"/>
      <c r="Q776" s="42">
        <f t="shared" si="86"/>
        <v>89420</v>
      </c>
      <c r="R776" s="42">
        <f t="shared" si="87"/>
        <v>41426</v>
      </c>
      <c r="S776" s="244">
        <f t="shared" si="88"/>
        <v>46.327443524938495</v>
      </c>
    </row>
    <row r="777" spans="2:19" x14ac:dyDescent="0.2">
      <c r="B777" s="67">
        <f t="shared" si="89"/>
        <v>16</v>
      </c>
      <c r="C777" s="11"/>
      <c r="D777" s="11"/>
      <c r="E777" s="11"/>
      <c r="F777" s="45" t="s">
        <v>198</v>
      </c>
      <c r="G777" s="11">
        <v>630</v>
      </c>
      <c r="H777" s="11" t="s">
        <v>127</v>
      </c>
      <c r="I777" s="42">
        <f>I783+I782+I781+I780+I779+I778</f>
        <v>87768</v>
      </c>
      <c r="J777" s="42">
        <f>J783+J782+J781+J780+J779+J778</f>
        <v>36854</v>
      </c>
      <c r="K777" s="225">
        <f t="shared" si="84"/>
        <v>41.990247014857353</v>
      </c>
      <c r="L777" s="114"/>
      <c r="M777" s="42">
        <f>M783+M782+M781+M780+M779</f>
        <v>0</v>
      </c>
      <c r="N777" s="42">
        <f>N783+N782+N781+N780+N779</f>
        <v>0</v>
      </c>
      <c r="O777" s="225"/>
      <c r="P777" s="114"/>
      <c r="Q777" s="42">
        <f t="shared" si="86"/>
        <v>87768</v>
      </c>
      <c r="R777" s="42">
        <f t="shared" si="87"/>
        <v>36854</v>
      </c>
      <c r="S777" s="244">
        <f t="shared" si="88"/>
        <v>41.990247014857353</v>
      </c>
    </row>
    <row r="778" spans="2:19" x14ac:dyDescent="0.2">
      <c r="B778" s="67">
        <f t="shared" si="89"/>
        <v>17</v>
      </c>
      <c r="C778" s="11"/>
      <c r="D778" s="11"/>
      <c r="E778" s="11"/>
      <c r="F778" s="46" t="s">
        <v>198</v>
      </c>
      <c r="G778" s="2">
        <v>631</v>
      </c>
      <c r="H778" s="2" t="s">
        <v>133</v>
      </c>
      <c r="I778" s="22">
        <v>0</v>
      </c>
      <c r="J778" s="51">
        <v>29</v>
      </c>
      <c r="K778" s="225"/>
      <c r="L778" s="68"/>
      <c r="M778" s="22"/>
      <c r="N778" s="22"/>
      <c r="O778" s="225"/>
      <c r="P778" s="68"/>
      <c r="Q778" s="22">
        <f t="shared" ref="Q778" si="90">M778+I778</f>
        <v>0</v>
      </c>
      <c r="R778" s="22">
        <f t="shared" ref="R778" si="91">N778+J778</f>
        <v>29</v>
      </c>
      <c r="S778" s="244">
        <v>0</v>
      </c>
    </row>
    <row r="779" spans="2:19" x14ac:dyDescent="0.2">
      <c r="B779" s="67">
        <f t="shared" si="89"/>
        <v>18</v>
      </c>
      <c r="C779" s="2"/>
      <c r="D779" s="2"/>
      <c r="E779" s="2"/>
      <c r="F779" s="46" t="s">
        <v>198</v>
      </c>
      <c r="G779" s="2">
        <v>632</v>
      </c>
      <c r="H779" s="2" t="s">
        <v>138</v>
      </c>
      <c r="I779" s="22">
        <v>49700</v>
      </c>
      <c r="J779" s="22">
        <v>28282</v>
      </c>
      <c r="K779" s="225">
        <f t="shared" si="84"/>
        <v>56.905432595573437</v>
      </c>
      <c r="L779" s="68"/>
      <c r="M779" s="22"/>
      <c r="N779" s="22"/>
      <c r="O779" s="225"/>
      <c r="P779" s="68"/>
      <c r="Q779" s="22">
        <f t="shared" si="86"/>
        <v>49700</v>
      </c>
      <c r="R779" s="22">
        <f t="shared" si="87"/>
        <v>28282</v>
      </c>
      <c r="S779" s="244">
        <f t="shared" si="88"/>
        <v>56.905432595573437</v>
      </c>
    </row>
    <row r="780" spans="2:19" x14ac:dyDescent="0.2">
      <c r="B780" s="67">
        <f t="shared" si="89"/>
        <v>19</v>
      </c>
      <c r="C780" s="2"/>
      <c r="D780" s="2"/>
      <c r="E780" s="2"/>
      <c r="F780" s="46" t="s">
        <v>198</v>
      </c>
      <c r="G780" s="2">
        <v>633</v>
      </c>
      <c r="H780" s="2" t="s">
        <v>131</v>
      </c>
      <c r="I780" s="22">
        <f>18864+3424</f>
        <v>22288</v>
      </c>
      <c r="J780" s="22">
        <v>2834</v>
      </c>
      <c r="K780" s="225">
        <f t="shared" si="84"/>
        <v>12.715362526920316</v>
      </c>
      <c r="L780" s="68"/>
      <c r="M780" s="22"/>
      <c r="N780" s="22"/>
      <c r="O780" s="225"/>
      <c r="P780" s="68"/>
      <c r="Q780" s="22">
        <f t="shared" si="86"/>
        <v>22288</v>
      </c>
      <c r="R780" s="22">
        <f t="shared" si="87"/>
        <v>2834</v>
      </c>
      <c r="S780" s="244">
        <f t="shared" si="88"/>
        <v>12.715362526920316</v>
      </c>
    </row>
    <row r="781" spans="2:19" x14ac:dyDescent="0.2">
      <c r="B781" s="67">
        <f t="shared" si="89"/>
        <v>20</v>
      </c>
      <c r="C781" s="2"/>
      <c r="D781" s="2"/>
      <c r="E781" s="2"/>
      <c r="F781" s="46" t="s">
        <v>198</v>
      </c>
      <c r="G781" s="2">
        <v>635</v>
      </c>
      <c r="H781" s="2" t="s">
        <v>137</v>
      </c>
      <c r="I781" s="22">
        <v>1000</v>
      </c>
      <c r="J781" s="22">
        <v>160</v>
      </c>
      <c r="K781" s="225">
        <f t="shared" si="84"/>
        <v>16</v>
      </c>
      <c r="L781" s="68"/>
      <c r="M781" s="22"/>
      <c r="N781" s="22"/>
      <c r="O781" s="225"/>
      <c r="P781" s="68"/>
      <c r="Q781" s="22">
        <f t="shared" si="86"/>
        <v>1000</v>
      </c>
      <c r="R781" s="22">
        <f t="shared" si="87"/>
        <v>160</v>
      </c>
      <c r="S781" s="244">
        <f t="shared" si="88"/>
        <v>16</v>
      </c>
    </row>
    <row r="782" spans="2:19" x14ac:dyDescent="0.2">
      <c r="B782" s="67">
        <f t="shared" si="89"/>
        <v>21</v>
      </c>
      <c r="C782" s="2"/>
      <c r="D782" s="2"/>
      <c r="E782" s="2"/>
      <c r="F782" s="46" t="s">
        <v>198</v>
      </c>
      <c r="G782" s="2">
        <v>636</v>
      </c>
      <c r="H782" s="2" t="s">
        <v>132</v>
      </c>
      <c r="I782" s="22">
        <v>7200</v>
      </c>
      <c r="J782" s="22">
        <v>1982</v>
      </c>
      <c r="K782" s="225">
        <f t="shared" si="84"/>
        <v>27.527777777777779</v>
      </c>
      <c r="L782" s="68"/>
      <c r="M782" s="22"/>
      <c r="N782" s="22"/>
      <c r="O782" s="225"/>
      <c r="P782" s="68"/>
      <c r="Q782" s="22">
        <f t="shared" si="86"/>
        <v>7200</v>
      </c>
      <c r="R782" s="22">
        <f t="shared" si="87"/>
        <v>1982</v>
      </c>
      <c r="S782" s="244">
        <f t="shared" si="88"/>
        <v>27.527777777777779</v>
      </c>
    </row>
    <row r="783" spans="2:19" x14ac:dyDescent="0.2">
      <c r="B783" s="67">
        <f t="shared" si="89"/>
        <v>22</v>
      </c>
      <c r="C783" s="2"/>
      <c r="D783" s="2"/>
      <c r="E783" s="2"/>
      <c r="F783" s="46" t="s">
        <v>198</v>
      </c>
      <c r="G783" s="2">
        <v>637</v>
      </c>
      <c r="H783" s="2" t="s">
        <v>128</v>
      </c>
      <c r="I783" s="22">
        <v>7580</v>
      </c>
      <c r="J783" s="22">
        <v>3567</v>
      </c>
      <c r="K783" s="225">
        <f t="shared" si="84"/>
        <v>47.058047493403691</v>
      </c>
      <c r="L783" s="68"/>
      <c r="M783" s="22"/>
      <c r="N783" s="22"/>
      <c r="O783" s="225"/>
      <c r="P783" s="68"/>
      <c r="Q783" s="22">
        <f t="shared" si="86"/>
        <v>7580</v>
      </c>
      <c r="R783" s="22">
        <f t="shared" si="87"/>
        <v>3567</v>
      </c>
      <c r="S783" s="244">
        <f t="shared" si="88"/>
        <v>47.058047493403691</v>
      </c>
    </row>
    <row r="784" spans="2:19" x14ac:dyDescent="0.2">
      <c r="B784" s="67">
        <f t="shared" si="89"/>
        <v>23</v>
      </c>
      <c r="C784" s="11"/>
      <c r="D784" s="11"/>
      <c r="E784" s="11"/>
      <c r="F784" s="45" t="s">
        <v>198</v>
      </c>
      <c r="G784" s="11">
        <v>640</v>
      </c>
      <c r="H784" s="11" t="s">
        <v>134</v>
      </c>
      <c r="I784" s="42">
        <v>5280</v>
      </c>
      <c r="J784" s="42">
        <v>2114</v>
      </c>
      <c r="K784" s="225">
        <f t="shared" si="84"/>
        <v>40.037878787878789</v>
      </c>
      <c r="L784" s="114"/>
      <c r="M784" s="42"/>
      <c r="N784" s="42"/>
      <c r="O784" s="225"/>
      <c r="P784" s="114"/>
      <c r="Q784" s="42">
        <f t="shared" si="86"/>
        <v>5280</v>
      </c>
      <c r="R784" s="42">
        <f t="shared" si="87"/>
        <v>2114</v>
      </c>
      <c r="S784" s="244">
        <f t="shared" si="88"/>
        <v>40.037878787878789</v>
      </c>
    </row>
    <row r="785" spans="2:19" x14ac:dyDescent="0.2">
      <c r="B785" s="67">
        <f t="shared" si="89"/>
        <v>24</v>
      </c>
      <c r="C785" s="11"/>
      <c r="D785" s="11"/>
      <c r="E785" s="11"/>
      <c r="F785" s="77" t="s">
        <v>198</v>
      </c>
      <c r="G785" s="78">
        <v>716</v>
      </c>
      <c r="H785" s="78" t="s">
        <v>0</v>
      </c>
      <c r="I785" s="79"/>
      <c r="J785" s="79"/>
      <c r="K785" s="225"/>
      <c r="L785" s="68"/>
      <c r="M785" s="79">
        <f>M786</f>
        <v>9660</v>
      </c>
      <c r="N785" s="79">
        <f>N786</f>
        <v>9310</v>
      </c>
      <c r="O785" s="225">
        <f t="shared" si="85"/>
        <v>96.376811594202891</v>
      </c>
      <c r="P785" s="68"/>
      <c r="Q785" s="79">
        <f t="shared" si="86"/>
        <v>9660</v>
      </c>
      <c r="R785" s="79">
        <f t="shared" si="87"/>
        <v>9310</v>
      </c>
      <c r="S785" s="244">
        <f t="shared" si="88"/>
        <v>96.376811594202891</v>
      </c>
    </row>
    <row r="786" spans="2:19" x14ac:dyDescent="0.2">
      <c r="B786" s="67">
        <f t="shared" si="89"/>
        <v>25</v>
      </c>
      <c r="C786" s="11"/>
      <c r="D786" s="11"/>
      <c r="E786" s="11"/>
      <c r="F786" s="45"/>
      <c r="G786" s="11"/>
      <c r="H786" s="53" t="s">
        <v>515</v>
      </c>
      <c r="I786" s="51"/>
      <c r="J786" s="51"/>
      <c r="K786" s="225"/>
      <c r="L786" s="68"/>
      <c r="M786" s="51">
        <v>9660</v>
      </c>
      <c r="N786" s="51">
        <v>9310</v>
      </c>
      <c r="O786" s="225">
        <f t="shared" si="85"/>
        <v>96.376811594202891</v>
      </c>
      <c r="P786" s="68"/>
      <c r="Q786" s="51">
        <f>I786+M786</f>
        <v>9660</v>
      </c>
      <c r="R786" s="51">
        <f t="shared" ref="R786" si="92">J786+N786</f>
        <v>9310</v>
      </c>
      <c r="S786" s="244">
        <f t="shared" si="88"/>
        <v>96.376811594202891</v>
      </c>
    </row>
    <row r="787" spans="2:19" x14ac:dyDescent="0.2">
      <c r="B787" s="67">
        <f t="shared" si="89"/>
        <v>26</v>
      </c>
      <c r="C787" s="2"/>
      <c r="D787" s="2"/>
      <c r="E787" s="2"/>
      <c r="F787" s="77" t="s">
        <v>198</v>
      </c>
      <c r="G787" s="78">
        <v>717</v>
      </c>
      <c r="H787" s="78" t="s">
        <v>193</v>
      </c>
      <c r="I787" s="79">
        <v>0</v>
      </c>
      <c r="J787" s="79">
        <v>0</v>
      </c>
      <c r="K787" s="225"/>
      <c r="L787" s="68"/>
      <c r="M787" s="79">
        <f>M788</f>
        <v>55000</v>
      </c>
      <c r="N787" s="79">
        <f>N788</f>
        <v>0</v>
      </c>
      <c r="O787" s="225">
        <f t="shared" si="85"/>
        <v>0</v>
      </c>
      <c r="P787" s="68"/>
      <c r="Q787" s="79">
        <f t="shared" si="86"/>
        <v>55000</v>
      </c>
      <c r="R787" s="79">
        <f t="shared" ref="R787:R816" si="93">N787+J787</f>
        <v>0</v>
      </c>
      <c r="S787" s="244">
        <f t="shared" si="88"/>
        <v>0</v>
      </c>
    </row>
    <row r="788" spans="2:19" x14ac:dyDescent="0.2">
      <c r="B788" s="67">
        <f t="shared" si="89"/>
        <v>27</v>
      </c>
      <c r="C788" s="71"/>
      <c r="D788" s="71"/>
      <c r="E788" s="71"/>
      <c r="F788" s="75"/>
      <c r="G788" s="76"/>
      <c r="H788" s="81" t="s">
        <v>498</v>
      </c>
      <c r="I788" s="55"/>
      <c r="J788" s="55"/>
      <c r="K788" s="225"/>
      <c r="L788" s="149"/>
      <c r="M788" s="55">
        <v>55000</v>
      </c>
      <c r="N788" s="55"/>
      <c r="O788" s="225">
        <f t="shared" si="85"/>
        <v>0</v>
      </c>
      <c r="P788" s="149"/>
      <c r="Q788" s="55">
        <f t="shared" si="86"/>
        <v>55000</v>
      </c>
      <c r="R788" s="55">
        <f t="shared" si="93"/>
        <v>0</v>
      </c>
      <c r="S788" s="244">
        <f t="shared" si="88"/>
        <v>0</v>
      </c>
    </row>
    <row r="789" spans="2:19" ht="15" x14ac:dyDescent="0.25">
      <c r="B789" s="67">
        <f t="shared" si="89"/>
        <v>28</v>
      </c>
      <c r="C789" s="14"/>
      <c r="D789" s="14"/>
      <c r="E789" s="14">
        <v>4</v>
      </c>
      <c r="F789" s="43"/>
      <c r="G789" s="14"/>
      <c r="H789" s="14" t="s">
        <v>84</v>
      </c>
      <c r="I789" s="40">
        <f>I791+I795+I803+I822+I832+I841+I850+I862+I874+I888+I902+I915+I924+I932+I941+I953</f>
        <v>2635195</v>
      </c>
      <c r="J789" s="40">
        <f>J791+J795+J803+J822+J832+J841+J850+J862+J874+J888+J902+J915+J924+J932+J941+J953</f>
        <v>1148189</v>
      </c>
      <c r="K789" s="225">
        <f t="shared" si="84"/>
        <v>43.571310662019322</v>
      </c>
      <c r="L789" s="175"/>
      <c r="M789" s="40">
        <f>M791+M795+M803+M822+M832+M841+M850+M862+M874+M888+M902+M915+M924+M932+M941+M953</f>
        <v>498046</v>
      </c>
      <c r="N789" s="40">
        <f>N791+N795+N803+N822+N832+N841+N850+N862+N874+N888+N902+N915+N924+N932+N941+N953</f>
        <v>22846</v>
      </c>
      <c r="O789" s="225">
        <f t="shared" si="85"/>
        <v>4.5871264903241871</v>
      </c>
      <c r="P789" s="175"/>
      <c r="Q789" s="40">
        <f t="shared" si="86"/>
        <v>3133241</v>
      </c>
      <c r="R789" s="40">
        <f t="shared" si="93"/>
        <v>1171035</v>
      </c>
      <c r="S789" s="244">
        <f t="shared" si="88"/>
        <v>37.374558803488142</v>
      </c>
    </row>
    <row r="790" spans="2:19" x14ac:dyDescent="0.2">
      <c r="B790" s="67">
        <f t="shared" si="89"/>
        <v>29</v>
      </c>
      <c r="C790" s="10"/>
      <c r="D790" s="10"/>
      <c r="E790" s="10"/>
      <c r="F790" s="44"/>
      <c r="G790" s="10"/>
      <c r="H790" s="10"/>
      <c r="I790" s="41">
        <f>I791</f>
        <v>29788</v>
      </c>
      <c r="J790" s="41">
        <f>J791</f>
        <v>1642</v>
      </c>
      <c r="K790" s="225">
        <f t="shared" si="84"/>
        <v>5.5122868269101648</v>
      </c>
      <c r="L790" s="114"/>
      <c r="M790" s="41">
        <v>0</v>
      </c>
      <c r="N790" s="41"/>
      <c r="O790" s="225"/>
      <c r="P790" s="114"/>
      <c r="Q790" s="41">
        <f t="shared" si="86"/>
        <v>29788</v>
      </c>
      <c r="R790" s="41">
        <f t="shared" si="93"/>
        <v>1642</v>
      </c>
      <c r="S790" s="244">
        <f t="shared" si="88"/>
        <v>5.5122868269101648</v>
      </c>
    </row>
    <row r="791" spans="2:19" x14ac:dyDescent="0.2">
      <c r="B791" s="67">
        <f t="shared" si="89"/>
        <v>30</v>
      </c>
      <c r="C791" s="11"/>
      <c r="D791" s="11"/>
      <c r="E791" s="11"/>
      <c r="F791" s="45" t="s">
        <v>198</v>
      </c>
      <c r="G791" s="11">
        <v>630</v>
      </c>
      <c r="H791" s="11" t="s">
        <v>127</v>
      </c>
      <c r="I791" s="42">
        <f>I792+I793+I794</f>
        <v>29788</v>
      </c>
      <c r="J791" s="42">
        <f>J792+J793+J794</f>
        <v>1642</v>
      </c>
      <c r="K791" s="225">
        <f t="shared" si="84"/>
        <v>5.5122868269101648</v>
      </c>
      <c r="L791" s="114"/>
      <c r="M791" s="42">
        <f>M792</f>
        <v>0</v>
      </c>
      <c r="N791" s="42">
        <f>N792</f>
        <v>0</v>
      </c>
      <c r="O791" s="225"/>
      <c r="P791" s="114"/>
      <c r="Q791" s="42">
        <f t="shared" si="86"/>
        <v>29788</v>
      </c>
      <c r="R791" s="42">
        <f t="shared" si="93"/>
        <v>1642</v>
      </c>
      <c r="S791" s="244">
        <f t="shared" si="88"/>
        <v>5.5122868269101648</v>
      </c>
    </row>
    <row r="792" spans="2:19" x14ac:dyDescent="0.2">
      <c r="B792" s="67">
        <f t="shared" si="89"/>
        <v>31</v>
      </c>
      <c r="C792" s="2"/>
      <c r="D792" s="2"/>
      <c r="E792" s="2"/>
      <c r="F792" s="46" t="s">
        <v>198</v>
      </c>
      <c r="G792" s="2">
        <v>635</v>
      </c>
      <c r="H792" s="2" t="s">
        <v>137</v>
      </c>
      <c r="I792" s="22">
        <f>30000-1500</f>
        <v>28500</v>
      </c>
      <c r="J792" s="22">
        <v>0</v>
      </c>
      <c r="K792" s="225">
        <f t="shared" si="84"/>
        <v>0</v>
      </c>
      <c r="L792" s="68"/>
      <c r="M792" s="22"/>
      <c r="N792" s="22"/>
      <c r="O792" s="225"/>
      <c r="P792" s="68"/>
      <c r="Q792" s="22">
        <f t="shared" si="86"/>
        <v>28500</v>
      </c>
      <c r="R792" s="22">
        <f t="shared" si="93"/>
        <v>0</v>
      </c>
      <c r="S792" s="244">
        <f t="shared" si="88"/>
        <v>0</v>
      </c>
    </row>
    <row r="793" spans="2:19" x14ac:dyDescent="0.2">
      <c r="B793" s="67">
        <f t="shared" si="89"/>
        <v>32</v>
      </c>
      <c r="C793" s="2"/>
      <c r="D793" s="2"/>
      <c r="E793" s="2"/>
      <c r="F793" s="46" t="s">
        <v>198</v>
      </c>
      <c r="G793" s="2">
        <v>630</v>
      </c>
      <c r="H793" s="2" t="s">
        <v>610</v>
      </c>
      <c r="I793" s="22">
        <v>803</v>
      </c>
      <c r="J793" s="22">
        <v>803</v>
      </c>
      <c r="K793" s="225">
        <f t="shared" si="84"/>
        <v>100</v>
      </c>
      <c r="L793" s="68"/>
      <c r="M793" s="22"/>
      <c r="N793" s="22"/>
      <c r="O793" s="225"/>
      <c r="P793" s="68"/>
      <c r="Q793" s="22">
        <f t="shared" si="86"/>
        <v>803</v>
      </c>
      <c r="R793" s="22">
        <f t="shared" si="93"/>
        <v>803</v>
      </c>
      <c r="S793" s="244">
        <f t="shared" si="88"/>
        <v>100</v>
      </c>
    </row>
    <row r="794" spans="2:19" x14ac:dyDescent="0.2">
      <c r="B794" s="67">
        <f t="shared" si="89"/>
        <v>33</v>
      </c>
      <c r="C794" s="2"/>
      <c r="D794" s="2"/>
      <c r="E794" s="2"/>
      <c r="F794" s="46" t="s">
        <v>75</v>
      </c>
      <c r="G794" s="2">
        <v>630</v>
      </c>
      <c r="H794" s="2" t="s">
        <v>660</v>
      </c>
      <c r="I794" s="22">
        <v>485</v>
      </c>
      <c r="J794" s="22">
        <v>839</v>
      </c>
      <c r="K794" s="225">
        <f t="shared" si="84"/>
        <v>172.98969072164948</v>
      </c>
      <c r="L794" s="68"/>
      <c r="M794" s="22"/>
      <c r="N794" s="22"/>
      <c r="O794" s="225"/>
      <c r="P794" s="68"/>
      <c r="Q794" s="22">
        <f t="shared" si="86"/>
        <v>485</v>
      </c>
      <c r="R794" s="22">
        <f t="shared" si="93"/>
        <v>839</v>
      </c>
      <c r="S794" s="244">
        <f t="shared" si="88"/>
        <v>172.98969072164948</v>
      </c>
    </row>
    <row r="795" spans="2:19" x14ac:dyDescent="0.2">
      <c r="B795" s="67">
        <f t="shared" si="89"/>
        <v>34</v>
      </c>
      <c r="C795" s="10"/>
      <c r="D795" s="10"/>
      <c r="E795" s="10" t="s">
        <v>94</v>
      </c>
      <c r="F795" s="44"/>
      <c r="G795" s="10"/>
      <c r="H795" s="10" t="s">
        <v>63</v>
      </c>
      <c r="I795" s="41">
        <f>I798+I797+I796</f>
        <v>124245</v>
      </c>
      <c r="J795" s="41">
        <f>J798+J797+J796</f>
        <v>56652</v>
      </c>
      <c r="K795" s="225">
        <f t="shared" si="84"/>
        <v>45.597005915731017</v>
      </c>
      <c r="L795" s="114"/>
      <c r="M795" s="41">
        <f>M798+M797+M796</f>
        <v>0</v>
      </c>
      <c r="N795" s="41">
        <f>N798+N797+N796</f>
        <v>0</v>
      </c>
      <c r="O795" s="225"/>
      <c r="P795" s="114"/>
      <c r="Q795" s="41">
        <f t="shared" si="86"/>
        <v>124245</v>
      </c>
      <c r="R795" s="41">
        <f t="shared" si="93"/>
        <v>56652</v>
      </c>
      <c r="S795" s="244">
        <f t="shared" si="88"/>
        <v>45.597005915731017</v>
      </c>
    </row>
    <row r="796" spans="2:19" x14ac:dyDescent="0.2">
      <c r="B796" s="67">
        <f t="shared" si="89"/>
        <v>35</v>
      </c>
      <c r="C796" s="11"/>
      <c r="D796" s="11"/>
      <c r="E796" s="11"/>
      <c r="F796" s="45" t="s">
        <v>198</v>
      </c>
      <c r="G796" s="11">
        <v>610</v>
      </c>
      <c r="H796" s="11" t="s">
        <v>135</v>
      </c>
      <c r="I796" s="42">
        <f>71840+900</f>
        <v>72740</v>
      </c>
      <c r="J796" s="42">
        <v>34533</v>
      </c>
      <c r="K796" s="225">
        <f t="shared" si="84"/>
        <v>47.474566950783611</v>
      </c>
      <c r="L796" s="114"/>
      <c r="M796" s="42"/>
      <c r="N796" s="42"/>
      <c r="O796" s="225"/>
      <c r="P796" s="114"/>
      <c r="Q796" s="42">
        <f t="shared" si="86"/>
        <v>72740</v>
      </c>
      <c r="R796" s="42">
        <f t="shared" si="93"/>
        <v>34533</v>
      </c>
      <c r="S796" s="244">
        <f t="shared" si="88"/>
        <v>47.474566950783611</v>
      </c>
    </row>
    <row r="797" spans="2:19" x14ac:dyDescent="0.2">
      <c r="B797" s="67">
        <f t="shared" si="89"/>
        <v>36</v>
      </c>
      <c r="C797" s="11"/>
      <c r="D797" s="11"/>
      <c r="E797" s="11"/>
      <c r="F797" s="45" t="s">
        <v>198</v>
      </c>
      <c r="G797" s="11">
        <v>620</v>
      </c>
      <c r="H797" s="11" t="s">
        <v>130</v>
      </c>
      <c r="I797" s="42">
        <f>26670+300</f>
        <v>26970</v>
      </c>
      <c r="J797" s="42">
        <v>12730</v>
      </c>
      <c r="K797" s="225">
        <f t="shared" si="84"/>
        <v>47.200593251761212</v>
      </c>
      <c r="L797" s="114"/>
      <c r="M797" s="42"/>
      <c r="N797" s="42"/>
      <c r="O797" s="225"/>
      <c r="P797" s="114"/>
      <c r="Q797" s="42">
        <f t="shared" si="86"/>
        <v>26970</v>
      </c>
      <c r="R797" s="42">
        <f t="shared" si="93"/>
        <v>12730</v>
      </c>
      <c r="S797" s="244">
        <f t="shared" si="88"/>
        <v>47.200593251761212</v>
      </c>
    </row>
    <row r="798" spans="2:19" x14ac:dyDescent="0.2">
      <c r="B798" s="67">
        <f t="shared" si="89"/>
        <v>37</v>
      </c>
      <c r="C798" s="11"/>
      <c r="D798" s="11"/>
      <c r="E798" s="11"/>
      <c r="F798" s="45" t="s">
        <v>198</v>
      </c>
      <c r="G798" s="11">
        <v>630</v>
      </c>
      <c r="H798" s="11" t="s">
        <v>127</v>
      </c>
      <c r="I798" s="42">
        <f>I802+I801+I800+I799</f>
        <v>24535</v>
      </c>
      <c r="J798" s="42">
        <f>J802+J801+J800+J799</f>
        <v>9389</v>
      </c>
      <c r="K798" s="225">
        <f t="shared" si="84"/>
        <v>38.267780721418383</v>
      </c>
      <c r="L798" s="114"/>
      <c r="M798" s="42">
        <f>M802+M801+M800+M799</f>
        <v>0</v>
      </c>
      <c r="N798" s="42">
        <f>N802+N801+N800+N799</f>
        <v>0</v>
      </c>
      <c r="O798" s="225"/>
      <c r="P798" s="114"/>
      <c r="Q798" s="42">
        <f t="shared" si="86"/>
        <v>24535</v>
      </c>
      <c r="R798" s="42">
        <f t="shared" si="93"/>
        <v>9389</v>
      </c>
      <c r="S798" s="244">
        <f t="shared" si="88"/>
        <v>38.267780721418383</v>
      </c>
    </row>
    <row r="799" spans="2:19" x14ac:dyDescent="0.2">
      <c r="B799" s="67">
        <f t="shared" si="89"/>
        <v>38</v>
      </c>
      <c r="C799" s="2"/>
      <c r="D799" s="2"/>
      <c r="E799" s="2"/>
      <c r="F799" s="46" t="s">
        <v>198</v>
      </c>
      <c r="G799" s="2">
        <v>632</v>
      </c>
      <c r="H799" s="2" t="s">
        <v>138</v>
      </c>
      <c r="I799" s="22">
        <v>14200</v>
      </c>
      <c r="J799" s="22">
        <v>6425</v>
      </c>
      <c r="K799" s="225">
        <f t="shared" si="84"/>
        <v>45.24647887323944</v>
      </c>
      <c r="L799" s="68"/>
      <c r="M799" s="22"/>
      <c r="N799" s="22"/>
      <c r="O799" s="225"/>
      <c r="P799" s="68"/>
      <c r="Q799" s="22">
        <f t="shared" si="86"/>
        <v>14200</v>
      </c>
      <c r="R799" s="22">
        <f t="shared" si="93"/>
        <v>6425</v>
      </c>
      <c r="S799" s="244">
        <f t="shared" si="88"/>
        <v>45.24647887323944</v>
      </c>
    </row>
    <row r="800" spans="2:19" x14ac:dyDescent="0.2">
      <c r="B800" s="67">
        <f t="shared" si="89"/>
        <v>39</v>
      </c>
      <c r="C800" s="2"/>
      <c r="D800" s="2"/>
      <c r="E800" s="2"/>
      <c r="F800" s="46" t="s">
        <v>198</v>
      </c>
      <c r="G800" s="2">
        <v>633</v>
      </c>
      <c r="H800" s="2" t="s">
        <v>131</v>
      </c>
      <c r="I800" s="22">
        <f>2540+3315</f>
        <v>5855</v>
      </c>
      <c r="J800" s="22">
        <v>1210</v>
      </c>
      <c r="K800" s="225">
        <f t="shared" si="84"/>
        <v>20.666097352690009</v>
      </c>
      <c r="L800" s="68"/>
      <c r="M800" s="22"/>
      <c r="N800" s="22"/>
      <c r="O800" s="225"/>
      <c r="P800" s="68"/>
      <c r="Q800" s="22">
        <f t="shared" si="86"/>
        <v>5855</v>
      </c>
      <c r="R800" s="22">
        <f t="shared" si="93"/>
        <v>1210</v>
      </c>
      <c r="S800" s="244">
        <f t="shared" si="88"/>
        <v>20.666097352690009</v>
      </c>
    </row>
    <row r="801" spans="1:19" x14ac:dyDescent="0.2">
      <c r="B801" s="67">
        <f t="shared" si="89"/>
        <v>40</v>
      </c>
      <c r="C801" s="2"/>
      <c r="D801" s="2"/>
      <c r="E801" s="2"/>
      <c r="F801" s="46" t="s">
        <v>198</v>
      </c>
      <c r="G801" s="2">
        <v>635</v>
      </c>
      <c r="H801" s="2" t="s">
        <v>137</v>
      </c>
      <c r="I801" s="22">
        <v>2000</v>
      </c>
      <c r="J801" s="22">
        <v>63</v>
      </c>
      <c r="K801" s="225">
        <f t="shared" si="84"/>
        <v>3.15</v>
      </c>
      <c r="L801" s="68"/>
      <c r="M801" s="22"/>
      <c r="N801" s="22"/>
      <c r="O801" s="225"/>
      <c r="P801" s="68"/>
      <c r="Q801" s="22">
        <f t="shared" si="86"/>
        <v>2000</v>
      </c>
      <c r="R801" s="22">
        <f t="shared" si="93"/>
        <v>63</v>
      </c>
      <c r="S801" s="244">
        <f t="shared" si="88"/>
        <v>3.15</v>
      </c>
    </row>
    <row r="802" spans="1:19" x14ac:dyDescent="0.2">
      <c r="B802" s="67">
        <f t="shared" si="89"/>
        <v>41</v>
      </c>
      <c r="C802" s="2"/>
      <c r="D802" s="2"/>
      <c r="E802" s="2"/>
      <c r="F802" s="46" t="s">
        <v>198</v>
      </c>
      <c r="G802" s="2">
        <v>637</v>
      </c>
      <c r="H802" s="2" t="s">
        <v>128</v>
      </c>
      <c r="I802" s="22">
        <v>2480</v>
      </c>
      <c r="J802" s="22">
        <v>1691</v>
      </c>
      <c r="K802" s="225">
        <f t="shared" si="84"/>
        <v>68.185483870967744</v>
      </c>
      <c r="L802" s="68"/>
      <c r="M802" s="22"/>
      <c r="N802" s="22"/>
      <c r="O802" s="225"/>
      <c r="P802" s="68"/>
      <c r="Q802" s="22">
        <f t="shared" si="86"/>
        <v>2480</v>
      </c>
      <c r="R802" s="22">
        <f t="shared" si="93"/>
        <v>1691</v>
      </c>
      <c r="S802" s="244">
        <f t="shared" si="88"/>
        <v>68.185483870967744</v>
      </c>
    </row>
    <row r="803" spans="1:19" x14ac:dyDescent="0.2">
      <c r="B803" s="67">
        <f t="shared" si="89"/>
        <v>42</v>
      </c>
      <c r="C803" s="10"/>
      <c r="D803" s="10"/>
      <c r="E803" s="10" t="s">
        <v>93</v>
      </c>
      <c r="F803" s="44"/>
      <c r="G803" s="10"/>
      <c r="H803" s="10" t="s">
        <v>11</v>
      </c>
      <c r="I803" s="41">
        <f>I815+I808+I806+I804+I816+I805+I807</f>
        <v>210283</v>
      </c>
      <c r="J803" s="41">
        <f>J815+J808+J806+J804+J816+J805+J807</f>
        <v>91952</v>
      </c>
      <c r="K803" s="225">
        <f t="shared" si="84"/>
        <v>43.727738333579033</v>
      </c>
      <c r="L803" s="114"/>
      <c r="M803" s="41">
        <f>M815+M808+M806+M804+M816</f>
        <v>322726</v>
      </c>
      <c r="N803" s="41">
        <f>N815+N808+N806+N804+N816</f>
        <v>10836</v>
      </c>
      <c r="O803" s="225">
        <f t="shared" si="85"/>
        <v>3.3576470442418649</v>
      </c>
      <c r="P803" s="114"/>
      <c r="Q803" s="41">
        <f t="shared" si="86"/>
        <v>533009</v>
      </c>
      <c r="R803" s="41">
        <f t="shared" si="93"/>
        <v>102788</v>
      </c>
      <c r="S803" s="244">
        <f t="shared" si="88"/>
        <v>19.284477372802336</v>
      </c>
    </row>
    <row r="804" spans="1:19" x14ac:dyDescent="0.2">
      <c r="B804" s="67">
        <f t="shared" si="89"/>
        <v>43</v>
      </c>
      <c r="C804" s="11"/>
      <c r="D804" s="11"/>
      <c r="E804" s="11"/>
      <c r="F804" s="45" t="s">
        <v>198</v>
      </c>
      <c r="G804" s="11">
        <v>610</v>
      </c>
      <c r="H804" s="11" t="s">
        <v>135</v>
      </c>
      <c r="I804" s="42">
        <f>89880+2600</f>
        <v>92480</v>
      </c>
      <c r="J804" s="42">
        <v>45094</v>
      </c>
      <c r="K804" s="225">
        <f t="shared" si="84"/>
        <v>48.760813148788927</v>
      </c>
      <c r="L804" s="114"/>
      <c r="M804" s="42"/>
      <c r="N804" s="42"/>
      <c r="O804" s="225"/>
      <c r="P804" s="114"/>
      <c r="Q804" s="42">
        <f t="shared" si="86"/>
        <v>92480</v>
      </c>
      <c r="R804" s="42">
        <f t="shared" si="93"/>
        <v>45094</v>
      </c>
      <c r="S804" s="244">
        <f t="shared" si="88"/>
        <v>48.760813148788927</v>
      </c>
    </row>
    <row r="805" spans="1:19" x14ac:dyDescent="0.2">
      <c r="B805" s="67">
        <f t="shared" si="89"/>
        <v>44</v>
      </c>
      <c r="C805" s="11"/>
      <c r="D805" s="11"/>
      <c r="E805" s="11"/>
      <c r="F805" s="45" t="s">
        <v>490</v>
      </c>
      <c r="G805" s="11">
        <v>610</v>
      </c>
      <c r="H805" s="11" t="s">
        <v>491</v>
      </c>
      <c r="I805" s="42">
        <v>16032</v>
      </c>
      <c r="J805" s="42">
        <v>0</v>
      </c>
      <c r="K805" s="225">
        <f t="shared" si="84"/>
        <v>0</v>
      </c>
      <c r="L805" s="114"/>
      <c r="M805" s="42"/>
      <c r="N805" s="42"/>
      <c r="O805" s="225"/>
      <c r="P805" s="114"/>
      <c r="Q805" s="42">
        <f t="shared" si="86"/>
        <v>16032</v>
      </c>
      <c r="R805" s="42">
        <f t="shared" si="93"/>
        <v>0</v>
      </c>
      <c r="S805" s="244">
        <f t="shared" si="88"/>
        <v>0</v>
      </c>
    </row>
    <row r="806" spans="1:19" s="63" customFormat="1" x14ac:dyDescent="0.2">
      <c r="A806" s="59"/>
      <c r="B806" s="67">
        <f t="shared" si="89"/>
        <v>45</v>
      </c>
      <c r="C806" s="11"/>
      <c r="D806" s="11"/>
      <c r="E806" s="11"/>
      <c r="F806" s="45" t="s">
        <v>198</v>
      </c>
      <c r="G806" s="11">
        <v>620</v>
      </c>
      <c r="H806" s="11" t="s">
        <v>130</v>
      </c>
      <c r="I806" s="42">
        <v>34481</v>
      </c>
      <c r="J806" s="42">
        <v>15986</v>
      </c>
      <c r="K806" s="225">
        <f t="shared" si="84"/>
        <v>46.36176444998695</v>
      </c>
      <c r="L806" s="114"/>
      <c r="M806" s="42"/>
      <c r="N806" s="42"/>
      <c r="O806" s="225"/>
      <c r="P806" s="114"/>
      <c r="Q806" s="42">
        <f t="shared" si="86"/>
        <v>34481</v>
      </c>
      <c r="R806" s="42">
        <f t="shared" si="93"/>
        <v>15986</v>
      </c>
      <c r="S806" s="244">
        <f t="shared" si="88"/>
        <v>46.36176444998695</v>
      </c>
    </row>
    <row r="807" spans="1:19" x14ac:dyDescent="0.2">
      <c r="B807" s="67">
        <f t="shared" si="89"/>
        <v>46</v>
      </c>
      <c r="C807" s="11"/>
      <c r="D807" s="11"/>
      <c r="E807" s="11"/>
      <c r="F807" s="45" t="s">
        <v>198</v>
      </c>
      <c r="G807" s="11">
        <v>620</v>
      </c>
      <c r="H807" s="11" t="s">
        <v>493</v>
      </c>
      <c r="I807" s="42">
        <v>5611</v>
      </c>
      <c r="J807" s="42"/>
      <c r="K807" s="225">
        <f t="shared" si="84"/>
        <v>0</v>
      </c>
      <c r="L807" s="114"/>
      <c r="M807" s="42"/>
      <c r="N807" s="42"/>
      <c r="O807" s="225"/>
      <c r="P807" s="114"/>
      <c r="Q807" s="42">
        <f t="shared" si="86"/>
        <v>5611</v>
      </c>
      <c r="R807" s="42">
        <f t="shared" si="93"/>
        <v>0</v>
      </c>
      <c r="S807" s="244">
        <f t="shared" si="88"/>
        <v>0</v>
      </c>
    </row>
    <row r="808" spans="1:19" x14ac:dyDescent="0.2">
      <c r="B808" s="67">
        <f t="shared" si="89"/>
        <v>47</v>
      </c>
      <c r="C808" s="11"/>
      <c r="D808" s="11"/>
      <c r="E808" s="11"/>
      <c r="F808" s="45" t="s">
        <v>198</v>
      </c>
      <c r="G808" s="11">
        <v>630</v>
      </c>
      <c r="H808" s="11" t="s">
        <v>127</v>
      </c>
      <c r="I808" s="42">
        <f>I813+I812+I810+I809+I811+I814</f>
        <v>58679</v>
      </c>
      <c r="J808" s="42">
        <f>J813+J812+J810+J809+J811+J814</f>
        <v>30750</v>
      </c>
      <c r="K808" s="225">
        <f t="shared" si="84"/>
        <v>52.403756028562178</v>
      </c>
      <c r="L808" s="114"/>
      <c r="M808" s="42">
        <v>0</v>
      </c>
      <c r="N808" s="42"/>
      <c r="O808" s="225"/>
      <c r="P808" s="114"/>
      <c r="Q808" s="42">
        <f t="shared" si="86"/>
        <v>58679</v>
      </c>
      <c r="R808" s="42">
        <f t="shared" si="93"/>
        <v>30750</v>
      </c>
      <c r="S808" s="244">
        <f t="shared" si="88"/>
        <v>52.403756028562178</v>
      </c>
    </row>
    <row r="809" spans="1:19" s="63" customFormat="1" x14ac:dyDescent="0.2">
      <c r="A809" s="59"/>
      <c r="B809" s="67">
        <f t="shared" si="89"/>
        <v>48</v>
      </c>
      <c r="C809" s="2"/>
      <c r="D809" s="2"/>
      <c r="E809" s="2"/>
      <c r="F809" s="46" t="s">
        <v>198</v>
      </c>
      <c r="G809" s="2">
        <v>632</v>
      </c>
      <c r="H809" s="2" t="s">
        <v>138</v>
      </c>
      <c r="I809" s="22">
        <v>22410</v>
      </c>
      <c r="J809" s="22">
        <v>10808</v>
      </c>
      <c r="K809" s="225">
        <f t="shared" si="84"/>
        <v>48.228469433288709</v>
      </c>
      <c r="L809" s="68"/>
      <c r="M809" s="22"/>
      <c r="N809" s="22"/>
      <c r="O809" s="225"/>
      <c r="P809" s="68"/>
      <c r="Q809" s="22">
        <f t="shared" si="86"/>
        <v>22410</v>
      </c>
      <c r="R809" s="22">
        <f t="shared" si="93"/>
        <v>10808</v>
      </c>
      <c r="S809" s="244">
        <f t="shared" si="88"/>
        <v>48.228469433288709</v>
      </c>
    </row>
    <row r="810" spans="1:19" s="63" customFormat="1" x14ac:dyDescent="0.2">
      <c r="A810" s="59"/>
      <c r="B810" s="67">
        <f t="shared" si="89"/>
        <v>49</v>
      </c>
      <c r="C810" s="2"/>
      <c r="D810" s="2"/>
      <c r="E810" s="2"/>
      <c r="F810" s="46" t="s">
        <v>198</v>
      </c>
      <c r="G810" s="2">
        <v>633</v>
      </c>
      <c r="H810" s="2" t="s">
        <v>131</v>
      </c>
      <c r="I810" s="22">
        <f>7288+1424</f>
        <v>8712</v>
      </c>
      <c r="J810" s="22">
        <v>326</v>
      </c>
      <c r="K810" s="225">
        <f t="shared" si="84"/>
        <v>3.7419651056014693</v>
      </c>
      <c r="L810" s="68"/>
      <c r="M810" s="22"/>
      <c r="N810" s="22"/>
      <c r="O810" s="225"/>
      <c r="P810" s="68"/>
      <c r="Q810" s="22">
        <f t="shared" si="86"/>
        <v>8712</v>
      </c>
      <c r="R810" s="22">
        <f t="shared" si="93"/>
        <v>326</v>
      </c>
      <c r="S810" s="244">
        <f t="shared" si="88"/>
        <v>3.7419651056014693</v>
      </c>
    </row>
    <row r="811" spans="1:19" x14ac:dyDescent="0.2">
      <c r="B811" s="67">
        <f t="shared" si="89"/>
        <v>50</v>
      </c>
      <c r="C811" s="2"/>
      <c r="D811" s="2"/>
      <c r="E811" s="2"/>
      <c r="F811" s="46" t="s">
        <v>198</v>
      </c>
      <c r="G811" s="2">
        <v>633</v>
      </c>
      <c r="H811" s="2" t="s">
        <v>492</v>
      </c>
      <c r="I811" s="22">
        <f>43770-16032-5611-12000</f>
        <v>10127</v>
      </c>
      <c r="J811" s="22">
        <v>6000</v>
      </c>
      <c r="K811" s="225">
        <f t="shared" si="84"/>
        <v>59.247556038313419</v>
      </c>
      <c r="L811" s="68"/>
      <c r="M811" s="22"/>
      <c r="N811" s="22"/>
      <c r="O811" s="225"/>
      <c r="P811" s="68"/>
      <c r="Q811" s="22">
        <f t="shared" si="86"/>
        <v>10127</v>
      </c>
      <c r="R811" s="22">
        <f t="shared" si="93"/>
        <v>6000</v>
      </c>
      <c r="S811" s="244">
        <f t="shared" si="88"/>
        <v>59.247556038313419</v>
      </c>
    </row>
    <row r="812" spans="1:19" x14ac:dyDescent="0.2">
      <c r="B812" s="67">
        <f t="shared" si="89"/>
        <v>51</v>
      </c>
      <c r="C812" s="2"/>
      <c r="D812" s="2"/>
      <c r="E812" s="2"/>
      <c r="F812" s="46" t="s">
        <v>198</v>
      </c>
      <c r="G812" s="2">
        <v>635</v>
      </c>
      <c r="H812" s="2" t="s">
        <v>137</v>
      </c>
      <c r="I812" s="22">
        <v>2000</v>
      </c>
      <c r="J812" s="22">
        <v>0</v>
      </c>
      <c r="K812" s="225">
        <f t="shared" si="84"/>
        <v>0</v>
      </c>
      <c r="L812" s="68"/>
      <c r="M812" s="22"/>
      <c r="N812" s="22"/>
      <c r="O812" s="225"/>
      <c r="P812" s="68"/>
      <c r="Q812" s="22">
        <f t="shared" si="86"/>
        <v>2000</v>
      </c>
      <c r="R812" s="22">
        <f t="shared" si="93"/>
        <v>0</v>
      </c>
      <c r="S812" s="244">
        <f t="shared" si="88"/>
        <v>0</v>
      </c>
    </row>
    <row r="813" spans="1:19" x14ac:dyDescent="0.2">
      <c r="B813" s="67">
        <f t="shared" si="89"/>
        <v>52</v>
      </c>
      <c r="C813" s="2"/>
      <c r="D813" s="2"/>
      <c r="E813" s="2"/>
      <c r="F813" s="46" t="s">
        <v>198</v>
      </c>
      <c r="G813" s="2">
        <v>637</v>
      </c>
      <c r="H813" s="2" t="s">
        <v>128</v>
      </c>
      <c r="I813" s="22">
        <v>3430</v>
      </c>
      <c r="J813" s="22">
        <v>1616</v>
      </c>
      <c r="K813" s="225">
        <f t="shared" si="84"/>
        <v>47.113702623906704</v>
      </c>
      <c r="L813" s="68"/>
      <c r="M813" s="22"/>
      <c r="N813" s="22"/>
      <c r="O813" s="225"/>
      <c r="P813" s="68"/>
      <c r="Q813" s="22">
        <f t="shared" si="86"/>
        <v>3430</v>
      </c>
      <c r="R813" s="22">
        <f t="shared" si="93"/>
        <v>1616</v>
      </c>
      <c r="S813" s="244">
        <f t="shared" si="88"/>
        <v>47.113702623906704</v>
      </c>
    </row>
    <row r="814" spans="1:19" x14ac:dyDescent="0.2">
      <c r="B814" s="67">
        <f t="shared" si="89"/>
        <v>53</v>
      </c>
      <c r="C814" s="2"/>
      <c r="D814" s="2"/>
      <c r="E814" s="2"/>
      <c r="F814" s="46" t="s">
        <v>198</v>
      </c>
      <c r="G814" s="2">
        <v>630</v>
      </c>
      <c r="H814" s="2" t="s">
        <v>611</v>
      </c>
      <c r="I814" s="22">
        <v>12000</v>
      </c>
      <c r="J814" s="22">
        <v>12000</v>
      </c>
      <c r="K814" s="225">
        <f t="shared" si="84"/>
        <v>100</v>
      </c>
      <c r="L814" s="68"/>
      <c r="M814" s="22"/>
      <c r="N814" s="22"/>
      <c r="O814" s="225"/>
      <c r="P814" s="68"/>
      <c r="Q814" s="22">
        <f t="shared" si="86"/>
        <v>12000</v>
      </c>
      <c r="R814" s="22">
        <f t="shared" si="93"/>
        <v>12000</v>
      </c>
      <c r="S814" s="244">
        <f t="shared" si="88"/>
        <v>100</v>
      </c>
    </row>
    <row r="815" spans="1:19" x14ac:dyDescent="0.2">
      <c r="B815" s="67">
        <f t="shared" si="89"/>
        <v>54</v>
      </c>
      <c r="C815" s="11"/>
      <c r="D815" s="11"/>
      <c r="E815" s="11"/>
      <c r="F815" s="45" t="s">
        <v>198</v>
      </c>
      <c r="G815" s="11">
        <v>640</v>
      </c>
      <c r="H815" s="11" t="s">
        <v>134</v>
      </c>
      <c r="I815" s="42">
        <v>3000</v>
      </c>
      <c r="J815" s="42">
        <v>122</v>
      </c>
      <c r="K815" s="225">
        <f t="shared" si="84"/>
        <v>4.0666666666666664</v>
      </c>
      <c r="L815" s="114"/>
      <c r="M815" s="42"/>
      <c r="N815" s="42"/>
      <c r="O815" s="225"/>
      <c r="P815" s="114"/>
      <c r="Q815" s="42">
        <f t="shared" si="86"/>
        <v>3000</v>
      </c>
      <c r="R815" s="42">
        <f t="shared" si="93"/>
        <v>122</v>
      </c>
      <c r="S815" s="244">
        <f t="shared" si="88"/>
        <v>4.0666666666666664</v>
      </c>
    </row>
    <row r="816" spans="1:19" x14ac:dyDescent="0.2">
      <c r="B816" s="67">
        <f t="shared" si="89"/>
        <v>55</v>
      </c>
      <c r="C816" s="11"/>
      <c r="D816" s="11"/>
      <c r="E816" s="11"/>
      <c r="F816" s="45" t="s">
        <v>198</v>
      </c>
      <c r="G816" s="11">
        <v>710</v>
      </c>
      <c r="H816" s="11" t="s">
        <v>183</v>
      </c>
      <c r="I816" s="42">
        <f>I819</f>
        <v>0</v>
      </c>
      <c r="J816" s="42">
        <f>J819</f>
        <v>0</v>
      </c>
      <c r="K816" s="225"/>
      <c r="L816" s="114"/>
      <c r="M816" s="42">
        <f>M819+M817</f>
        <v>322726</v>
      </c>
      <c r="N816" s="42">
        <f>N819+N817</f>
        <v>10836</v>
      </c>
      <c r="O816" s="225">
        <f t="shared" si="85"/>
        <v>3.3576470442418649</v>
      </c>
      <c r="P816" s="114"/>
      <c r="Q816" s="42">
        <f t="shared" si="86"/>
        <v>322726</v>
      </c>
      <c r="R816" s="42">
        <f t="shared" si="93"/>
        <v>10836</v>
      </c>
      <c r="S816" s="244">
        <f t="shared" si="88"/>
        <v>3.3576470442418649</v>
      </c>
    </row>
    <row r="817" spans="2:19" x14ac:dyDescent="0.2">
      <c r="B817" s="67">
        <f t="shared" si="89"/>
        <v>56</v>
      </c>
      <c r="C817" s="11"/>
      <c r="D817" s="11"/>
      <c r="E817" s="11"/>
      <c r="F817" s="77" t="s">
        <v>198</v>
      </c>
      <c r="G817" s="78">
        <v>716</v>
      </c>
      <c r="H817" s="78" t="s">
        <v>0</v>
      </c>
      <c r="I817" s="79"/>
      <c r="J817" s="79"/>
      <c r="K817" s="225"/>
      <c r="L817" s="68"/>
      <c r="M817" s="79">
        <f>M818</f>
        <v>10800</v>
      </c>
      <c r="N817" s="79">
        <f>N818</f>
        <v>10800</v>
      </c>
      <c r="O817" s="225">
        <f t="shared" si="85"/>
        <v>100</v>
      </c>
      <c r="P817" s="68"/>
      <c r="Q817" s="79">
        <f>I817+M817</f>
        <v>10800</v>
      </c>
      <c r="R817" s="79">
        <f t="shared" ref="R817:R818" si="94">J817+N817</f>
        <v>10800</v>
      </c>
      <c r="S817" s="244">
        <f t="shared" si="88"/>
        <v>100</v>
      </c>
    </row>
    <row r="818" spans="2:19" x14ac:dyDescent="0.2">
      <c r="B818" s="67">
        <f t="shared" si="89"/>
        <v>57</v>
      </c>
      <c r="C818" s="11"/>
      <c r="D818" s="11"/>
      <c r="E818" s="11"/>
      <c r="F818" s="45"/>
      <c r="G818" s="11"/>
      <c r="H818" s="53" t="s">
        <v>508</v>
      </c>
      <c r="I818" s="42"/>
      <c r="J818" s="42"/>
      <c r="K818" s="225"/>
      <c r="L818" s="114"/>
      <c r="M818" s="51">
        <v>10800</v>
      </c>
      <c r="N818" s="51">
        <v>10800</v>
      </c>
      <c r="O818" s="225">
        <f t="shared" si="85"/>
        <v>100</v>
      </c>
      <c r="P818" s="68"/>
      <c r="Q818" s="51">
        <f>I818+M818</f>
        <v>10800</v>
      </c>
      <c r="R818" s="51">
        <f t="shared" si="94"/>
        <v>10800</v>
      </c>
      <c r="S818" s="244">
        <f t="shared" si="88"/>
        <v>100</v>
      </c>
    </row>
    <row r="819" spans="2:19" x14ac:dyDescent="0.2">
      <c r="B819" s="67">
        <f t="shared" si="89"/>
        <v>58</v>
      </c>
      <c r="C819" s="11"/>
      <c r="D819" s="11"/>
      <c r="E819" s="11"/>
      <c r="F819" s="77" t="s">
        <v>198</v>
      </c>
      <c r="G819" s="78">
        <v>717</v>
      </c>
      <c r="H819" s="78" t="s">
        <v>193</v>
      </c>
      <c r="I819" s="79"/>
      <c r="J819" s="79"/>
      <c r="K819" s="225"/>
      <c r="L819" s="68"/>
      <c r="M819" s="79">
        <f>SUM(M820:M821)</f>
        <v>311926</v>
      </c>
      <c r="N819" s="79">
        <f>SUM(N820:N821)</f>
        <v>36</v>
      </c>
      <c r="O819" s="225">
        <f t="shared" si="85"/>
        <v>1.1541198874091932E-2</v>
      </c>
      <c r="P819" s="68"/>
      <c r="Q819" s="79">
        <f t="shared" si="86"/>
        <v>311926</v>
      </c>
      <c r="R819" s="79">
        <f t="shared" ref="R819:R883" si="95">N819+J819</f>
        <v>36</v>
      </c>
      <c r="S819" s="244">
        <f t="shared" si="88"/>
        <v>1.1541198874091932E-2</v>
      </c>
    </row>
    <row r="820" spans="2:19" x14ac:dyDescent="0.2">
      <c r="B820" s="67">
        <f t="shared" si="89"/>
        <v>59</v>
      </c>
      <c r="C820" s="11"/>
      <c r="D820" s="11"/>
      <c r="E820" s="11"/>
      <c r="F820" s="57"/>
      <c r="G820" s="53"/>
      <c r="H820" s="53" t="s">
        <v>431</v>
      </c>
      <c r="I820" s="51"/>
      <c r="J820" s="51"/>
      <c r="K820" s="225"/>
      <c r="L820" s="68"/>
      <c r="M820" s="51">
        <f>162976-21000-10050</f>
        <v>131926</v>
      </c>
      <c r="N820" s="51">
        <v>36</v>
      </c>
      <c r="O820" s="225">
        <f t="shared" si="85"/>
        <v>2.7288025104983096E-2</v>
      </c>
      <c r="P820" s="68"/>
      <c r="Q820" s="51">
        <f t="shared" si="86"/>
        <v>131926</v>
      </c>
      <c r="R820" s="51">
        <f t="shared" si="95"/>
        <v>36</v>
      </c>
      <c r="S820" s="244">
        <f t="shared" si="88"/>
        <v>2.7288025104983096E-2</v>
      </c>
    </row>
    <row r="821" spans="2:19" x14ac:dyDescent="0.2">
      <c r="B821" s="67">
        <f t="shared" si="89"/>
        <v>60</v>
      </c>
      <c r="C821" s="11"/>
      <c r="D821" s="11"/>
      <c r="E821" s="11"/>
      <c r="F821" s="57"/>
      <c r="G821" s="53"/>
      <c r="H821" s="53" t="s">
        <v>611</v>
      </c>
      <c r="I821" s="51"/>
      <c r="J821" s="51"/>
      <c r="K821" s="225"/>
      <c r="L821" s="68"/>
      <c r="M821" s="51">
        <v>180000</v>
      </c>
      <c r="N821" s="51"/>
      <c r="O821" s="225">
        <f t="shared" si="85"/>
        <v>0</v>
      </c>
      <c r="P821" s="68"/>
      <c r="Q821" s="51">
        <f t="shared" si="86"/>
        <v>180000</v>
      </c>
      <c r="R821" s="51">
        <f t="shared" si="95"/>
        <v>0</v>
      </c>
      <c r="S821" s="244">
        <f t="shared" si="88"/>
        <v>0</v>
      </c>
    </row>
    <row r="822" spans="2:19" x14ac:dyDescent="0.2">
      <c r="B822" s="67">
        <f t="shared" si="89"/>
        <v>61</v>
      </c>
      <c r="C822" s="10"/>
      <c r="D822" s="10"/>
      <c r="E822" s="10" t="s">
        <v>87</v>
      </c>
      <c r="F822" s="44"/>
      <c r="G822" s="10"/>
      <c r="H822" s="10" t="s">
        <v>62</v>
      </c>
      <c r="I822" s="41">
        <f>I825+I824+I823</f>
        <v>132580</v>
      </c>
      <c r="J822" s="41">
        <f>J825+J824+J823+J831</f>
        <v>56564</v>
      </c>
      <c r="K822" s="225">
        <f t="shared" si="84"/>
        <v>42.664051893196557</v>
      </c>
      <c r="L822" s="114"/>
      <c r="M822" s="41">
        <f>M825+M824+M823</f>
        <v>0</v>
      </c>
      <c r="N822" s="41">
        <f>N825+N824+N823</f>
        <v>0</v>
      </c>
      <c r="O822" s="225"/>
      <c r="P822" s="114"/>
      <c r="Q822" s="41">
        <f t="shared" si="86"/>
        <v>132580</v>
      </c>
      <c r="R822" s="41">
        <f t="shared" si="95"/>
        <v>56564</v>
      </c>
      <c r="S822" s="244">
        <f t="shared" si="88"/>
        <v>42.664051893196557</v>
      </c>
    </row>
    <row r="823" spans="2:19" x14ac:dyDescent="0.2">
      <c r="B823" s="67">
        <f t="shared" si="89"/>
        <v>62</v>
      </c>
      <c r="C823" s="11"/>
      <c r="D823" s="11"/>
      <c r="E823" s="11"/>
      <c r="F823" s="45" t="s">
        <v>198</v>
      </c>
      <c r="G823" s="11">
        <v>610</v>
      </c>
      <c r="H823" s="11" t="s">
        <v>135</v>
      </c>
      <c r="I823" s="42">
        <v>74290</v>
      </c>
      <c r="J823" s="42">
        <v>33229</v>
      </c>
      <c r="K823" s="225">
        <f t="shared" si="84"/>
        <v>44.728765648135685</v>
      </c>
      <c r="L823" s="114"/>
      <c r="M823" s="42"/>
      <c r="N823" s="42"/>
      <c r="O823" s="225"/>
      <c r="P823" s="114"/>
      <c r="Q823" s="42">
        <f t="shared" si="86"/>
        <v>74290</v>
      </c>
      <c r="R823" s="42">
        <f t="shared" si="95"/>
        <v>33229</v>
      </c>
      <c r="S823" s="244">
        <f t="shared" si="88"/>
        <v>44.728765648135685</v>
      </c>
    </row>
    <row r="824" spans="2:19" x14ac:dyDescent="0.2">
      <c r="B824" s="67">
        <f t="shared" si="89"/>
        <v>63</v>
      </c>
      <c r="C824" s="11"/>
      <c r="D824" s="11"/>
      <c r="E824" s="11"/>
      <c r="F824" s="45" t="s">
        <v>198</v>
      </c>
      <c r="G824" s="11">
        <v>620</v>
      </c>
      <c r="H824" s="11" t="s">
        <v>130</v>
      </c>
      <c r="I824" s="42">
        <v>27587</v>
      </c>
      <c r="J824" s="42">
        <v>12308</v>
      </c>
      <c r="K824" s="225">
        <f t="shared" si="84"/>
        <v>44.615217312502267</v>
      </c>
      <c r="L824" s="114"/>
      <c r="M824" s="42"/>
      <c r="N824" s="42"/>
      <c r="O824" s="225"/>
      <c r="P824" s="114"/>
      <c r="Q824" s="42">
        <f t="shared" si="86"/>
        <v>27587</v>
      </c>
      <c r="R824" s="42">
        <f t="shared" si="95"/>
        <v>12308</v>
      </c>
      <c r="S824" s="244">
        <f t="shared" si="88"/>
        <v>44.615217312502267</v>
      </c>
    </row>
    <row r="825" spans="2:19" x14ac:dyDescent="0.2">
      <c r="B825" s="67">
        <f t="shared" si="89"/>
        <v>64</v>
      </c>
      <c r="C825" s="11"/>
      <c r="D825" s="11"/>
      <c r="E825" s="11"/>
      <c r="F825" s="45" t="s">
        <v>198</v>
      </c>
      <c r="G825" s="11">
        <v>630</v>
      </c>
      <c r="H825" s="11" t="s">
        <v>127</v>
      </c>
      <c r="I825" s="42">
        <f>I829+I828+I827+I826+I830</f>
        <v>30703</v>
      </c>
      <c r="J825" s="42">
        <f>J829+J828+J827+J826+J830</f>
        <v>11002</v>
      </c>
      <c r="K825" s="225">
        <f t="shared" si="84"/>
        <v>35.833631892648924</v>
      </c>
      <c r="L825" s="114"/>
      <c r="M825" s="42">
        <v>0</v>
      </c>
      <c r="N825" s="42">
        <v>0</v>
      </c>
      <c r="O825" s="225"/>
      <c r="P825" s="114"/>
      <c r="Q825" s="42">
        <f t="shared" si="86"/>
        <v>30703</v>
      </c>
      <c r="R825" s="42">
        <f t="shared" si="95"/>
        <v>11002</v>
      </c>
      <c r="S825" s="244">
        <f t="shared" si="88"/>
        <v>35.833631892648924</v>
      </c>
    </row>
    <row r="826" spans="2:19" x14ac:dyDescent="0.2">
      <c r="B826" s="67">
        <f t="shared" si="89"/>
        <v>65</v>
      </c>
      <c r="C826" s="2"/>
      <c r="D826" s="2"/>
      <c r="E826" s="2"/>
      <c r="F826" s="46" t="s">
        <v>198</v>
      </c>
      <c r="G826" s="2">
        <v>632</v>
      </c>
      <c r="H826" s="2" t="s">
        <v>138</v>
      </c>
      <c r="I826" s="22">
        <v>18530</v>
      </c>
      <c r="J826" s="22">
        <v>8807</v>
      </c>
      <c r="K826" s="225">
        <f t="shared" ref="K826:K890" si="96">J826/I826*100</f>
        <v>47.528332433890988</v>
      </c>
      <c r="L826" s="68"/>
      <c r="M826" s="22"/>
      <c r="N826" s="22"/>
      <c r="O826" s="225"/>
      <c r="P826" s="68"/>
      <c r="Q826" s="22">
        <f t="shared" ref="Q826:Q898" si="97">M826+I826</f>
        <v>18530</v>
      </c>
      <c r="R826" s="22">
        <f t="shared" si="95"/>
        <v>8807</v>
      </c>
      <c r="S826" s="244">
        <f t="shared" ref="S826:S890" si="98">R826/Q826*100</f>
        <v>47.528332433890988</v>
      </c>
    </row>
    <row r="827" spans="2:19" x14ac:dyDescent="0.2">
      <c r="B827" s="67">
        <f t="shared" ref="B827:B845" si="99">B826+1</f>
        <v>66</v>
      </c>
      <c r="C827" s="2"/>
      <c r="D827" s="2"/>
      <c r="E827" s="2"/>
      <c r="F827" s="46" t="s">
        <v>198</v>
      </c>
      <c r="G827" s="2">
        <v>633</v>
      </c>
      <c r="H827" s="2" t="s">
        <v>131</v>
      </c>
      <c r="I827" s="22">
        <f>5541+1152</f>
        <v>6693</v>
      </c>
      <c r="J827" s="22">
        <v>1154</v>
      </c>
      <c r="K827" s="225">
        <f t="shared" si="96"/>
        <v>17.241894516659194</v>
      </c>
      <c r="L827" s="68"/>
      <c r="M827" s="22"/>
      <c r="N827" s="22"/>
      <c r="O827" s="225"/>
      <c r="P827" s="68"/>
      <c r="Q827" s="22">
        <f t="shared" si="97"/>
        <v>6693</v>
      </c>
      <c r="R827" s="22">
        <f t="shared" si="95"/>
        <v>1154</v>
      </c>
      <c r="S827" s="244">
        <f t="shared" si="98"/>
        <v>17.241894516659194</v>
      </c>
    </row>
    <row r="828" spans="2:19" x14ac:dyDescent="0.2">
      <c r="B828" s="67">
        <f t="shared" si="99"/>
        <v>67</v>
      </c>
      <c r="C828" s="2"/>
      <c r="D828" s="2"/>
      <c r="E828" s="2"/>
      <c r="F828" s="46" t="s">
        <v>198</v>
      </c>
      <c r="G828" s="2">
        <v>635</v>
      </c>
      <c r="H828" s="2" t="s">
        <v>137</v>
      </c>
      <c r="I828" s="22">
        <v>150</v>
      </c>
      <c r="J828" s="22">
        <v>0</v>
      </c>
      <c r="K828" s="225">
        <f t="shared" si="96"/>
        <v>0</v>
      </c>
      <c r="L828" s="68"/>
      <c r="M828" s="22"/>
      <c r="N828" s="22"/>
      <c r="O828" s="225"/>
      <c r="P828" s="68"/>
      <c r="Q828" s="22">
        <f t="shared" si="97"/>
        <v>150</v>
      </c>
      <c r="R828" s="22">
        <f t="shared" si="95"/>
        <v>0</v>
      </c>
      <c r="S828" s="244">
        <f t="shared" si="98"/>
        <v>0</v>
      </c>
    </row>
    <row r="829" spans="2:19" x14ac:dyDescent="0.2">
      <c r="B829" s="67">
        <f t="shared" si="99"/>
        <v>68</v>
      </c>
      <c r="C829" s="2"/>
      <c r="D829" s="2"/>
      <c r="E829" s="2"/>
      <c r="F829" s="46" t="s">
        <v>198</v>
      </c>
      <c r="G829" s="2">
        <v>637</v>
      </c>
      <c r="H829" s="2" t="s">
        <v>128</v>
      </c>
      <c r="I829" s="22">
        <v>2330</v>
      </c>
      <c r="J829" s="22">
        <v>1041</v>
      </c>
      <c r="K829" s="225">
        <f t="shared" si="96"/>
        <v>44.678111587982833</v>
      </c>
      <c r="L829" s="68"/>
      <c r="M829" s="22"/>
      <c r="N829" s="22"/>
      <c r="O829" s="225"/>
      <c r="P829" s="68"/>
      <c r="Q829" s="22">
        <f t="shared" si="97"/>
        <v>2330</v>
      </c>
      <c r="R829" s="22">
        <f t="shared" si="95"/>
        <v>1041</v>
      </c>
      <c r="S829" s="244">
        <f t="shared" si="98"/>
        <v>44.678111587982833</v>
      </c>
    </row>
    <row r="830" spans="2:19" x14ac:dyDescent="0.2">
      <c r="B830" s="67">
        <f t="shared" si="99"/>
        <v>69</v>
      </c>
      <c r="C830" s="2"/>
      <c r="D830" s="2"/>
      <c r="E830" s="2"/>
      <c r="F830" s="128">
        <v>9111</v>
      </c>
      <c r="G830" s="128">
        <v>633</v>
      </c>
      <c r="H830" s="150" t="s">
        <v>639</v>
      </c>
      <c r="I830" s="129">
        <v>3000</v>
      </c>
      <c r="J830" s="129"/>
      <c r="K830" s="225">
        <f t="shared" si="96"/>
        <v>0</v>
      </c>
      <c r="L830" s="68"/>
      <c r="M830" s="129">
        <v>0</v>
      </c>
      <c r="N830" s="129">
        <v>0</v>
      </c>
      <c r="O830" s="225"/>
      <c r="P830" s="68"/>
      <c r="Q830" s="129">
        <f t="shared" si="97"/>
        <v>3000</v>
      </c>
      <c r="R830" s="129">
        <f t="shared" si="95"/>
        <v>0</v>
      </c>
      <c r="S830" s="244">
        <f t="shared" si="98"/>
        <v>0</v>
      </c>
    </row>
    <row r="831" spans="2:19" x14ac:dyDescent="0.2">
      <c r="B831" s="67">
        <f t="shared" si="99"/>
        <v>70</v>
      </c>
      <c r="C831" s="2"/>
      <c r="D831" s="2"/>
      <c r="E831" s="2"/>
      <c r="F831" s="45" t="s">
        <v>198</v>
      </c>
      <c r="G831" s="11">
        <v>640</v>
      </c>
      <c r="H831" s="11" t="s">
        <v>134</v>
      </c>
      <c r="I831" s="42">
        <v>0</v>
      </c>
      <c r="J831" s="42">
        <v>25</v>
      </c>
      <c r="K831" s="225"/>
      <c r="L831" s="114"/>
      <c r="M831" s="42"/>
      <c r="N831" s="42"/>
      <c r="O831" s="225"/>
      <c r="P831" s="114"/>
      <c r="Q831" s="42">
        <f t="shared" si="97"/>
        <v>0</v>
      </c>
      <c r="R831" s="42">
        <f t="shared" si="95"/>
        <v>25</v>
      </c>
      <c r="S831" s="244">
        <v>0</v>
      </c>
    </row>
    <row r="832" spans="2:19" x14ac:dyDescent="0.2">
      <c r="B832" s="67">
        <f t="shared" si="99"/>
        <v>71</v>
      </c>
      <c r="C832" s="10"/>
      <c r="D832" s="10"/>
      <c r="E832" s="10" t="s">
        <v>97</v>
      </c>
      <c r="F832" s="44"/>
      <c r="G832" s="10"/>
      <c r="H832" s="10" t="s">
        <v>98</v>
      </c>
      <c r="I832" s="41">
        <f>I840+I835+I834+I833</f>
        <v>174749</v>
      </c>
      <c r="J832" s="41">
        <f>J840+J835+J834+J833</f>
        <v>74062</v>
      </c>
      <c r="K832" s="225">
        <f t="shared" si="96"/>
        <v>42.38193065482492</v>
      </c>
      <c r="L832" s="114"/>
      <c r="M832" s="41">
        <f>M840+M835+M834+M833</f>
        <v>0</v>
      </c>
      <c r="N832" s="41">
        <f>N840+N835+N834+N833</f>
        <v>0</v>
      </c>
      <c r="O832" s="225"/>
      <c r="P832" s="114"/>
      <c r="Q832" s="41">
        <f t="shared" si="97"/>
        <v>174749</v>
      </c>
      <c r="R832" s="41">
        <f t="shared" si="95"/>
        <v>74062</v>
      </c>
      <c r="S832" s="244">
        <f t="shared" si="98"/>
        <v>42.38193065482492</v>
      </c>
    </row>
    <row r="833" spans="2:19" x14ac:dyDescent="0.2">
      <c r="B833" s="67">
        <f t="shared" si="99"/>
        <v>72</v>
      </c>
      <c r="C833" s="11"/>
      <c r="D833" s="11"/>
      <c r="E833" s="11"/>
      <c r="F833" s="45" t="s">
        <v>198</v>
      </c>
      <c r="G833" s="11">
        <v>610</v>
      </c>
      <c r="H833" s="11" t="s">
        <v>135</v>
      </c>
      <c r="I833" s="42">
        <v>89455</v>
      </c>
      <c r="J833" s="42">
        <v>42632</v>
      </c>
      <c r="K833" s="225">
        <f t="shared" si="96"/>
        <v>47.657481415236717</v>
      </c>
      <c r="L833" s="114"/>
      <c r="M833" s="42"/>
      <c r="N833" s="42"/>
      <c r="O833" s="225"/>
      <c r="P833" s="114"/>
      <c r="Q833" s="42">
        <f t="shared" si="97"/>
        <v>89455</v>
      </c>
      <c r="R833" s="42">
        <f t="shared" si="95"/>
        <v>42632</v>
      </c>
      <c r="S833" s="244">
        <f t="shared" si="98"/>
        <v>47.657481415236717</v>
      </c>
    </row>
    <row r="834" spans="2:19" x14ac:dyDescent="0.2">
      <c r="B834" s="67">
        <f t="shared" si="99"/>
        <v>73</v>
      </c>
      <c r="C834" s="11"/>
      <c r="D834" s="11"/>
      <c r="E834" s="11"/>
      <c r="F834" s="45" t="s">
        <v>198</v>
      </c>
      <c r="G834" s="11">
        <v>620</v>
      </c>
      <c r="H834" s="11" t="s">
        <v>130</v>
      </c>
      <c r="I834" s="42">
        <v>33221</v>
      </c>
      <c r="J834" s="42">
        <v>15384</v>
      </c>
      <c r="K834" s="225">
        <f t="shared" si="96"/>
        <v>46.30805815598567</v>
      </c>
      <c r="L834" s="114"/>
      <c r="M834" s="42"/>
      <c r="N834" s="42"/>
      <c r="O834" s="225"/>
      <c r="P834" s="114"/>
      <c r="Q834" s="42">
        <f t="shared" si="97"/>
        <v>33221</v>
      </c>
      <c r="R834" s="42">
        <f t="shared" si="95"/>
        <v>15384</v>
      </c>
      <c r="S834" s="244">
        <f t="shared" si="98"/>
        <v>46.30805815598567</v>
      </c>
    </row>
    <row r="835" spans="2:19" x14ac:dyDescent="0.2">
      <c r="B835" s="67">
        <f t="shared" si="99"/>
        <v>74</v>
      </c>
      <c r="C835" s="11"/>
      <c r="D835" s="11"/>
      <c r="E835" s="11"/>
      <c r="F835" s="45" t="s">
        <v>198</v>
      </c>
      <c r="G835" s="11">
        <v>630</v>
      </c>
      <c r="H835" s="11" t="s">
        <v>127</v>
      </c>
      <c r="I835" s="42">
        <f>I839+I838+I837+I836</f>
        <v>50613</v>
      </c>
      <c r="J835" s="42">
        <f>J839+J838+J837+J836</f>
        <v>15858</v>
      </c>
      <c r="K835" s="225">
        <f t="shared" si="96"/>
        <v>31.331871258372356</v>
      </c>
      <c r="L835" s="114"/>
      <c r="M835" s="42">
        <f>M839+M838+M837+M836</f>
        <v>0</v>
      </c>
      <c r="N835" s="42">
        <f>N839+N838+N837+N836</f>
        <v>0</v>
      </c>
      <c r="O835" s="225"/>
      <c r="P835" s="114"/>
      <c r="Q835" s="42">
        <f t="shared" si="97"/>
        <v>50613</v>
      </c>
      <c r="R835" s="42">
        <f t="shared" si="95"/>
        <v>15858</v>
      </c>
      <c r="S835" s="244">
        <f t="shared" si="98"/>
        <v>31.331871258372356</v>
      </c>
    </row>
    <row r="836" spans="2:19" x14ac:dyDescent="0.2">
      <c r="B836" s="67">
        <f t="shared" si="99"/>
        <v>75</v>
      </c>
      <c r="C836" s="2"/>
      <c r="D836" s="2"/>
      <c r="E836" s="2"/>
      <c r="F836" s="46" t="s">
        <v>198</v>
      </c>
      <c r="G836" s="2">
        <v>632</v>
      </c>
      <c r="H836" s="2" t="s">
        <v>138</v>
      </c>
      <c r="I836" s="22">
        <v>37410</v>
      </c>
      <c r="J836" s="22">
        <v>12707</v>
      </c>
      <c r="K836" s="225">
        <f t="shared" si="96"/>
        <v>33.966853782411121</v>
      </c>
      <c r="L836" s="68"/>
      <c r="M836" s="22"/>
      <c r="N836" s="22"/>
      <c r="O836" s="225"/>
      <c r="P836" s="68"/>
      <c r="Q836" s="22">
        <f t="shared" si="97"/>
        <v>37410</v>
      </c>
      <c r="R836" s="22">
        <f t="shared" si="95"/>
        <v>12707</v>
      </c>
      <c r="S836" s="244">
        <f t="shared" si="98"/>
        <v>33.966853782411121</v>
      </c>
    </row>
    <row r="837" spans="2:19" x14ac:dyDescent="0.2">
      <c r="B837" s="67">
        <f t="shared" si="99"/>
        <v>76</v>
      </c>
      <c r="C837" s="2"/>
      <c r="D837" s="2"/>
      <c r="E837" s="2"/>
      <c r="F837" s="46" t="s">
        <v>198</v>
      </c>
      <c r="G837" s="2">
        <v>633</v>
      </c>
      <c r="H837" s="2" t="s">
        <v>131</v>
      </c>
      <c r="I837" s="22">
        <f>5943+1520</f>
        <v>7463</v>
      </c>
      <c r="J837" s="22">
        <v>1803</v>
      </c>
      <c r="K837" s="225">
        <f t="shared" si="96"/>
        <v>24.159185314216803</v>
      </c>
      <c r="L837" s="68"/>
      <c r="M837" s="22"/>
      <c r="N837" s="22"/>
      <c r="O837" s="225"/>
      <c r="P837" s="68"/>
      <c r="Q837" s="22">
        <f t="shared" si="97"/>
        <v>7463</v>
      </c>
      <c r="R837" s="22">
        <f t="shared" si="95"/>
        <v>1803</v>
      </c>
      <c r="S837" s="244">
        <f t="shared" si="98"/>
        <v>24.159185314216803</v>
      </c>
    </row>
    <row r="838" spans="2:19" x14ac:dyDescent="0.2">
      <c r="B838" s="67">
        <f t="shared" si="99"/>
        <v>77</v>
      </c>
      <c r="C838" s="2"/>
      <c r="D838" s="2"/>
      <c r="E838" s="2"/>
      <c r="F838" s="46" t="s">
        <v>198</v>
      </c>
      <c r="G838" s="2">
        <v>635</v>
      </c>
      <c r="H838" s="2" t="s">
        <v>137</v>
      </c>
      <c r="I838" s="22">
        <v>2450</v>
      </c>
      <c r="J838" s="22">
        <v>0</v>
      </c>
      <c r="K838" s="225">
        <f t="shared" si="96"/>
        <v>0</v>
      </c>
      <c r="L838" s="68"/>
      <c r="M838" s="22"/>
      <c r="N838" s="22"/>
      <c r="O838" s="225"/>
      <c r="P838" s="68"/>
      <c r="Q838" s="22">
        <f t="shared" si="97"/>
        <v>2450</v>
      </c>
      <c r="R838" s="22">
        <f t="shared" si="95"/>
        <v>0</v>
      </c>
      <c r="S838" s="244">
        <f t="shared" si="98"/>
        <v>0</v>
      </c>
    </row>
    <row r="839" spans="2:19" x14ac:dyDescent="0.2">
      <c r="B839" s="67">
        <f t="shared" si="99"/>
        <v>78</v>
      </c>
      <c r="C839" s="2"/>
      <c r="D839" s="2"/>
      <c r="E839" s="2"/>
      <c r="F839" s="46" t="s">
        <v>198</v>
      </c>
      <c r="G839" s="2">
        <v>637</v>
      </c>
      <c r="H839" s="2" t="s">
        <v>128</v>
      </c>
      <c r="I839" s="22">
        <v>3290</v>
      </c>
      <c r="J839" s="22">
        <v>1348</v>
      </c>
      <c r="K839" s="225">
        <f t="shared" si="96"/>
        <v>40.972644376899694</v>
      </c>
      <c r="L839" s="68"/>
      <c r="M839" s="22"/>
      <c r="N839" s="22"/>
      <c r="O839" s="225"/>
      <c r="P839" s="68"/>
      <c r="Q839" s="22">
        <f t="shared" si="97"/>
        <v>3290</v>
      </c>
      <c r="R839" s="22">
        <f t="shared" si="95"/>
        <v>1348</v>
      </c>
      <c r="S839" s="244">
        <f t="shared" si="98"/>
        <v>40.972644376899694</v>
      </c>
    </row>
    <row r="840" spans="2:19" x14ac:dyDescent="0.2">
      <c r="B840" s="67">
        <f t="shared" si="99"/>
        <v>79</v>
      </c>
      <c r="C840" s="11"/>
      <c r="D840" s="11"/>
      <c r="E840" s="11"/>
      <c r="F840" s="45" t="s">
        <v>198</v>
      </c>
      <c r="G840" s="11">
        <v>640</v>
      </c>
      <c r="H840" s="11" t="s">
        <v>134</v>
      </c>
      <c r="I840" s="42">
        <v>1460</v>
      </c>
      <c r="J840" s="42">
        <v>188</v>
      </c>
      <c r="K840" s="225">
        <f t="shared" si="96"/>
        <v>12.876712328767123</v>
      </c>
      <c r="L840" s="114"/>
      <c r="M840" s="42"/>
      <c r="N840" s="42"/>
      <c r="O840" s="225"/>
      <c r="P840" s="114"/>
      <c r="Q840" s="42">
        <f t="shared" si="97"/>
        <v>1460</v>
      </c>
      <c r="R840" s="42">
        <f t="shared" si="95"/>
        <v>188</v>
      </c>
      <c r="S840" s="244">
        <f t="shared" si="98"/>
        <v>12.876712328767123</v>
      </c>
    </row>
    <row r="841" spans="2:19" x14ac:dyDescent="0.2">
      <c r="B841" s="67">
        <f t="shared" si="99"/>
        <v>80</v>
      </c>
      <c r="C841" s="10"/>
      <c r="D841" s="10"/>
      <c r="E841" s="10" t="s">
        <v>100</v>
      </c>
      <c r="F841" s="44"/>
      <c r="G841" s="10"/>
      <c r="H841" s="10" t="s">
        <v>101</v>
      </c>
      <c r="I841" s="41">
        <f>I849+I844+I843+I842</f>
        <v>168703</v>
      </c>
      <c r="J841" s="41">
        <f>J849+J844+J843+J842</f>
        <v>77224</v>
      </c>
      <c r="K841" s="225">
        <f t="shared" si="96"/>
        <v>45.775119588863269</v>
      </c>
      <c r="L841" s="114"/>
      <c r="M841" s="41">
        <f>M849+M844+M843+M842</f>
        <v>0</v>
      </c>
      <c r="N841" s="41">
        <f>N849+N844+N843+N842</f>
        <v>0</v>
      </c>
      <c r="O841" s="225"/>
      <c r="P841" s="114"/>
      <c r="Q841" s="41">
        <f t="shared" si="97"/>
        <v>168703</v>
      </c>
      <c r="R841" s="41">
        <f t="shared" si="95"/>
        <v>77224</v>
      </c>
      <c r="S841" s="244">
        <f t="shared" si="98"/>
        <v>45.775119588863269</v>
      </c>
    </row>
    <row r="842" spans="2:19" x14ac:dyDescent="0.2">
      <c r="B842" s="67">
        <f t="shared" si="99"/>
        <v>81</v>
      </c>
      <c r="C842" s="11"/>
      <c r="D842" s="11"/>
      <c r="E842" s="11"/>
      <c r="F842" s="45" t="s">
        <v>198</v>
      </c>
      <c r="G842" s="11">
        <v>610</v>
      </c>
      <c r="H842" s="11" t="s">
        <v>135</v>
      </c>
      <c r="I842" s="42">
        <v>90396</v>
      </c>
      <c r="J842" s="42">
        <v>42323</v>
      </c>
      <c r="K842" s="225">
        <f t="shared" si="96"/>
        <v>46.819549537590163</v>
      </c>
      <c r="L842" s="114"/>
      <c r="M842" s="42"/>
      <c r="N842" s="42"/>
      <c r="O842" s="225"/>
      <c r="P842" s="114"/>
      <c r="Q842" s="42">
        <f t="shared" si="97"/>
        <v>90396</v>
      </c>
      <c r="R842" s="42">
        <f t="shared" si="95"/>
        <v>42323</v>
      </c>
      <c r="S842" s="244">
        <f t="shared" si="98"/>
        <v>46.819549537590163</v>
      </c>
    </row>
    <row r="843" spans="2:19" x14ac:dyDescent="0.2">
      <c r="B843" s="67">
        <f t="shared" si="99"/>
        <v>82</v>
      </c>
      <c r="C843" s="11"/>
      <c r="D843" s="11"/>
      <c r="E843" s="11"/>
      <c r="F843" s="45" t="s">
        <v>198</v>
      </c>
      <c r="G843" s="11">
        <v>620</v>
      </c>
      <c r="H843" s="11" t="s">
        <v>130</v>
      </c>
      <c r="I843" s="42">
        <v>34433</v>
      </c>
      <c r="J843" s="42">
        <v>15439</v>
      </c>
      <c r="K843" s="225">
        <f t="shared" si="96"/>
        <v>44.83780094676618</v>
      </c>
      <c r="L843" s="114"/>
      <c r="M843" s="42"/>
      <c r="N843" s="42"/>
      <c r="O843" s="225"/>
      <c r="P843" s="114"/>
      <c r="Q843" s="42">
        <f t="shared" si="97"/>
        <v>34433</v>
      </c>
      <c r="R843" s="42">
        <f t="shared" si="95"/>
        <v>15439</v>
      </c>
      <c r="S843" s="244">
        <f t="shared" si="98"/>
        <v>44.83780094676618</v>
      </c>
    </row>
    <row r="844" spans="2:19" x14ac:dyDescent="0.2">
      <c r="B844" s="67">
        <f t="shared" si="99"/>
        <v>83</v>
      </c>
      <c r="C844" s="11"/>
      <c r="D844" s="11"/>
      <c r="E844" s="11"/>
      <c r="F844" s="45" t="s">
        <v>198</v>
      </c>
      <c r="G844" s="11">
        <v>630</v>
      </c>
      <c r="H844" s="11" t="s">
        <v>127</v>
      </c>
      <c r="I844" s="42">
        <f>I848+I847+I846+I845</f>
        <v>41494</v>
      </c>
      <c r="J844" s="42">
        <f>J848+J847+J846+J845</f>
        <v>18401</v>
      </c>
      <c r="K844" s="225">
        <f t="shared" si="96"/>
        <v>44.346170530679139</v>
      </c>
      <c r="L844" s="114"/>
      <c r="M844" s="42">
        <v>0</v>
      </c>
      <c r="N844" s="42"/>
      <c r="O844" s="225"/>
      <c r="P844" s="114"/>
      <c r="Q844" s="42">
        <f t="shared" si="97"/>
        <v>41494</v>
      </c>
      <c r="R844" s="42">
        <f t="shared" si="95"/>
        <v>18401</v>
      </c>
      <c r="S844" s="244">
        <f t="shared" si="98"/>
        <v>44.346170530679139</v>
      </c>
    </row>
    <row r="845" spans="2:19" x14ac:dyDescent="0.2">
      <c r="B845" s="67">
        <f t="shared" si="99"/>
        <v>84</v>
      </c>
      <c r="C845" s="2"/>
      <c r="D845" s="2"/>
      <c r="E845" s="2"/>
      <c r="F845" s="46" t="s">
        <v>198</v>
      </c>
      <c r="G845" s="2">
        <v>632</v>
      </c>
      <c r="H845" s="2" t="s">
        <v>138</v>
      </c>
      <c r="I845" s="22">
        <v>26980</v>
      </c>
      <c r="J845" s="22">
        <v>12043</v>
      </c>
      <c r="K845" s="225">
        <f t="shared" si="96"/>
        <v>44.636767976278726</v>
      </c>
      <c r="L845" s="68"/>
      <c r="M845" s="22"/>
      <c r="N845" s="22"/>
      <c r="O845" s="225"/>
      <c r="P845" s="68"/>
      <c r="Q845" s="22">
        <f t="shared" si="97"/>
        <v>26980</v>
      </c>
      <c r="R845" s="22">
        <f t="shared" si="95"/>
        <v>12043</v>
      </c>
      <c r="S845" s="244">
        <f t="shared" si="98"/>
        <v>44.636767976278726</v>
      </c>
    </row>
    <row r="846" spans="2:19" x14ac:dyDescent="0.2">
      <c r="B846" s="67">
        <f t="shared" ref="B846:B891" si="100">B845+1</f>
        <v>85</v>
      </c>
      <c r="C846" s="2"/>
      <c r="D846" s="2"/>
      <c r="E846" s="2"/>
      <c r="F846" s="46" t="s">
        <v>198</v>
      </c>
      <c r="G846" s="2">
        <v>633</v>
      </c>
      <c r="H846" s="2" t="s">
        <v>131</v>
      </c>
      <c r="I846" s="22">
        <f>7350+1424</f>
        <v>8774</v>
      </c>
      <c r="J846" s="22">
        <v>1297</v>
      </c>
      <c r="K846" s="225">
        <f t="shared" si="96"/>
        <v>14.782311374515613</v>
      </c>
      <c r="L846" s="68"/>
      <c r="M846" s="22"/>
      <c r="N846" s="22"/>
      <c r="O846" s="225"/>
      <c r="P846" s="68"/>
      <c r="Q846" s="22">
        <f t="shared" si="97"/>
        <v>8774</v>
      </c>
      <c r="R846" s="22">
        <f t="shared" si="95"/>
        <v>1297</v>
      </c>
      <c r="S846" s="244">
        <f t="shared" si="98"/>
        <v>14.782311374515613</v>
      </c>
    </row>
    <row r="847" spans="2:19" x14ac:dyDescent="0.2">
      <c r="B847" s="67">
        <f t="shared" si="100"/>
        <v>86</v>
      </c>
      <c r="C847" s="2"/>
      <c r="D847" s="2"/>
      <c r="E847" s="2"/>
      <c r="F847" s="46" t="s">
        <v>198</v>
      </c>
      <c r="G847" s="2">
        <v>635</v>
      </c>
      <c r="H847" s="2" t="s">
        <v>137</v>
      </c>
      <c r="I847" s="22">
        <f>1100+1500</f>
        <v>2600</v>
      </c>
      <c r="J847" s="22">
        <v>3153</v>
      </c>
      <c r="K847" s="225">
        <f t="shared" si="96"/>
        <v>121.26923076923077</v>
      </c>
      <c r="L847" s="68"/>
      <c r="M847" s="22"/>
      <c r="N847" s="22"/>
      <c r="O847" s="225"/>
      <c r="P847" s="68"/>
      <c r="Q847" s="22">
        <f t="shared" si="97"/>
        <v>2600</v>
      </c>
      <c r="R847" s="22">
        <f t="shared" si="95"/>
        <v>3153</v>
      </c>
      <c r="S847" s="244">
        <f t="shared" si="98"/>
        <v>121.26923076923077</v>
      </c>
    </row>
    <row r="848" spans="2:19" x14ac:dyDescent="0.2">
      <c r="B848" s="67">
        <f t="shared" si="100"/>
        <v>87</v>
      </c>
      <c r="C848" s="2"/>
      <c r="D848" s="2"/>
      <c r="E848" s="2"/>
      <c r="F848" s="46" t="s">
        <v>198</v>
      </c>
      <c r="G848" s="2">
        <v>637</v>
      </c>
      <c r="H848" s="2" t="s">
        <v>128</v>
      </c>
      <c r="I848" s="22">
        <v>3140</v>
      </c>
      <c r="J848" s="22">
        <v>1908</v>
      </c>
      <c r="K848" s="225">
        <f t="shared" si="96"/>
        <v>60.764331210191081</v>
      </c>
      <c r="L848" s="68"/>
      <c r="M848" s="22"/>
      <c r="N848" s="22"/>
      <c r="O848" s="225"/>
      <c r="P848" s="68"/>
      <c r="Q848" s="22">
        <f t="shared" si="97"/>
        <v>3140</v>
      </c>
      <c r="R848" s="22">
        <f t="shared" si="95"/>
        <v>1908</v>
      </c>
      <c r="S848" s="244">
        <f t="shared" si="98"/>
        <v>60.764331210191081</v>
      </c>
    </row>
    <row r="849" spans="2:19" x14ac:dyDescent="0.2">
      <c r="B849" s="67">
        <f t="shared" si="100"/>
        <v>88</v>
      </c>
      <c r="C849" s="11"/>
      <c r="D849" s="11"/>
      <c r="E849" s="11"/>
      <c r="F849" s="45" t="s">
        <v>198</v>
      </c>
      <c r="G849" s="11">
        <v>640</v>
      </c>
      <c r="H849" s="11" t="s">
        <v>134</v>
      </c>
      <c r="I849" s="42">
        <v>2380</v>
      </c>
      <c r="J849" s="42">
        <v>1061</v>
      </c>
      <c r="K849" s="225">
        <f t="shared" si="96"/>
        <v>44.579831932773111</v>
      </c>
      <c r="L849" s="114"/>
      <c r="M849" s="42"/>
      <c r="N849" s="42"/>
      <c r="O849" s="225"/>
      <c r="P849" s="114"/>
      <c r="Q849" s="42">
        <f t="shared" si="97"/>
        <v>2380</v>
      </c>
      <c r="R849" s="42">
        <f t="shared" si="95"/>
        <v>1061</v>
      </c>
      <c r="S849" s="244">
        <f t="shared" si="98"/>
        <v>44.579831932773111</v>
      </c>
    </row>
    <row r="850" spans="2:19" x14ac:dyDescent="0.2">
      <c r="B850" s="67">
        <f t="shared" si="100"/>
        <v>89</v>
      </c>
      <c r="C850" s="10"/>
      <c r="D850" s="10"/>
      <c r="E850" s="10" t="s">
        <v>85</v>
      </c>
      <c r="F850" s="44"/>
      <c r="G850" s="10"/>
      <c r="H850" s="10" t="s">
        <v>86</v>
      </c>
      <c r="I850" s="41">
        <f>I859+I858+I853+I852+I851</f>
        <v>249476</v>
      </c>
      <c r="J850" s="41">
        <f>J859+J858+J853+J852+J851</f>
        <v>110789</v>
      </c>
      <c r="K850" s="225">
        <f t="shared" si="96"/>
        <v>44.408680594526132</v>
      </c>
      <c r="L850" s="114"/>
      <c r="M850" s="41">
        <f>M859+M858+M853+M852+M851</f>
        <v>11000</v>
      </c>
      <c r="N850" s="41">
        <f>N859+N858+N853+N852+N851</f>
        <v>0</v>
      </c>
      <c r="O850" s="225">
        <f t="shared" ref="O850:O888" si="101">N850/M850*100</f>
        <v>0</v>
      </c>
      <c r="P850" s="114"/>
      <c r="Q850" s="41">
        <f t="shared" si="97"/>
        <v>260476</v>
      </c>
      <c r="R850" s="41">
        <f t="shared" si="95"/>
        <v>110789</v>
      </c>
      <c r="S850" s="244">
        <f t="shared" si="98"/>
        <v>42.533285216296321</v>
      </c>
    </row>
    <row r="851" spans="2:19" x14ac:dyDescent="0.2">
      <c r="B851" s="67">
        <f t="shared" si="100"/>
        <v>90</v>
      </c>
      <c r="C851" s="11"/>
      <c r="D851" s="11"/>
      <c r="E851" s="11"/>
      <c r="F851" s="45" t="s">
        <v>198</v>
      </c>
      <c r="G851" s="11">
        <v>610</v>
      </c>
      <c r="H851" s="11" t="s">
        <v>135</v>
      </c>
      <c r="I851" s="42">
        <v>136506</v>
      </c>
      <c r="J851" s="42">
        <v>62686</v>
      </c>
      <c r="K851" s="225">
        <f t="shared" si="96"/>
        <v>45.921790983546515</v>
      </c>
      <c r="L851" s="114"/>
      <c r="M851" s="42"/>
      <c r="N851" s="42"/>
      <c r="O851" s="225"/>
      <c r="P851" s="114"/>
      <c r="Q851" s="42">
        <f t="shared" si="97"/>
        <v>136506</v>
      </c>
      <c r="R851" s="42">
        <f t="shared" si="95"/>
        <v>62686</v>
      </c>
      <c r="S851" s="244">
        <f t="shared" si="98"/>
        <v>45.921790983546515</v>
      </c>
    </row>
    <row r="852" spans="2:19" x14ac:dyDescent="0.2">
      <c r="B852" s="67">
        <f t="shared" si="100"/>
        <v>91</v>
      </c>
      <c r="C852" s="11"/>
      <c r="D852" s="11"/>
      <c r="E852" s="11"/>
      <c r="F852" s="45" t="s">
        <v>198</v>
      </c>
      <c r="G852" s="11">
        <v>620</v>
      </c>
      <c r="H852" s="11" t="s">
        <v>130</v>
      </c>
      <c r="I852" s="42">
        <v>51530</v>
      </c>
      <c r="J852" s="42">
        <v>22988</v>
      </c>
      <c r="K852" s="225">
        <f t="shared" si="96"/>
        <v>44.610906268193283</v>
      </c>
      <c r="L852" s="114"/>
      <c r="M852" s="42"/>
      <c r="N852" s="42"/>
      <c r="O852" s="225"/>
      <c r="P852" s="114"/>
      <c r="Q852" s="42">
        <f t="shared" si="97"/>
        <v>51530</v>
      </c>
      <c r="R852" s="42">
        <f t="shared" si="95"/>
        <v>22988</v>
      </c>
      <c r="S852" s="244">
        <f t="shared" si="98"/>
        <v>44.610906268193283</v>
      </c>
    </row>
    <row r="853" spans="2:19" x14ac:dyDescent="0.2">
      <c r="B853" s="67">
        <f t="shared" si="100"/>
        <v>92</v>
      </c>
      <c r="C853" s="11"/>
      <c r="D853" s="11"/>
      <c r="E853" s="11"/>
      <c r="F853" s="45" t="s">
        <v>198</v>
      </c>
      <c r="G853" s="11">
        <v>630</v>
      </c>
      <c r="H853" s="11" t="s">
        <v>127</v>
      </c>
      <c r="I853" s="42">
        <f>I857+I856+I855+I854</f>
        <v>59088</v>
      </c>
      <c r="J853" s="42">
        <f>J857+J856+J855+J854</f>
        <v>24879</v>
      </c>
      <c r="K853" s="225">
        <f t="shared" si="96"/>
        <v>42.104995938261574</v>
      </c>
      <c r="L853" s="114"/>
      <c r="M853" s="42">
        <f>M857+M856+M855+M854</f>
        <v>0</v>
      </c>
      <c r="N853" s="42">
        <f>N857+N856+N855+N854</f>
        <v>0</v>
      </c>
      <c r="O853" s="225"/>
      <c r="P853" s="114"/>
      <c r="Q853" s="42">
        <f t="shared" si="97"/>
        <v>59088</v>
      </c>
      <c r="R853" s="42">
        <f t="shared" si="95"/>
        <v>24879</v>
      </c>
      <c r="S853" s="244">
        <f t="shared" si="98"/>
        <v>42.104995938261574</v>
      </c>
    </row>
    <row r="854" spans="2:19" x14ac:dyDescent="0.2">
      <c r="B854" s="67">
        <f t="shared" si="100"/>
        <v>93</v>
      </c>
      <c r="C854" s="2"/>
      <c r="D854" s="2"/>
      <c r="E854" s="2"/>
      <c r="F854" s="46" t="s">
        <v>198</v>
      </c>
      <c r="G854" s="2">
        <v>632</v>
      </c>
      <c r="H854" s="2" t="s">
        <v>138</v>
      </c>
      <c r="I854" s="22">
        <v>41760</v>
      </c>
      <c r="J854" s="22">
        <v>19515</v>
      </c>
      <c r="K854" s="225">
        <f t="shared" si="96"/>
        <v>46.731321839080458</v>
      </c>
      <c r="L854" s="68"/>
      <c r="M854" s="22"/>
      <c r="N854" s="22"/>
      <c r="O854" s="225"/>
      <c r="P854" s="68"/>
      <c r="Q854" s="22">
        <f t="shared" si="97"/>
        <v>41760</v>
      </c>
      <c r="R854" s="22">
        <f t="shared" si="95"/>
        <v>19515</v>
      </c>
      <c r="S854" s="244">
        <f t="shared" si="98"/>
        <v>46.731321839080458</v>
      </c>
    </row>
    <row r="855" spans="2:19" x14ac:dyDescent="0.2">
      <c r="B855" s="67">
        <f t="shared" si="100"/>
        <v>94</v>
      </c>
      <c r="C855" s="2"/>
      <c r="D855" s="2"/>
      <c r="E855" s="2"/>
      <c r="F855" s="46" t="s">
        <v>198</v>
      </c>
      <c r="G855" s="2">
        <v>633</v>
      </c>
      <c r="H855" s="2" t="s">
        <v>131</v>
      </c>
      <c r="I855" s="22">
        <f>8582+2096</f>
        <v>10678</v>
      </c>
      <c r="J855" s="22">
        <v>2944</v>
      </c>
      <c r="K855" s="225">
        <f t="shared" si="96"/>
        <v>27.570706124742461</v>
      </c>
      <c r="L855" s="68"/>
      <c r="M855" s="22"/>
      <c r="N855" s="22"/>
      <c r="O855" s="225"/>
      <c r="P855" s="68"/>
      <c r="Q855" s="22">
        <f t="shared" si="97"/>
        <v>10678</v>
      </c>
      <c r="R855" s="22">
        <f t="shared" si="95"/>
        <v>2944</v>
      </c>
      <c r="S855" s="244">
        <f t="shared" si="98"/>
        <v>27.570706124742461</v>
      </c>
    </row>
    <row r="856" spans="2:19" x14ac:dyDescent="0.2">
      <c r="B856" s="67">
        <f t="shared" si="100"/>
        <v>95</v>
      </c>
      <c r="C856" s="2"/>
      <c r="D856" s="2"/>
      <c r="E856" s="2"/>
      <c r="F856" s="46" t="s">
        <v>198</v>
      </c>
      <c r="G856" s="2">
        <v>635</v>
      </c>
      <c r="H856" s="2" t="s">
        <v>137</v>
      </c>
      <c r="I856" s="22">
        <v>2550</v>
      </c>
      <c r="J856" s="22">
        <v>0</v>
      </c>
      <c r="K856" s="225">
        <f t="shared" si="96"/>
        <v>0</v>
      </c>
      <c r="L856" s="68"/>
      <c r="M856" s="22"/>
      <c r="N856" s="22"/>
      <c r="O856" s="225"/>
      <c r="P856" s="68"/>
      <c r="Q856" s="22">
        <f t="shared" si="97"/>
        <v>2550</v>
      </c>
      <c r="R856" s="22">
        <f t="shared" si="95"/>
        <v>0</v>
      </c>
      <c r="S856" s="244">
        <f t="shared" si="98"/>
        <v>0</v>
      </c>
    </row>
    <row r="857" spans="2:19" x14ac:dyDescent="0.2">
      <c r="B857" s="67">
        <f t="shared" si="100"/>
        <v>96</v>
      </c>
      <c r="C857" s="2"/>
      <c r="D857" s="2"/>
      <c r="E857" s="2"/>
      <c r="F857" s="46" t="s">
        <v>198</v>
      </c>
      <c r="G857" s="2">
        <v>637</v>
      </c>
      <c r="H857" s="2" t="s">
        <v>128</v>
      </c>
      <c r="I857" s="22">
        <v>4100</v>
      </c>
      <c r="J857" s="22">
        <v>2420</v>
      </c>
      <c r="K857" s="225">
        <f t="shared" si="96"/>
        <v>59.024390243902438</v>
      </c>
      <c r="L857" s="68"/>
      <c r="M857" s="22"/>
      <c r="N857" s="22"/>
      <c r="O857" s="225"/>
      <c r="P857" s="68"/>
      <c r="Q857" s="22">
        <f t="shared" si="97"/>
        <v>4100</v>
      </c>
      <c r="R857" s="22">
        <f t="shared" si="95"/>
        <v>2420</v>
      </c>
      <c r="S857" s="244">
        <f t="shared" si="98"/>
        <v>59.024390243902438</v>
      </c>
    </row>
    <row r="858" spans="2:19" x14ac:dyDescent="0.2">
      <c r="B858" s="67">
        <f t="shared" si="100"/>
        <v>97</v>
      </c>
      <c r="C858" s="11"/>
      <c r="D858" s="11"/>
      <c r="E858" s="11"/>
      <c r="F858" s="45" t="s">
        <v>198</v>
      </c>
      <c r="G858" s="11">
        <v>640</v>
      </c>
      <c r="H858" s="11" t="s">
        <v>134</v>
      </c>
      <c r="I858" s="42">
        <v>2352</v>
      </c>
      <c r="J858" s="42">
        <v>236</v>
      </c>
      <c r="K858" s="225">
        <f t="shared" si="96"/>
        <v>10.034013605442176</v>
      </c>
      <c r="L858" s="114"/>
      <c r="M858" s="42"/>
      <c r="N858" s="42"/>
      <c r="O858" s="225"/>
      <c r="P858" s="114"/>
      <c r="Q858" s="42">
        <f t="shared" si="97"/>
        <v>2352</v>
      </c>
      <c r="R858" s="42">
        <f t="shared" si="95"/>
        <v>236</v>
      </c>
      <c r="S858" s="244">
        <f t="shared" si="98"/>
        <v>10.034013605442176</v>
      </c>
    </row>
    <row r="859" spans="2:19" x14ac:dyDescent="0.2">
      <c r="B859" s="67">
        <f t="shared" si="100"/>
        <v>98</v>
      </c>
      <c r="C859" s="11"/>
      <c r="D859" s="11"/>
      <c r="E859" s="11"/>
      <c r="F859" s="45" t="s">
        <v>198</v>
      </c>
      <c r="G859" s="11">
        <v>710</v>
      </c>
      <c r="H859" s="11" t="s">
        <v>183</v>
      </c>
      <c r="I859" s="42">
        <f>I860</f>
        <v>0</v>
      </c>
      <c r="J859" s="42">
        <f>J860</f>
        <v>0</v>
      </c>
      <c r="K859" s="225"/>
      <c r="L859" s="114"/>
      <c r="M859" s="42">
        <f>M860</f>
        <v>11000</v>
      </c>
      <c r="N859" s="42">
        <f>N860</f>
        <v>0</v>
      </c>
      <c r="O859" s="225">
        <f t="shared" si="101"/>
        <v>0</v>
      </c>
      <c r="P859" s="114"/>
      <c r="Q859" s="42">
        <f t="shared" si="97"/>
        <v>11000</v>
      </c>
      <c r="R859" s="42">
        <f t="shared" si="95"/>
        <v>0</v>
      </c>
      <c r="S859" s="244">
        <f t="shared" si="98"/>
        <v>0</v>
      </c>
    </row>
    <row r="860" spans="2:19" x14ac:dyDescent="0.2">
      <c r="B860" s="67">
        <f t="shared" si="100"/>
        <v>99</v>
      </c>
      <c r="C860" s="2"/>
      <c r="D860" s="2"/>
      <c r="E860" s="2"/>
      <c r="F860" s="77" t="s">
        <v>198</v>
      </c>
      <c r="G860" s="78">
        <v>717</v>
      </c>
      <c r="H860" s="78" t="s">
        <v>193</v>
      </c>
      <c r="I860" s="79"/>
      <c r="J860" s="79"/>
      <c r="K860" s="225"/>
      <c r="L860" s="68"/>
      <c r="M860" s="79">
        <f>M861</f>
        <v>11000</v>
      </c>
      <c r="N860" s="79">
        <f>N861</f>
        <v>0</v>
      </c>
      <c r="O860" s="225">
        <f t="shared" si="101"/>
        <v>0</v>
      </c>
      <c r="P860" s="68"/>
      <c r="Q860" s="79">
        <f t="shared" si="97"/>
        <v>11000</v>
      </c>
      <c r="R860" s="79">
        <f t="shared" si="95"/>
        <v>0</v>
      </c>
      <c r="S860" s="244">
        <f t="shared" si="98"/>
        <v>0</v>
      </c>
    </row>
    <row r="861" spans="2:19" x14ac:dyDescent="0.2">
      <c r="B861" s="67">
        <f t="shared" si="100"/>
        <v>100</v>
      </c>
      <c r="C861" s="2"/>
      <c r="D861" s="2"/>
      <c r="E861" s="2"/>
      <c r="F861" s="57"/>
      <c r="G861" s="53"/>
      <c r="H861" s="53" t="s">
        <v>499</v>
      </c>
      <c r="I861" s="51"/>
      <c r="J861" s="51"/>
      <c r="K861" s="225"/>
      <c r="L861" s="68"/>
      <c r="M861" s="51">
        <f>15000-4000</f>
        <v>11000</v>
      </c>
      <c r="N861" s="51"/>
      <c r="O861" s="225">
        <f t="shared" si="101"/>
        <v>0</v>
      </c>
      <c r="P861" s="68"/>
      <c r="Q861" s="22">
        <f t="shared" si="97"/>
        <v>11000</v>
      </c>
      <c r="R861" s="22">
        <f t="shared" si="95"/>
        <v>0</v>
      </c>
      <c r="S861" s="244">
        <f t="shared" si="98"/>
        <v>0</v>
      </c>
    </row>
    <row r="862" spans="2:19" x14ac:dyDescent="0.2">
      <c r="B862" s="67">
        <f t="shared" si="100"/>
        <v>101</v>
      </c>
      <c r="C862" s="10"/>
      <c r="D862" s="10"/>
      <c r="E862" s="10" t="s">
        <v>82</v>
      </c>
      <c r="F862" s="44"/>
      <c r="G862" s="10"/>
      <c r="H862" s="10" t="s">
        <v>83</v>
      </c>
      <c r="I862" s="41">
        <f>I870+I865+I864+I863</f>
        <v>260525</v>
      </c>
      <c r="J862" s="41">
        <f>J870+J865+J864+J863</f>
        <v>114637</v>
      </c>
      <c r="K862" s="225">
        <f t="shared" si="96"/>
        <v>44.002303041934553</v>
      </c>
      <c r="L862" s="114"/>
      <c r="M862" s="41">
        <f>M870+M865+M864+M863+M871</f>
        <v>7000</v>
      </c>
      <c r="N862" s="41">
        <f>N870+N865+N864+N863+N871</f>
        <v>0</v>
      </c>
      <c r="O862" s="225">
        <f t="shared" si="101"/>
        <v>0</v>
      </c>
      <c r="P862" s="114"/>
      <c r="Q862" s="41">
        <f t="shared" si="97"/>
        <v>267525</v>
      </c>
      <c r="R862" s="41">
        <f t="shared" si="95"/>
        <v>114637</v>
      </c>
      <c r="S862" s="244">
        <f t="shared" si="98"/>
        <v>42.850948509485093</v>
      </c>
    </row>
    <row r="863" spans="2:19" x14ac:dyDescent="0.2">
      <c r="B863" s="67">
        <f t="shared" si="100"/>
        <v>102</v>
      </c>
      <c r="C863" s="11"/>
      <c r="D863" s="11"/>
      <c r="E863" s="11"/>
      <c r="F863" s="45" t="s">
        <v>198</v>
      </c>
      <c r="G863" s="11">
        <v>610</v>
      </c>
      <c r="H863" s="11" t="s">
        <v>135</v>
      </c>
      <c r="I863" s="42">
        <v>134310</v>
      </c>
      <c r="J863" s="42">
        <v>63877</v>
      </c>
      <c r="K863" s="225">
        <f t="shared" si="96"/>
        <v>47.559377559377559</v>
      </c>
      <c r="L863" s="114"/>
      <c r="M863" s="42"/>
      <c r="N863" s="42"/>
      <c r="O863" s="225"/>
      <c r="P863" s="114"/>
      <c r="Q863" s="42">
        <f t="shared" si="97"/>
        <v>134310</v>
      </c>
      <c r="R863" s="42">
        <f t="shared" si="95"/>
        <v>63877</v>
      </c>
      <c r="S863" s="244">
        <f t="shared" si="98"/>
        <v>47.559377559377559</v>
      </c>
    </row>
    <row r="864" spans="2:19" x14ac:dyDescent="0.2">
      <c r="B864" s="67">
        <f t="shared" si="100"/>
        <v>103</v>
      </c>
      <c r="C864" s="11"/>
      <c r="D864" s="11"/>
      <c r="E864" s="11"/>
      <c r="F864" s="45" t="s">
        <v>198</v>
      </c>
      <c r="G864" s="11">
        <v>620</v>
      </c>
      <c r="H864" s="11" t="s">
        <v>130</v>
      </c>
      <c r="I864" s="42">
        <v>51588</v>
      </c>
      <c r="J864" s="42">
        <v>22965</v>
      </c>
      <c r="K864" s="225">
        <f t="shared" si="96"/>
        <v>44.516166550360545</v>
      </c>
      <c r="L864" s="114"/>
      <c r="M864" s="42"/>
      <c r="N864" s="42"/>
      <c r="O864" s="225"/>
      <c r="P864" s="114"/>
      <c r="Q864" s="42">
        <f t="shared" si="97"/>
        <v>51588</v>
      </c>
      <c r="R864" s="42">
        <f t="shared" si="95"/>
        <v>22965</v>
      </c>
      <c r="S864" s="244">
        <f t="shared" si="98"/>
        <v>44.516166550360545</v>
      </c>
    </row>
    <row r="865" spans="2:19" x14ac:dyDescent="0.2">
      <c r="B865" s="67">
        <f t="shared" si="100"/>
        <v>104</v>
      </c>
      <c r="C865" s="11"/>
      <c r="D865" s="11"/>
      <c r="E865" s="11"/>
      <c r="F865" s="45" t="s">
        <v>198</v>
      </c>
      <c r="G865" s="11">
        <v>630</v>
      </c>
      <c r="H865" s="11" t="s">
        <v>127</v>
      </c>
      <c r="I865" s="42">
        <f>I869+I868+I867+I866</f>
        <v>69923</v>
      </c>
      <c r="J865" s="42">
        <f>J869+J868+J867+J866</f>
        <v>26774</v>
      </c>
      <c r="K865" s="225">
        <f t="shared" si="96"/>
        <v>38.290691188879194</v>
      </c>
      <c r="L865" s="114"/>
      <c r="M865" s="42">
        <v>0</v>
      </c>
      <c r="N865" s="42"/>
      <c r="O865" s="225"/>
      <c r="P865" s="114"/>
      <c r="Q865" s="42">
        <f t="shared" si="97"/>
        <v>69923</v>
      </c>
      <c r="R865" s="42">
        <f t="shared" si="95"/>
        <v>26774</v>
      </c>
      <c r="S865" s="244">
        <f t="shared" si="98"/>
        <v>38.290691188879194</v>
      </c>
    </row>
    <row r="866" spans="2:19" x14ac:dyDescent="0.2">
      <c r="B866" s="67">
        <f t="shared" si="100"/>
        <v>105</v>
      </c>
      <c r="C866" s="2"/>
      <c r="D866" s="2"/>
      <c r="E866" s="2"/>
      <c r="F866" s="46" t="s">
        <v>198</v>
      </c>
      <c r="G866" s="2">
        <v>632</v>
      </c>
      <c r="H866" s="2" t="s">
        <v>138</v>
      </c>
      <c r="I866" s="22">
        <v>53910</v>
      </c>
      <c r="J866" s="22">
        <v>20142</v>
      </c>
      <c r="K866" s="225">
        <f t="shared" si="96"/>
        <v>37.362270450751254</v>
      </c>
      <c r="L866" s="68"/>
      <c r="M866" s="22"/>
      <c r="N866" s="22"/>
      <c r="O866" s="225"/>
      <c r="P866" s="68"/>
      <c r="Q866" s="22">
        <f t="shared" si="97"/>
        <v>53910</v>
      </c>
      <c r="R866" s="22">
        <f t="shared" si="95"/>
        <v>20142</v>
      </c>
      <c r="S866" s="244">
        <f t="shared" si="98"/>
        <v>37.362270450751254</v>
      </c>
    </row>
    <row r="867" spans="2:19" x14ac:dyDescent="0.2">
      <c r="B867" s="67">
        <f t="shared" si="100"/>
        <v>106</v>
      </c>
      <c r="C867" s="2"/>
      <c r="D867" s="2"/>
      <c r="E867" s="2"/>
      <c r="F867" s="46" t="s">
        <v>198</v>
      </c>
      <c r="G867" s="2">
        <v>633</v>
      </c>
      <c r="H867" s="2" t="s">
        <v>131</v>
      </c>
      <c r="I867" s="22">
        <f>8043+2240</f>
        <v>10283</v>
      </c>
      <c r="J867" s="22">
        <v>4595</v>
      </c>
      <c r="K867" s="225">
        <f t="shared" si="96"/>
        <v>44.685403092482737</v>
      </c>
      <c r="L867" s="68"/>
      <c r="M867" s="22"/>
      <c r="N867" s="22"/>
      <c r="O867" s="225"/>
      <c r="P867" s="68"/>
      <c r="Q867" s="22">
        <f t="shared" si="97"/>
        <v>10283</v>
      </c>
      <c r="R867" s="22">
        <f t="shared" si="95"/>
        <v>4595</v>
      </c>
      <c r="S867" s="244">
        <f t="shared" si="98"/>
        <v>44.685403092482737</v>
      </c>
    </row>
    <row r="868" spans="2:19" ht="13.5" customHeight="1" x14ac:dyDescent="0.2">
      <c r="B868" s="67">
        <f t="shared" si="100"/>
        <v>107</v>
      </c>
      <c r="C868" s="2"/>
      <c r="D868" s="2"/>
      <c r="E868" s="2"/>
      <c r="F868" s="46" t="s">
        <v>198</v>
      </c>
      <c r="G868" s="2">
        <v>635</v>
      </c>
      <c r="H868" s="2" t="s">
        <v>137</v>
      </c>
      <c r="I868" s="22">
        <v>800</v>
      </c>
      <c r="J868" s="22">
        <v>0</v>
      </c>
      <c r="K868" s="225">
        <f t="shared" si="96"/>
        <v>0</v>
      </c>
      <c r="L868" s="68"/>
      <c r="M868" s="22"/>
      <c r="N868" s="22"/>
      <c r="O868" s="225"/>
      <c r="P868" s="68"/>
      <c r="Q868" s="22">
        <f t="shared" si="97"/>
        <v>800</v>
      </c>
      <c r="R868" s="22">
        <f t="shared" si="95"/>
        <v>0</v>
      </c>
      <c r="S868" s="244">
        <f t="shared" si="98"/>
        <v>0</v>
      </c>
    </row>
    <row r="869" spans="2:19" ht="18" customHeight="1" x14ac:dyDescent="0.2">
      <c r="B869" s="67">
        <f t="shared" si="100"/>
        <v>108</v>
      </c>
      <c r="C869" s="2"/>
      <c r="D869" s="2"/>
      <c r="E869" s="2"/>
      <c r="F869" s="46" t="s">
        <v>198</v>
      </c>
      <c r="G869" s="2">
        <v>637</v>
      </c>
      <c r="H869" s="2" t="s">
        <v>128</v>
      </c>
      <c r="I869" s="22">
        <v>4930</v>
      </c>
      <c r="J869" s="22">
        <v>2037</v>
      </c>
      <c r="K869" s="225">
        <f t="shared" si="96"/>
        <v>41.318458417849897</v>
      </c>
      <c r="L869" s="68"/>
      <c r="M869" s="22"/>
      <c r="N869" s="22"/>
      <c r="O869" s="225"/>
      <c r="P869" s="68"/>
      <c r="Q869" s="22">
        <f t="shared" si="97"/>
        <v>4930</v>
      </c>
      <c r="R869" s="22">
        <f t="shared" si="95"/>
        <v>2037</v>
      </c>
      <c r="S869" s="244">
        <f t="shared" si="98"/>
        <v>41.318458417849897</v>
      </c>
    </row>
    <row r="870" spans="2:19" ht="18" customHeight="1" x14ac:dyDescent="0.2">
      <c r="B870" s="67">
        <f t="shared" si="100"/>
        <v>109</v>
      </c>
      <c r="C870" s="11"/>
      <c r="D870" s="11"/>
      <c r="E870" s="11"/>
      <c r="F870" s="45" t="s">
        <v>198</v>
      </c>
      <c r="G870" s="11">
        <v>640</v>
      </c>
      <c r="H870" s="11" t="s">
        <v>134</v>
      </c>
      <c r="I870" s="42">
        <v>4704</v>
      </c>
      <c r="J870" s="42">
        <v>1021</v>
      </c>
      <c r="K870" s="225">
        <f t="shared" si="96"/>
        <v>21.704931972789115</v>
      </c>
      <c r="L870" s="114"/>
      <c r="M870" s="42"/>
      <c r="N870" s="42"/>
      <c r="O870" s="225"/>
      <c r="P870" s="114"/>
      <c r="Q870" s="42">
        <f t="shared" si="97"/>
        <v>4704</v>
      </c>
      <c r="R870" s="42">
        <f t="shared" si="95"/>
        <v>1021</v>
      </c>
      <c r="S870" s="244">
        <f t="shared" si="98"/>
        <v>21.704931972789115</v>
      </c>
    </row>
    <row r="871" spans="2:19" ht="15" customHeight="1" x14ac:dyDescent="0.2">
      <c r="B871" s="67">
        <f t="shared" si="100"/>
        <v>110</v>
      </c>
      <c r="C871" s="11"/>
      <c r="D871" s="11"/>
      <c r="E871" s="11"/>
      <c r="F871" s="45" t="s">
        <v>198</v>
      </c>
      <c r="G871" s="11">
        <v>710</v>
      </c>
      <c r="H871" s="11" t="s">
        <v>183</v>
      </c>
      <c r="I871" s="42">
        <f>I872</f>
        <v>0</v>
      </c>
      <c r="J871" s="42">
        <f>J872</f>
        <v>0</v>
      </c>
      <c r="K871" s="225"/>
      <c r="L871" s="114"/>
      <c r="M871" s="42">
        <f>M872</f>
        <v>7000</v>
      </c>
      <c r="N871" s="42">
        <f>N872</f>
        <v>0</v>
      </c>
      <c r="O871" s="225">
        <f t="shared" si="101"/>
        <v>0</v>
      </c>
      <c r="P871" s="114"/>
      <c r="Q871" s="42">
        <f t="shared" si="97"/>
        <v>7000</v>
      </c>
      <c r="R871" s="42">
        <f t="shared" si="95"/>
        <v>0</v>
      </c>
      <c r="S871" s="244">
        <f t="shared" si="98"/>
        <v>0</v>
      </c>
    </row>
    <row r="872" spans="2:19" x14ac:dyDescent="0.2">
      <c r="B872" s="67">
        <f t="shared" si="100"/>
        <v>111</v>
      </c>
      <c r="C872" s="11"/>
      <c r="D872" s="11"/>
      <c r="E872" s="11"/>
      <c r="F872" s="77" t="s">
        <v>198</v>
      </c>
      <c r="G872" s="78">
        <v>717</v>
      </c>
      <c r="H872" s="78" t="s">
        <v>193</v>
      </c>
      <c r="I872" s="79"/>
      <c r="J872" s="79"/>
      <c r="K872" s="225"/>
      <c r="L872" s="68"/>
      <c r="M872" s="79">
        <f>M873</f>
        <v>7000</v>
      </c>
      <c r="N872" s="79">
        <f>N873</f>
        <v>0</v>
      </c>
      <c r="O872" s="225">
        <f t="shared" si="101"/>
        <v>0</v>
      </c>
      <c r="P872" s="68"/>
      <c r="Q872" s="79">
        <f t="shared" si="97"/>
        <v>7000</v>
      </c>
      <c r="R872" s="79">
        <f t="shared" si="95"/>
        <v>0</v>
      </c>
      <c r="S872" s="244">
        <f t="shared" si="98"/>
        <v>0</v>
      </c>
    </row>
    <row r="873" spans="2:19" x14ac:dyDescent="0.2">
      <c r="B873" s="67">
        <f t="shared" si="100"/>
        <v>112</v>
      </c>
      <c r="C873" s="11"/>
      <c r="D873" s="11"/>
      <c r="E873" s="11"/>
      <c r="F873" s="57"/>
      <c r="G873" s="53"/>
      <c r="H873" s="116" t="s">
        <v>540</v>
      </c>
      <c r="I873" s="115"/>
      <c r="J873" s="115"/>
      <c r="K873" s="225"/>
      <c r="L873" s="68"/>
      <c r="M873" s="115">
        <f>3000+4000</f>
        <v>7000</v>
      </c>
      <c r="N873" s="115"/>
      <c r="O873" s="225">
        <f t="shared" si="101"/>
        <v>0</v>
      </c>
      <c r="P873" s="68"/>
      <c r="Q873" s="115">
        <f t="shared" si="97"/>
        <v>7000</v>
      </c>
      <c r="R873" s="115">
        <f t="shared" si="95"/>
        <v>0</v>
      </c>
      <c r="S873" s="244">
        <f t="shared" si="98"/>
        <v>0</v>
      </c>
    </row>
    <row r="874" spans="2:19" x14ac:dyDescent="0.2">
      <c r="B874" s="67">
        <f t="shared" si="100"/>
        <v>113</v>
      </c>
      <c r="C874" s="10"/>
      <c r="D874" s="10"/>
      <c r="E874" s="10" t="s">
        <v>104</v>
      </c>
      <c r="F874" s="44"/>
      <c r="G874" s="10"/>
      <c r="H874" s="10" t="s">
        <v>105</v>
      </c>
      <c r="I874" s="41">
        <f>I883+I882+I877+I876+I875</f>
        <v>165031</v>
      </c>
      <c r="J874" s="41">
        <f>J883+J882+J877+J876+J875</f>
        <v>70231</v>
      </c>
      <c r="K874" s="225">
        <f t="shared" si="96"/>
        <v>42.556247008137866</v>
      </c>
      <c r="L874" s="114"/>
      <c r="M874" s="41">
        <f>M884+M886</f>
        <v>48000</v>
      </c>
      <c r="N874" s="41">
        <f>N884+N886</f>
        <v>2700</v>
      </c>
      <c r="O874" s="225">
        <f t="shared" si="101"/>
        <v>5.625</v>
      </c>
      <c r="P874" s="114"/>
      <c r="Q874" s="41">
        <f t="shared" si="97"/>
        <v>213031</v>
      </c>
      <c r="R874" s="41">
        <f t="shared" si="95"/>
        <v>72931</v>
      </c>
      <c r="S874" s="244">
        <f t="shared" si="98"/>
        <v>34.234923555726631</v>
      </c>
    </row>
    <row r="875" spans="2:19" x14ac:dyDescent="0.2">
      <c r="B875" s="67">
        <f t="shared" si="100"/>
        <v>114</v>
      </c>
      <c r="C875" s="11"/>
      <c r="D875" s="11"/>
      <c r="E875" s="11"/>
      <c r="F875" s="45" t="s">
        <v>198</v>
      </c>
      <c r="G875" s="11">
        <v>610</v>
      </c>
      <c r="H875" s="11" t="s">
        <v>135</v>
      </c>
      <c r="I875" s="42">
        <v>99850</v>
      </c>
      <c r="J875" s="42">
        <v>43451</v>
      </c>
      <c r="K875" s="225">
        <f t="shared" si="96"/>
        <v>43.516274411617431</v>
      </c>
      <c r="L875" s="114"/>
      <c r="M875" s="42"/>
      <c r="N875" s="42"/>
      <c r="O875" s="225"/>
      <c r="P875" s="114"/>
      <c r="Q875" s="42">
        <f t="shared" si="97"/>
        <v>99850</v>
      </c>
      <c r="R875" s="42">
        <f t="shared" si="95"/>
        <v>43451</v>
      </c>
      <c r="S875" s="244">
        <f t="shared" si="98"/>
        <v>43.516274411617431</v>
      </c>
    </row>
    <row r="876" spans="2:19" x14ac:dyDescent="0.2">
      <c r="B876" s="67">
        <f t="shared" si="100"/>
        <v>115</v>
      </c>
      <c r="C876" s="11"/>
      <c r="D876" s="11"/>
      <c r="E876" s="11"/>
      <c r="F876" s="45" t="s">
        <v>198</v>
      </c>
      <c r="G876" s="11">
        <v>620</v>
      </c>
      <c r="H876" s="11" t="s">
        <v>130</v>
      </c>
      <c r="I876" s="42">
        <v>37638</v>
      </c>
      <c r="J876" s="42">
        <v>15960</v>
      </c>
      <c r="K876" s="225">
        <f t="shared" si="96"/>
        <v>42.403953451299223</v>
      </c>
      <c r="L876" s="114"/>
      <c r="M876" s="42"/>
      <c r="N876" s="42"/>
      <c r="O876" s="225"/>
      <c r="P876" s="114"/>
      <c r="Q876" s="42">
        <f t="shared" si="97"/>
        <v>37638</v>
      </c>
      <c r="R876" s="42">
        <f t="shared" si="95"/>
        <v>15960</v>
      </c>
      <c r="S876" s="244">
        <f t="shared" si="98"/>
        <v>42.403953451299223</v>
      </c>
    </row>
    <row r="877" spans="2:19" x14ac:dyDescent="0.2">
      <c r="B877" s="67">
        <f t="shared" si="100"/>
        <v>116</v>
      </c>
      <c r="C877" s="11"/>
      <c r="D877" s="11"/>
      <c r="E877" s="11"/>
      <c r="F877" s="45" t="s">
        <v>198</v>
      </c>
      <c r="G877" s="11">
        <v>630</v>
      </c>
      <c r="H877" s="11" t="s">
        <v>127</v>
      </c>
      <c r="I877" s="42">
        <f>I881+I880+I879+I878</f>
        <v>26043</v>
      </c>
      <c r="J877" s="42">
        <f>J881+J880+J879+J878</f>
        <v>10372</v>
      </c>
      <c r="K877" s="225">
        <f t="shared" si="96"/>
        <v>39.826440886226628</v>
      </c>
      <c r="L877" s="114"/>
      <c r="M877" s="42">
        <v>0</v>
      </c>
      <c r="N877" s="42"/>
      <c r="O877" s="225"/>
      <c r="P877" s="114"/>
      <c r="Q877" s="42">
        <f t="shared" si="97"/>
        <v>26043</v>
      </c>
      <c r="R877" s="42">
        <f t="shared" si="95"/>
        <v>10372</v>
      </c>
      <c r="S877" s="244">
        <f t="shared" si="98"/>
        <v>39.826440886226628</v>
      </c>
    </row>
    <row r="878" spans="2:19" x14ac:dyDescent="0.2">
      <c r="B878" s="67">
        <f t="shared" si="100"/>
        <v>117</v>
      </c>
      <c r="C878" s="2"/>
      <c r="D878" s="2"/>
      <c r="E878" s="2"/>
      <c r="F878" s="46" t="s">
        <v>198</v>
      </c>
      <c r="G878" s="2">
        <v>632</v>
      </c>
      <c r="H878" s="2" t="s">
        <v>138</v>
      </c>
      <c r="I878" s="22">
        <v>14100</v>
      </c>
      <c r="J878" s="22">
        <v>8009</v>
      </c>
      <c r="K878" s="225">
        <f t="shared" si="96"/>
        <v>56.801418439716315</v>
      </c>
      <c r="L878" s="68"/>
      <c r="M878" s="22"/>
      <c r="N878" s="22"/>
      <c r="O878" s="225"/>
      <c r="P878" s="68"/>
      <c r="Q878" s="22">
        <f t="shared" si="97"/>
        <v>14100</v>
      </c>
      <c r="R878" s="22">
        <f t="shared" si="95"/>
        <v>8009</v>
      </c>
      <c r="S878" s="244">
        <f t="shared" si="98"/>
        <v>56.801418439716315</v>
      </c>
    </row>
    <row r="879" spans="2:19" x14ac:dyDescent="0.2">
      <c r="B879" s="67">
        <f t="shared" si="100"/>
        <v>118</v>
      </c>
      <c r="C879" s="2"/>
      <c r="D879" s="2"/>
      <c r="E879" s="2"/>
      <c r="F879" s="46" t="s">
        <v>198</v>
      </c>
      <c r="G879" s="2">
        <v>633</v>
      </c>
      <c r="H879" s="2" t="s">
        <v>131</v>
      </c>
      <c r="I879" s="22">
        <f>6847+1216</f>
        <v>8063</v>
      </c>
      <c r="J879" s="22">
        <v>843</v>
      </c>
      <c r="K879" s="225">
        <f t="shared" si="96"/>
        <v>10.455165571127372</v>
      </c>
      <c r="L879" s="68"/>
      <c r="M879" s="22"/>
      <c r="N879" s="22"/>
      <c r="O879" s="225"/>
      <c r="P879" s="68"/>
      <c r="Q879" s="22">
        <f t="shared" si="97"/>
        <v>8063</v>
      </c>
      <c r="R879" s="22">
        <f t="shared" si="95"/>
        <v>843</v>
      </c>
      <c r="S879" s="244">
        <f t="shared" si="98"/>
        <v>10.455165571127372</v>
      </c>
    </row>
    <row r="880" spans="2:19" x14ac:dyDescent="0.2">
      <c r="B880" s="67">
        <f t="shared" si="100"/>
        <v>119</v>
      </c>
      <c r="C880" s="2"/>
      <c r="D880" s="2"/>
      <c r="E880" s="2"/>
      <c r="F880" s="46" t="s">
        <v>198</v>
      </c>
      <c r="G880" s="2">
        <v>635</v>
      </c>
      <c r="H880" s="2" t="s">
        <v>137</v>
      </c>
      <c r="I880" s="22">
        <v>550</v>
      </c>
      <c r="J880" s="22">
        <v>0</v>
      </c>
      <c r="K880" s="225">
        <f t="shared" si="96"/>
        <v>0</v>
      </c>
      <c r="L880" s="68"/>
      <c r="M880" s="22"/>
      <c r="N880" s="22"/>
      <c r="O880" s="225"/>
      <c r="P880" s="68"/>
      <c r="Q880" s="22">
        <f t="shared" si="97"/>
        <v>550</v>
      </c>
      <c r="R880" s="22">
        <f t="shared" si="95"/>
        <v>0</v>
      </c>
      <c r="S880" s="244">
        <f t="shared" si="98"/>
        <v>0</v>
      </c>
    </row>
    <row r="881" spans="1:19" x14ac:dyDescent="0.2">
      <c r="B881" s="67">
        <f t="shared" si="100"/>
        <v>120</v>
      </c>
      <c r="C881" s="2"/>
      <c r="D881" s="2"/>
      <c r="E881" s="2"/>
      <c r="F881" s="46" t="s">
        <v>198</v>
      </c>
      <c r="G881" s="2">
        <v>637</v>
      </c>
      <c r="H881" s="2" t="s">
        <v>128</v>
      </c>
      <c r="I881" s="22">
        <v>3330</v>
      </c>
      <c r="J881" s="22">
        <v>1520</v>
      </c>
      <c r="K881" s="225">
        <f t="shared" si="96"/>
        <v>45.645645645645644</v>
      </c>
      <c r="L881" s="68"/>
      <c r="M881" s="22"/>
      <c r="N881" s="22"/>
      <c r="O881" s="225"/>
      <c r="P881" s="68"/>
      <c r="Q881" s="22">
        <f t="shared" si="97"/>
        <v>3330</v>
      </c>
      <c r="R881" s="22">
        <f t="shared" si="95"/>
        <v>1520</v>
      </c>
      <c r="S881" s="244">
        <f t="shared" si="98"/>
        <v>45.645645645645644</v>
      </c>
    </row>
    <row r="882" spans="1:19" x14ac:dyDescent="0.2">
      <c r="B882" s="67">
        <f t="shared" si="100"/>
        <v>121</v>
      </c>
      <c r="C882" s="11"/>
      <c r="D882" s="11"/>
      <c r="E882" s="11"/>
      <c r="F882" s="45" t="s">
        <v>198</v>
      </c>
      <c r="G882" s="11">
        <v>640</v>
      </c>
      <c r="H882" s="11" t="s">
        <v>134</v>
      </c>
      <c r="I882" s="42">
        <v>1500</v>
      </c>
      <c r="J882" s="42">
        <v>448</v>
      </c>
      <c r="K882" s="225">
        <f t="shared" si="96"/>
        <v>29.866666666666671</v>
      </c>
      <c r="L882" s="114"/>
      <c r="M882" s="42"/>
      <c r="N882" s="42"/>
      <c r="O882" s="225"/>
      <c r="P882" s="114"/>
      <c r="Q882" s="42">
        <f t="shared" si="97"/>
        <v>1500</v>
      </c>
      <c r="R882" s="42">
        <f t="shared" si="95"/>
        <v>448</v>
      </c>
      <c r="S882" s="244">
        <f t="shared" si="98"/>
        <v>29.866666666666671</v>
      </c>
    </row>
    <row r="883" spans="1:19" x14ac:dyDescent="0.2">
      <c r="B883" s="67">
        <f t="shared" si="100"/>
        <v>122</v>
      </c>
      <c r="C883" s="11"/>
      <c r="D883" s="11"/>
      <c r="E883" s="11"/>
      <c r="F883" s="45" t="s">
        <v>198</v>
      </c>
      <c r="G883" s="11">
        <v>710</v>
      </c>
      <c r="H883" s="11" t="s">
        <v>183</v>
      </c>
      <c r="I883" s="42">
        <f>I886</f>
        <v>0</v>
      </c>
      <c r="J883" s="42">
        <f>J886</f>
        <v>0</v>
      </c>
      <c r="K883" s="225"/>
      <c r="L883" s="114"/>
      <c r="M883" s="42">
        <f>M886</f>
        <v>45000</v>
      </c>
      <c r="N883" s="42">
        <f>N886</f>
        <v>0</v>
      </c>
      <c r="O883" s="225">
        <f t="shared" si="101"/>
        <v>0</v>
      </c>
      <c r="P883" s="114"/>
      <c r="Q883" s="42">
        <f t="shared" si="97"/>
        <v>45000</v>
      </c>
      <c r="R883" s="42">
        <f t="shared" si="95"/>
        <v>0</v>
      </c>
      <c r="S883" s="244">
        <f t="shared" si="98"/>
        <v>0</v>
      </c>
    </row>
    <row r="884" spans="1:19" x14ac:dyDescent="0.2">
      <c r="B884" s="67">
        <f t="shared" si="100"/>
        <v>123</v>
      </c>
      <c r="C884" s="11"/>
      <c r="D884" s="11"/>
      <c r="E884" s="11"/>
      <c r="F884" s="77" t="s">
        <v>198</v>
      </c>
      <c r="G884" s="78">
        <v>716</v>
      </c>
      <c r="H884" s="78" t="s">
        <v>0</v>
      </c>
      <c r="I884" s="79"/>
      <c r="J884" s="79"/>
      <c r="K884" s="225"/>
      <c r="L884" s="68"/>
      <c r="M884" s="79">
        <f>M885</f>
        <v>3000</v>
      </c>
      <c r="N884" s="79">
        <f>N885</f>
        <v>2700</v>
      </c>
      <c r="O884" s="225">
        <f t="shared" si="101"/>
        <v>90</v>
      </c>
      <c r="P884" s="68"/>
      <c r="Q884" s="79">
        <f t="shared" si="97"/>
        <v>3000</v>
      </c>
      <c r="R884" s="79">
        <f t="shared" ref="R884:R898" si="102">N884+J884</f>
        <v>2700</v>
      </c>
      <c r="S884" s="244">
        <f t="shared" si="98"/>
        <v>90</v>
      </c>
    </row>
    <row r="885" spans="1:19" x14ac:dyDescent="0.2">
      <c r="B885" s="67">
        <f t="shared" si="100"/>
        <v>124</v>
      </c>
      <c r="C885" s="11"/>
      <c r="D885" s="11"/>
      <c r="E885" s="11"/>
      <c r="F885" s="46"/>
      <c r="G885" s="2"/>
      <c r="H885" s="2" t="s">
        <v>497</v>
      </c>
      <c r="I885" s="22"/>
      <c r="J885" s="22"/>
      <c r="K885" s="225"/>
      <c r="L885" s="68"/>
      <c r="M885" s="22">
        <f>1500+1500</f>
        <v>3000</v>
      </c>
      <c r="N885" s="22">
        <v>2700</v>
      </c>
      <c r="O885" s="225">
        <f t="shared" si="101"/>
        <v>90</v>
      </c>
      <c r="P885" s="68"/>
      <c r="Q885" s="22">
        <f t="shared" si="97"/>
        <v>3000</v>
      </c>
      <c r="R885" s="22">
        <f t="shared" si="102"/>
        <v>2700</v>
      </c>
      <c r="S885" s="244">
        <f t="shared" si="98"/>
        <v>90</v>
      </c>
    </row>
    <row r="886" spans="1:19" x14ac:dyDescent="0.2">
      <c r="B886" s="67">
        <f t="shared" si="100"/>
        <v>125</v>
      </c>
      <c r="C886" s="2"/>
      <c r="D886" s="2"/>
      <c r="E886" s="2"/>
      <c r="F886" s="77" t="s">
        <v>198</v>
      </c>
      <c r="G886" s="78">
        <v>717</v>
      </c>
      <c r="H886" s="78" t="s">
        <v>193</v>
      </c>
      <c r="I886" s="79"/>
      <c r="J886" s="79"/>
      <c r="K886" s="225"/>
      <c r="L886" s="68"/>
      <c r="M886" s="79">
        <f>M887</f>
        <v>45000</v>
      </c>
      <c r="N886" s="79">
        <f>N887</f>
        <v>0</v>
      </c>
      <c r="O886" s="225">
        <f t="shared" si="101"/>
        <v>0</v>
      </c>
      <c r="P886" s="68"/>
      <c r="Q886" s="79">
        <f t="shared" si="97"/>
        <v>45000</v>
      </c>
      <c r="R886" s="79">
        <f t="shared" si="102"/>
        <v>0</v>
      </c>
      <c r="S886" s="244">
        <f t="shared" si="98"/>
        <v>0</v>
      </c>
    </row>
    <row r="887" spans="1:19" x14ac:dyDescent="0.2">
      <c r="B887" s="67">
        <f t="shared" si="100"/>
        <v>126</v>
      </c>
      <c r="C887" s="2"/>
      <c r="D887" s="2"/>
      <c r="E887" s="2"/>
      <c r="F887" s="46"/>
      <c r="G887" s="2"/>
      <c r="H887" s="2" t="s">
        <v>337</v>
      </c>
      <c r="I887" s="22"/>
      <c r="J887" s="22"/>
      <c r="K887" s="225"/>
      <c r="L887" s="68"/>
      <c r="M887" s="22">
        <f>38500+6500</f>
        <v>45000</v>
      </c>
      <c r="N887" s="22">
        <v>0</v>
      </c>
      <c r="O887" s="225">
        <f t="shared" si="101"/>
        <v>0</v>
      </c>
      <c r="P887" s="68"/>
      <c r="Q887" s="22">
        <f t="shared" si="97"/>
        <v>45000</v>
      </c>
      <c r="R887" s="22">
        <f t="shared" si="102"/>
        <v>0</v>
      </c>
      <c r="S887" s="244">
        <f t="shared" si="98"/>
        <v>0</v>
      </c>
    </row>
    <row r="888" spans="1:19" x14ac:dyDescent="0.2">
      <c r="B888" s="67">
        <f t="shared" si="100"/>
        <v>127</v>
      </c>
      <c r="C888" s="10"/>
      <c r="D888" s="10"/>
      <c r="E888" s="10" t="s">
        <v>103</v>
      </c>
      <c r="F888" s="44"/>
      <c r="G888" s="10"/>
      <c r="H888" s="10" t="s">
        <v>249</v>
      </c>
      <c r="I888" s="41">
        <f>I897+I896+I891+I890+I889</f>
        <v>232516</v>
      </c>
      <c r="J888" s="41">
        <f>J897+J896+J891+J890+J889</f>
        <v>97197</v>
      </c>
      <c r="K888" s="225">
        <f t="shared" si="96"/>
        <v>41.802284573964805</v>
      </c>
      <c r="L888" s="114"/>
      <c r="M888" s="41">
        <f>M897+M896+M891+M890+M889</f>
        <v>59660</v>
      </c>
      <c r="N888" s="41">
        <f>N897+N896+N891+N890+N889</f>
        <v>9310</v>
      </c>
      <c r="O888" s="225">
        <f t="shared" si="101"/>
        <v>15.605095541401273</v>
      </c>
      <c r="P888" s="114"/>
      <c r="Q888" s="41">
        <f t="shared" si="97"/>
        <v>292176</v>
      </c>
      <c r="R888" s="41">
        <f t="shared" si="102"/>
        <v>106507</v>
      </c>
      <c r="S888" s="244">
        <f t="shared" si="98"/>
        <v>36.453028311702532</v>
      </c>
    </row>
    <row r="889" spans="1:19" x14ac:dyDescent="0.2">
      <c r="B889" s="67">
        <f t="shared" si="100"/>
        <v>128</v>
      </c>
      <c r="C889" s="11"/>
      <c r="D889" s="11"/>
      <c r="E889" s="11"/>
      <c r="F889" s="45" t="s">
        <v>198</v>
      </c>
      <c r="G889" s="11">
        <v>610</v>
      </c>
      <c r="H889" s="11" t="s">
        <v>135</v>
      </c>
      <c r="I889" s="42">
        <v>123215</v>
      </c>
      <c r="J889" s="42">
        <v>54301</v>
      </c>
      <c r="K889" s="225">
        <f t="shared" si="96"/>
        <v>44.070121332629959</v>
      </c>
      <c r="L889" s="114"/>
      <c r="M889" s="42"/>
      <c r="N889" s="42"/>
      <c r="O889" s="225"/>
      <c r="P889" s="114"/>
      <c r="Q889" s="42">
        <f t="shared" si="97"/>
        <v>123215</v>
      </c>
      <c r="R889" s="42">
        <f t="shared" si="102"/>
        <v>54301</v>
      </c>
      <c r="S889" s="244">
        <f t="shared" si="98"/>
        <v>44.070121332629959</v>
      </c>
    </row>
    <row r="890" spans="1:19" x14ac:dyDescent="0.2">
      <c r="B890" s="67">
        <f t="shared" si="100"/>
        <v>129</v>
      </c>
      <c r="C890" s="11"/>
      <c r="D890" s="11"/>
      <c r="E890" s="11"/>
      <c r="F890" s="45" t="s">
        <v>198</v>
      </c>
      <c r="G890" s="11">
        <v>620</v>
      </c>
      <c r="H890" s="11" t="s">
        <v>130</v>
      </c>
      <c r="I890" s="42">
        <v>45750</v>
      </c>
      <c r="J890" s="42">
        <v>19530</v>
      </c>
      <c r="K890" s="225">
        <f t="shared" si="96"/>
        <v>42.688524590163937</v>
      </c>
      <c r="L890" s="114"/>
      <c r="M890" s="42"/>
      <c r="N890" s="42"/>
      <c r="O890" s="225"/>
      <c r="P890" s="114"/>
      <c r="Q890" s="42">
        <f t="shared" si="97"/>
        <v>45750</v>
      </c>
      <c r="R890" s="42">
        <f t="shared" si="102"/>
        <v>19530</v>
      </c>
      <c r="S890" s="244">
        <f t="shared" si="98"/>
        <v>42.688524590163937</v>
      </c>
    </row>
    <row r="891" spans="1:19" x14ac:dyDescent="0.2">
      <c r="B891" s="67">
        <f t="shared" si="100"/>
        <v>130</v>
      </c>
      <c r="C891" s="11"/>
      <c r="D891" s="11"/>
      <c r="E891" s="11"/>
      <c r="F891" s="45" t="s">
        <v>198</v>
      </c>
      <c r="G891" s="11">
        <v>630</v>
      </c>
      <c r="H891" s="11" t="s">
        <v>127</v>
      </c>
      <c r="I891" s="42">
        <f>I895+I894+I893+I892</f>
        <v>62011</v>
      </c>
      <c r="J891" s="42">
        <f>J895+J894+J893+J892</f>
        <v>22386</v>
      </c>
      <c r="K891" s="225">
        <f t="shared" ref="K891:K955" si="103">J891/I891*100</f>
        <v>36.100046765896373</v>
      </c>
      <c r="L891" s="114"/>
      <c r="M891" s="42">
        <v>0</v>
      </c>
      <c r="N891" s="42"/>
      <c r="O891" s="225"/>
      <c r="P891" s="114"/>
      <c r="Q891" s="42">
        <f t="shared" si="97"/>
        <v>62011</v>
      </c>
      <c r="R891" s="42">
        <f t="shared" si="102"/>
        <v>22386</v>
      </c>
      <c r="S891" s="244">
        <f t="shared" ref="S891:S955" si="104">R891/Q891*100</f>
        <v>36.100046765896373</v>
      </c>
    </row>
    <row r="892" spans="1:19" x14ac:dyDescent="0.2">
      <c r="B892" s="67">
        <f t="shared" ref="B892:B956" si="105">B891+1</f>
        <v>131</v>
      </c>
      <c r="C892" s="2"/>
      <c r="D892" s="2"/>
      <c r="E892" s="2"/>
      <c r="F892" s="46" t="s">
        <v>198</v>
      </c>
      <c r="G892" s="2">
        <v>632</v>
      </c>
      <c r="H892" s="2" t="s">
        <v>138</v>
      </c>
      <c r="I892" s="22">
        <v>42250</v>
      </c>
      <c r="J892" s="22">
        <v>19089</v>
      </c>
      <c r="K892" s="225">
        <f t="shared" si="103"/>
        <v>45.181065088757393</v>
      </c>
      <c r="L892" s="68"/>
      <c r="M892" s="22"/>
      <c r="N892" s="22"/>
      <c r="O892" s="225"/>
      <c r="P892" s="68"/>
      <c r="Q892" s="22">
        <f t="shared" si="97"/>
        <v>42250</v>
      </c>
      <c r="R892" s="22">
        <f t="shared" si="102"/>
        <v>19089</v>
      </c>
      <c r="S892" s="244">
        <f t="shared" si="104"/>
        <v>45.181065088757393</v>
      </c>
    </row>
    <row r="893" spans="1:19" x14ac:dyDescent="0.2">
      <c r="B893" s="67">
        <f t="shared" si="105"/>
        <v>132</v>
      </c>
      <c r="C893" s="2"/>
      <c r="D893" s="2"/>
      <c r="E893" s="2"/>
      <c r="F893" s="46" t="s">
        <v>198</v>
      </c>
      <c r="G893" s="2">
        <v>633</v>
      </c>
      <c r="H893" s="2" t="s">
        <v>131</v>
      </c>
      <c r="I893" s="22">
        <f>12233+1728</f>
        <v>13961</v>
      </c>
      <c r="J893" s="22">
        <v>1596</v>
      </c>
      <c r="K893" s="225">
        <f t="shared" si="103"/>
        <v>11.431845856314018</v>
      </c>
      <c r="L893" s="68"/>
      <c r="M893" s="22"/>
      <c r="N893" s="22"/>
      <c r="O893" s="225"/>
      <c r="P893" s="68"/>
      <c r="Q893" s="22">
        <f t="shared" si="97"/>
        <v>13961</v>
      </c>
      <c r="R893" s="22">
        <f t="shared" si="102"/>
        <v>1596</v>
      </c>
      <c r="S893" s="244">
        <f t="shared" si="104"/>
        <v>11.431845856314018</v>
      </c>
    </row>
    <row r="894" spans="1:19" s="63" customFormat="1" x14ac:dyDescent="0.2">
      <c r="A894" s="59"/>
      <c r="B894" s="67">
        <f t="shared" si="105"/>
        <v>133</v>
      </c>
      <c r="C894" s="2"/>
      <c r="D894" s="2"/>
      <c r="E894" s="2"/>
      <c r="F894" s="46" t="s">
        <v>198</v>
      </c>
      <c r="G894" s="2">
        <v>635</v>
      </c>
      <c r="H894" s="2" t="s">
        <v>137</v>
      </c>
      <c r="I894" s="22">
        <v>2000</v>
      </c>
      <c r="J894" s="22">
        <v>0</v>
      </c>
      <c r="K894" s="225">
        <f t="shared" si="103"/>
        <v>0</v>
      </c>
      <c r="L894" s="68"/>
      <c r="M894" s="22"/>
      <c r="N894" s="22"/>
      <c r="O894" s="225"/>
      <c r="P894" s="68"/>
      <c r="Q894" s="22">
        <f t="shared" si="97"/>
        <v>2000</v>
      </c>
      <c r="R894" s="22">
        <f t="shared" si="102"/>
        <v>0</v>
      </c>
      <c r="S894" s="244">
        <f t="shared" si="104"/>
        <v>0</v>
      </c>
    </row>
    <row r="895" spans="1:19" x14ac:dyDescent="0.2">
      <c r="B895" s="67">
        <f t="shared" si="105"/>
        <v>134</v>
      </c>
      <c r="C895" s="2"/>
      <c r="D895" s="2"/>
      <c r="E895" s="2"/>
      <c r="F895" s="46" t="s">
        <v>198</v>
      </c>
      <c r="G895" s="2">
        <v>637</v>
      </c>
      <c r="H895" s="2" t="s">
        <v>128</v>
      </c>
      <c r="I895" s="22">
        <v>3800</v>
      </c>
      <c r="J895" s="22">
        <v>1701</v>
      </c>
      <c r="K895" s="225">
        <f t="shared" si="103"/>
        <v>44.763157894736842</v>
      </c>
      <c r="L895" s="68"/>
      <c r="M895" s="22"/>
      <c r="N895" s="22"/>
      <c r="O895" s="225"/>
      <c r="P895" s="68"/>
      <c r="Q895" s="22">
        <f t="shared" si="97"/>
        <v>3800</v>
      </c>
      <c r="R895" s="22">
        <f t="shared" si="102"/>
        <v>1701</v>
      </c>
      <c r="S895" s="244">
        <f t="shared" si="104"/>
        <v>44.763157894736842</v>
      </c>
    </row>
    <row r="896" spans="1:19" ht="13.5" customHeight="1" x14ac:dyDescent="0.2">
      <c r="B896" s="67">
        <f t="shared" si="105"/>
        <v>135</v>
      </c>
      <c r="C896" s="11"/>
      <c r="D896" s="11"/>
      <c r="E896" s="11"/>
      <c r="F896" s="45" t="s">
        <v>198</v>
      </c>
      <c r="G896" s="11">
        <v>640</v>
      </c>
      <c r="H896" s="11" t="s">
        <v>134</v>
      </c>
      <c r="I896" s="42">
        <v>1540</v>
      </c>
      <c r="J896" s="42">
        <v>980</v>
      </c>
      <c r="K896" s="225">
        <f t="shared" si="103"/>
        <v>63.636363636363633</v>
      </c>
      <c r="L896" s="114"/>
      <c r="M896" s="42"/>
      <c r="N896" s="42"/>
      <c r="O896" s="225"/>
      <c r="P896" s="114"/>
      <c r="Q896" s="42">
        <f t="shared" si="97"/>
        <v>1540</v>
      </c>
      <c r="R896" s="42">
        <f t="shared" si="102"/>
        <v>980</v>
      </c>
      <c r="S896" s="244">
        <f t="shared" si="104"/>
        <v>63.636363636363633</v>
      </c>
    </row>
    <row r="897" spans="1:19" x14ac:dyDescent="0.2">
      <c r="B897" s="67">
        <f t="shared" si="105"/>
        <v>136</v>
      </c>
      <c r="C897" s="11"/>
      <c r="D897" s="11"/>
      <c r="E897" s="11"/>
      <c r="F897" s="45" t="s">
        <v>198</v>
      </c>
      <c r="G897" s="11">
        <v>710</v>
      </c>
      <c r="H897" s="11" t="s">
        <v>183</v>
      </c>
      <c r="I897" s="42">
        <v>0</v>
      </c>
      <c r="J897" s="42">
        <v>0</v>
      </c>
      <c r="K897" s="225"/>
      <c r="L897" s="114"/>
      <c r="M897" s="42">
        <f>M900+M898</f>
        <v>59660</v>
      </c>
      <c r="N897" s="42">
        <f>N900+N898</f>
        <v>9310</v>
      </c>
      <c r="O897" s="225">
        <f t="shared" ref="O897:O953" si="106">N897/M897*100</f>
        <v>15.605095541401273</v>
      </c>
      <c r="P897" s="114"/>
      <c r="Q897" s="42">
        <f t="shared" si="97"/>
        <v>59660</v>
      </c>
      <c r="R897" s="42">
        <f t="shared" si="102"/>
        <v>9310</v>
      </c>
      <c r="S897" s="244">
        <f t="shared" si="104"/>
        <v>15.605095541401273</v>
      </c>
    </row>
    <row r="898" spans="1:19" x14ac:dyDescent="0.2">
      <c r="B898" s="67">
        <f t="shared" si="105"/>
        <v>137</v>
      </c>
      <c r="C898" s="11"/>
      <c r="D898" s="11"/>
      <c r="E898" s="11"/>
      <c r="F898" s="77" t="s">
        <v>198</v>
      </c>
      <c r="G898" s="78">
        <v>716</v>
      </c>
      <c r="H898" s="78" t="s">
        <v>0</v>
      </c>
      <c r="I898" s="79"/>
      <c r="J898" s="79"/>
      <c r="K898" s="225"/>
      <c r="L898" s="68"/>
      <c r="M898" s="79">
        <f>M899</f>
        <v>9660</v>
      </c>
      <c r="N898" s="79">
        <f>N899</f>
        <v>9310</v>
      </c>
      <c r="O898" s="225">
        <f t="shared" si="106"/>
        <v>96.376811594202891</v>
      </c>
      <c r="P898" s="68"/>
      <c r="Q898" s="79">
        <f t="shared" si="97"/>
        <v>9660</v>
      </c>
      <c r="R898" s="79">
        <f t="shared" si="102"/>
        <v>9310</v>
      </c>
      <c r="S898" s="244">
        <f t="shared" si="104"/>
        <v>96.376811594202891</v>
      </c>
    </row>
    <row r="899" spans="1:19" s="7" customFormat="1" x14ac:dyDescent="0.2">
      <c r="A899" s="5"/>
      <c r="B899" s="67">
        <f t="shared" si="105"/>
        <v>138</v>
      </c>
      <c r="C899" s="11"/>
      <c r="D899" s="11"/>
      <c r="E899" s="11"/>
      <c r="F899" s="45"/>
      <c r="G899" s="11"/>
      <c r="H899" s="53" t="s">
        <v>515</v>
      </c>
      <c r="I899" s="51"/>
      <c r="J899" s="51"/>
      <c r="K899" s="225"/>
      <c r="L899" s="68"/>
      <c r="M899" s="51">
        <v>9660</v>
      </c>
      <c r="N899" s="51">
        <v>9310</v>
      </c>
      <c r="O899" s="225">
        <f t="shared" si="106"/>
        <v>96.376811594202891</v>
      </c>
      <c r="P899" s="68"/>
      <c r="Q899" s="51">
        <f>I899+M899</f>
        <v>9660</v>
      </c>
      <c r="R899" s="51">
        <f t="shared" ref="R899" si="107">J899+N899</f>
        <v>9310</v>
      </c>
      <c r="S899" s="244">
        <f t="shared" si="104"/>
        <v>96.376811594202891</v>
      </c>
    </row>
    <row r="900" spans="1:19" x14ac:dyDescent="0.2">
      <c r="B900" s="67">
        <f t="shared" si="105"/>
        <v>139</v>
      </c>
      <c r="C900" s="2"/>
      <c r="D900" s="2"/>
      <c r="E900" s="2"/>
      <c r="F900" s="77" t="s">
        <v>198</v>
      </c>
      <c r="G900" s="78">
        <v>717</v>
      </c>
      <c r="H900" s="78" t="s">
        <v>193</v>
      </c>
      <c r="I900" s="79"/>
      <c r="J900" s="79"/>
      <c r="K900" s="225"/>
      <c r="L900" s="68"/>
      <c r="M900" s="79">
        <f>M901</f>
        <v>50000</v>
      </c>
      <c r="N900" s="79">
        <f>N901</f>
        <v>0</v>
      </c>
      <c r="O900" s="225">
        <f t="shared" si="106"/>
        <v>0</v>
      </c>
      <c r="P900" s="68"/>
      <c r="Q900" s="79">
        <f t="shared" ref="Q900:Q971" si="108">M900+I900</f>
        <v>50000</v>
      </c>
      <c r="R900" s="79">
        <f t="shared" ref="R900:R913" si="109">N900+J900</f>
        <v>0</v>
      </c>
      <c r="S900" s="244">
        <f t="shared" si="104"/>
        <v>0</v>
      </c>
    </row>
    <row r="901" spans="1:19" x14ac:dyDescent="0.2">
      <c r="B901" s="67">
        <f t="shared" si="105"/>
        <v>140</v>
      </c>
      <c r="C901" s="2"/>
      <c r="D901" s="2"/>
      <c r="E901" s="2"/>
      <c r="F901" s="46"/>
      <c r="G901" s="2"/>
      <c r="H901" s="2" t="s">
        <v>500</v>
      </c>
      <c r="I901" s="22"/>
      <c r="J901" s="22"/>
      <c r="K901" s="225"/>
      <c r="L901" s="68"/>
      <c r="M901" s="22">
        <v>50000</v>
      </c>
      <c r="N901" s="22"/>
      <c r="O901" s="225">
        <f t="shared" si="106"/>
        <v>0</v>
      </c>
      <c r="P901" s="68"/>
      <c r="Q901" s="22">
        <f t="shared" si="108"/>
        <v>50000</v>
      </c>
      <c r="R901" s="22">
        <f t="shared" si="109"/>
        <v>0</v>
      </c>
      <c r="S901" s="244">
        <f t="shared" si="104"/>
        <v>0</v>
      </c>
    </row>
    <row r="902" spans="1:19" x14ac:dyDescent="0.2">
      <c r="B902" s="67">
        <f t="shared" si="105"/>
        <v>141</v>
      </c>
      <c r="C902" s="10"/>
      <c r="D902" s="10"/>
      <c r="E902" s="10" t="s">
        <v>99</v>
      </c>
      <c r="F902" s="44"/>
      <c r="G902" s="10"/>
      <c r="H902" s="10" t="s">
        <v>64</v>
      </c>
      <c r="I902" s="41">
        <f>I911+I905+I904+I903</f>
        <v>233561</v>
      </c>
      <c r="J902" s="41">
        <f>J911+J905+J904+J903</f>
        <v>108844</v>
      </c>
      <c r="K902" s="225">
        <f t="shared" si="103"/>
        <v>46.601958374899922</v>
      </c>
      <c r="L902" s="114"/>
      <c r="M902" s="41">
        <f>M903+M904+M905+M911+M912</f>
        <v>9660</v>
      </c>
      <c r="N902" s="41">
        <f>N903+N904+N905+N911+N912</f>
        <v>0</v>
      </c>
      <c r="O902" s="225">
        <f t="shared" si="106"/>
        <v>0</v>
      </c>
      <c r="P902" s="114"/>
      <c r="Q902" s="41">
        <f t="shared" si="108"/>
        <v>243221</v>
      </c>
      <c r="R902" s="41">
        <f t="shared" si="109"/>
        <v>108844</v>
      </c>
      <c r="S902" s="244">
        <f t="shared" si="104"/>
        <v>44.751070014513552</v>
      </c>
    </row>
    <row r="903" spans="1:19" x14ac:dyDescent="0.2">
      <c r="B903" s="67">
        <f t="shared" si="105"/>
        <v>142</v>
      </c>
      <c r="C903" s="11"/>
      <c r="D903" s="11"/>
      <c r="E903" s="11"/>
      <c r="F903" s="45" t="s">
        <v>198</v>
      </c>
      <c r="G903" s="11">
        <v>610</v>
      </c>
      <c r="H903" s="11" t="s">
        <v>135</v>
      </c>
      <c r="I903" s="42">
        <v>139740</v>
      </c>
      <c r="J903" s="42">
        <v>65838</v>
      </c>
      <c r="K903" s="225">
        <f t="shared" si="103"/>
        <v>47.114641477028769</v>
      </c>
      <c r="L903" s="114"/>
      <c r="M903" s="42"/>
      <c r="N903" s="42"/>
      <c r="O903" s="225"/>
      <c r="P903" s="114"/>
      <c r="Q903" s="42">
        <f t="shared" si="108"/>
        <v>139740</v>
      </c>
      <c r="R903" s="42">
        <f t="shared" si="109"/>
        <v>65838</v>
      </c>
      <c r="S903" s="244">
        <f t="shared" si="104"/>
        <v>47.114641477028769</v>
      </c>
    </row>
    <row r="904" spans="1:19" x14ac:dyDescent="0.2">
      <c r="B904" s="67">
        <f t="shared" si="105"/>
        <v>143</v>
      </c>
      <c r="C904" s="11"/>
      <c r="D904" s="11"/>
      <c r="E904" s="11"/>
      <c r="F904" s="45" t="s">
        <v>198</v>
      </c>
      <c r="G904" s="11">
        <v>620</v>
      </c>
      <c r="H904" s="11" t="s">
        <v>130</v>
      </c>
      <c r="I904" s="42">
        <v>52450</v>
      </c>
      <c r="J904" s="42">
        <v>23941</v>
      </c>
      <c r="K904" s="225">
        <f t="shared" si="103"/>
        <v>45.645376549094372</v>
      </c>
      <c r="L904" s="114"/>
      <c r="M904" s="42"/>
      <c r="N904" s="42"/>
      <c r="O904" s="225"/>
      <c r="P904" s="114"/>
      <c r="Q904" s="42">
        <f t="shared" si="108"/>
        <v>52450</v>
      </c>
      <c r="R904" s="42">
        <f t="shared" si="109"/>
        <v>23941</v>
      </c>
      <c r="S904" s="244">
        <f t="shared" si="104"/>
        <v>45.645376549094372</v>
      </c>
    </row>
    <row r="905" spans="1:19" x14ac:dyDescent="0.2">
      <c r="B905" s="67">
        <f t="shared" si="105"/>
        <v>144</v>
      </c>
      <c r="C905" s="11"/>
      <c r="D905" s="11"/>
      <c r="E905" s="11"/>
      <c r="F905" s="45" t="s">
        <v>198</v>
      </c>
      <c r="G905" s="11">
        <v>630</v>
      </c>
      <c r="H905" s="11" t="s">
        <v>127</v>
      </c>
      <c r="I905" s="42">
        <f>I910+I908+I907+I906+I909</f>
        <v>39871</v>
      </c>
      <c r="J905" s="42">
        <f>J910+J908+J907+J906+J909</f>
        <v>18700</v>
      </c>
      <c r="K905" s="225">
        <f t="shared" si="103"/>
        <v>46.901256552381433</v>
      </c>
      <c r="L905" s="114"/>
      <c r="M905" s="42">
        <v>0</v>
      </c>
      <c r="N905" s="42"/>
      <c r="O905" s="225"/>
      <c r="P905" s="114"/>
      <c r="Q905" s="42">
        <f t="shared" si="108"/>
        <v>39871</v>
      </c>
      <c r="R905" s="42">
        <f t="shared" si="109"/>
        <v>18700</v>
      </c>
      <c r="S905" s="244">
        <f t="shared" si="104"/>
        <v>46.901256552381433</v>
      </c>
    </row>
    <row r="906" spans="1:19" x14ac:dyDescent="0.2">
      <c r="B906" s="67">
        <f t="shared" si="105"/>
        <v>145</v>
      </c>
      <c r="C906" s="2"/>
      <c r="D906" s="2"/>
      <c r="E906" s="2"/>
      <c r="F906" s="46" t="s">
        <v>198</v>
      </c>
      <c r="G906" s="2">
        <v>632</v>
      </c>
      <c r="H906" s="2" t="s">
        <v>138</v>
      </c>
      <c r="I906" s="22">
        <v>21670</v>
      </c>
      <c r="J906" s="22">
        <v>12565</v>
      </c>
      <c r="K906" s="225">
        <f t="shared" si="103"/>
        <v>57.983387171204427</v>
      </c>
      <c r="L906" s="68"/>
      <c r="M906" s="22"/>
      <c r="N906" s="22"/>
      <c r="O906" s="225"/>
      <c r="P906" s="68"/>
      <c r="Q906" s="22">
        <f t="shared" si="108"/>
        <v>21670</v>
      </c>
      <c r="R906" s="22">
        <f t="shared" si="109"/>
        <v>12565</v>
      </c>
      <c r="S906" s="244">
        <f t="shared" si="104"/>
        <v>57.983387171204427</v>
      </c>
    </row>
    <row r="907" spans="1:19" x14ac:dyDescent="0.2">
      <c r="B907" s="67">
        <f t="shared" si="105"/>
        <v>146</v>
      </c>
      <c r="C907" s="2"/>
      <c r="D907" s="2"/>
      <c r="E907" s="2"/>
      <c r="F907" s="46" t="s">
        <v>198</v>
      </c>
      <c r="G907" s="2">
        <v>633</v>
      </c>
      <c r="H907" s="2" t="s">
        <v>131</v>
      </c>
      <c r="I907" s="22">
        <f>8483+2128</f>
        <v>10611</v>
      </c>
      <c r="J907" s="22">
        <v>3361</v>
      </c>
      <c r="K907" s="225">
        <f t="shared" si="103"/>
        <v>31.674677221751011</v>
      </c>
      <c r="L907" s="68"/>
      <c r="M907" s="22"/>
      <c r="N907" s="22"/>
      <c r="O907" s="225"/>
      <c r="P907" s="68"/>
      <c r="Q907" s="22">
        <f t="shared" si="108"/>
        <v>10611</v>
      </c>
      <c r="R907" s="22">
        <f t="shared" si="109"/>
        <v>3361</v>
      </c>
      <c r="S907" s="244">
        <f t="shared" si="104"/>
        <v>31.674677221751011</v>
      </c>
    </row>
    <row r="908" spans="1:19" x14ac:dyDescent="0.2">
      <c r="B908" s="67">
        <f t="shared" si="105"/>
        <v>147</v>
      </c>
      <c r="C908" s="2"/>
      <c r="D908" s="2"/>
      <c r="E908" s="2"/>
      <c r="F908" s="46" t="s">
        <v>198</v>
      </c>
      <c r="G908" s="2">
        <v>635</v>
      </c>
      <c r="H908" s="2" t="s">
        <v>137</v>
      </c>
      <c r="I908" s="22">
        <v>150</v>
      </c>
      <c r="J908" s="51">
        <v>171</v>
      </c>
      <c r="K908" s="225">
        <f t="shared" si="103"/>
        <v>113.99999999999999</v>
      </c>
      <c r="L908" s="68"/>
      <c r="M908" s="22"/>
      <c r="N908" s="22"/>
      <c r="O908" s="225"/>
      <c r="P908" s="68"/>
      <c r="Q908" s="22">
        <f t="shared" si="108"/>
        <v>150</v>
      </c>
      <c r="R908" s="22">
        <f t="shared" si="109"/>
        <v>171</v>
      </c>
      <c r="S908" s="244">
        <f t="shared" si="104"/>
        <v>113.99999999999999</v>
      </c>
    </row>
    <row r="909" spans="1:19" x14ac:dyDescent="0.2">
      <c r="B909" s="67">
        <f t="shared" si="105"/>
        <v>148</v>
      </c>
      <c r="C909" s="2"/>
      <c r="D909" s="2"/>
      <c r="E909" s="2"/>
      <c r="F909" s="130" t="s">
        <v>198</v>
      </c>
      <c r="G909" s="131">
        <v>635</v>
      </c>
      <c r="H909" s="131" t="s">
        <v>570</v>
      </c>
      <c r="I909" s="129">
        <v>2000</v>
      </c>
      <c r="J909" s="129"/>
      <c r="K909" s="225">
        <f t="shared" si="103"/>
        <v>0</v>
      </c>
      <c r="L909" s="68"/>
      <c r="M909" s="129"/>
      <c r="N909" s="129"/>
      <c r="O909" s="225"/>
      <c r="P909" s="68"/>
      <c r="Q909" s="129">
        <f t="shared" si="108"/>
        <v>2000</v>
      </c>
      <c r="R909" s="129">
        <f t="shared" si="109"/>
        <v>0</v>
      </c>
      <c r="S909" s="244">
        <f t="shared" si="104"/>
        <v>0</v>
      </c>
    </row>
    <row r="910" spans="1:19" x14ac:dyDescent="0.2">
      <c r="B910" s="67">
        <f t="shared" si="105"/>
        <v>149</v>
      </c>
      <c r="C910" s="2"/>
      <c r="D910" s="2"/>
      <c r="E910" s="2"/>
      <c r="F910" s="46" t="s">
        <v>198</v>
      </c>
      <c r="G910" s="2">
        <v>637</v>
      </c>
      <c r="H910" s="2" t="s">
        <v>128</v>
      </c>
      <c r="I910" s="22">
        <v>5440</v>
      </c>
      <c r="J910" s="22">
        <v>2603</v>
      </c>
      <c r="K910" s="225">
        <f t="shared" si="103"/>
        <v>47.849264705882355</v>
      </c>
      <c r="L910" s="68"/>
      <c r="M910" s="22"/>
      <c r="N910" s="22"/>
      <c r="O910" s="225"/>
      <c r="P910" s="68"/>
      <c r="Q910" s="22">
        <f t="shared" si="108"/>
        <v>5440</v>
      </c>
      <c r="R910" s="22">
        <f t="shared" si="109"/>
        <v>2603</v>
      </c>
      <c r="S910" s="244">
        <f t="shared" si="104"/>
        <v>47.849264705882355</v>
      </c>
    </row>
    <row r="911" spans="1:19" x14ac:dyDescent="0.2">
      <c r="B911" s="67">
        <f t="shared" si="105"/>
        <v>150</v>
      </c>
      <c r="C911" s="11"/>
      <c r="D911" s="11"/>
      <c r="E911" s="11"/>
      <c r="F911" s="45" t="s">
        <v>198</v>
      </c>
      <c r="G911" s="11">
        <v>640</v>
      </c>
      <c r="H911" s="11" t="s">
        <v>134</v>
      </c>
      <c r="I911" s="42">
        <v>1500</v>
      </c>
      <c r="J911" s="42">
        <v>365</v>
      </c>
      <c r="K911" s="225">
        <f t="shared" si="103"/>
        <v>24.333333333333336</v>
      </c>
      <c r="L911" s="114"/>
      <c r="M911" s="42"/>
      <c r="N911" s="42"/>
      <c r="O911" s="225"/>
      <c r="P911" s="114"/>
      <c r="Q911" s="42">
        <f t="shared" si="108"/>
        <v>1500</v>
      </c>
      <c r="R911" s="42">
        <f t="shared" si="109"/>
        <v>365</v>
      </c>
      <c r="S911" s="244">
        <f t="shared" si="104"/>
        <v>24.333333333333336</v>
      </c>
    </row>
    <row r="912" spans="1:19" x14ac:dyDescent="0.2">
      <c r="B912" s="67">
        <f t="shared" si="105"/>
        <v>151</v>
      </c>
      <c r="C912" s="11"/>
      <c r="D912" s="11"/>
      <c r="E912" s="11"/>
      <c r="F912" s="45" t="s">
        <v>198</v>
      </c>
      <c r="G912" s="11">
        <v>710</v>
      </c>
      <c r="H912" s="11" t="s">
        <v>183</v>
      </c>
      <c r="I912" s="42">
        <v>0</v>
      </c>
      <c r="J912" s="42">
        <v>0</v>
      </c>
      <c r="K912" s="225"/>
      <c r="L912" s="114"/>
      <c r="M912" s="42">
        <f>M913</f>
        <v>9660</v>
      </c>
      <c r="N912" s="42">
        <f>N913</f>
        <v>0</v>
      </c>
      <c r="O912" s="225">
        <f t="shared" si="106"/>
        <v>0</v>
      </c>
      <c r="P912" s="114"/>
      <c r="Q912" s="42">
        <f t="shared" si="108"/>
        <v>9660</v>
      </c>
      <c r="R912" s="42">
        <f t="shared" si="109"/>
        <v>0</v>
      </c>
      <c r="S912" s="244">
        <f t="shared" si="104"/>
        <v>0</v>
      </c>
    </row>
    <row r="913" spans="2:19" x14ac:dyDescent="0.2">
      <c r="B913" s="67">
        <f t="shared" si="105"/>
        <v>152</v>
      </c>
      <c r="C913" s="11"/>
      <c r="D913" s="11"/>
      <c r="E913" s="11"/>
      <c r="F913" s="77" t="s">
        <v>198</v>
      </c>
      <c r="G913" s="78">
        <v>716</v>
      </c>
      <c r="H913" s="78" t="s">
        <v>0</v>
      </c>
      <c r="I913" s="79"/>
      <c r="J913" s="79"/>
      <c r="K913" s="225"/>
      <c r="L913" s="68"/>
      <c r="M913" s="79">
        <f>M914</f>
        <v>9660</v>
      </c>
      <c r="N913" s="79">
        <f>N914</f>
        <v>0</v>
      </c>
      <c r="O913" s="225">
        <f t="shared" si="106"/>
        <v>0</v>
      </c>
      <c r="P913" s="68"/>
      <c r="Q913" s="79">
        <f t="shared" si="108"/>
        <v>9660</v>
      </c>
      <c r="R913" s="79">
        <f t="shared" si="109"/>
        <v>0</v>
      </c>
      <c r="S913" s="244">
        <f t="shared" si="104"/>
        <v>0</v>
      </c>
    </row>
    <row r="914" spans="2:19" x14ac:dyDescent="0.2">
      <c r="B914" s="67">
        <f t="shared" si="105"/>
        <v>153</v>
      </c>
      <c r="C914" s="11"/>
      <c r="D914" s="11"/>
      <c r="E914" s="11"/>
      <c r="F914" s="45"/>
      <c r="G914" s="11"/>
      <c r="H914" s="53" t="s">
        <v>515</v>
      </c>
      <c r="I914" s="51"/>
      <c r="J914" s="51"/>
      <c r="K914" s="225"/>
      <c r="L914" s="68"/>
      <c r="M914" s="51">
        <v>9660</v>
      </c>
      <c r="N914" s="51">
        <v>0</v>
      </c>
      <c r="O914" s="225">
        <f t="shared" si="106"/>
        <v>0</v>
      </c>
      <c r="P914" s="68"/>
      <c r="Q914" s="51">
        <f>I914+M914</f>
        <v>9660</v>
      </c>
      <c r="R914" s="51">
        <f t="shared" ref="R914" si="110">J914+N914</f>
        <v>0</v>
      </c>
      <c r="S914" s="244">
        <f t="shared" si="104"/>
        <v>0</v>
      </c>
    </row>
    <row r="915" spans="2:19" x14ac:dyDescent="0.2">
      <c r="B915" s="67">
        <f t="shared" si="105"/>
        <v>154</v>
      </c>
      <c r="C915" s="10"/>
      <c r="D915" s="10"/>
      <c r="E915" s="10" t="s">
        <v>102</v>
      </c>
      <c r="F915" s="44"/>
      <c r="G915" s="10"/>
      <c r="H915" s="10" t="s">
        <v>65</v>
      </c>
      <c r="I915" s="41">
        <f>I918+I917+I916+I923</f>
        <v>147532</v>
      </c>
      <c r="J915" s="41">
        <f>J918+J917+J916+J923</f>
        <v>68301</v>
      </c>
      <c r="K915" s="225">
        <f t="shared" si="103"/>
        <v>46.295718894883819</v>
      </c>
      <c r="L915" s="114"/>
      <c r="M915" s="41">
        <f>M918+M917+M916</f>
        <v>0</v>
      </c>
      <c r="N915" s="41">
        <f>N918+N917+N916</f>
        <v>0</v>
      </c>
      <c r="O915" s="225"/>
      <c r="P915" s="114"/>
      <c r="Q915" s="41">
        <f t="shared" si="108"/>
        <v>147532</v>
      </c>
      <c r="R915" s="41">
        <f t="shared" ref="R915:R937" si="111">N915+J915</f>
        <v>68301</v>
      </c>
      <c r="S915" s="244">
        <f t="shared" si="104"/>
        <v>46.295718894883819</v>
      </c>
    </row>
    <row r="916" spans="2:19" x14ac:dyDescent="0.2">
      <c r="B916" s="67">
        <f t="shared" si="105"/>
        <v>155</v>
      </c>
      <c r="C916" s="11"/>
      <c r="D916" s="11"/>
      <c r="E916" s="11"/>
      <c r="F916" s="45" t="s">
        <v>198</v>
      </c>
      <c r="G916" s="11">
        <v>610</v>
      </c>
      <c r="H916" s="11" t="s">
        <v>135</v>
      </c>
      <c r="I916" s="42">
        <v>89106</v>
      </c>
      <c r="J916" s="42">
        <v>42376</v>
      </c>
      <c r="K916" s="225">
        <f t="shared" si="103"/>
        <v>47.556842412407697</v>
      </c>
      <c r="L916" s="114"/>
      <c r="M916" s="42"/>
      <c r="N916" s="42"/>
      <c r="O916" s="225"/>
      <c r="P916" s="114"/>
      <c r="Q916" s="42">
        <f t="shared" si="108"/>
        <v>89106</v>
      </c>
      <c r="R916" s="42">
        <f t="shared" si="111"/>
        <v>42376</v>
      </c>
      <c r="S916" s="244">
        <f t="shared" si="104"/>
        <v>47.556842412407697</v>
      </c>
    </row>
    <row r="917" spans="2:19" x14ac:dyDescent="0.2">
      <c r="B917" s="67">
        <f t="shared" si="105"/>
        <v>156</v>
      </c>
      <c r="C917" s="11"/>
      <c r="D917" s="11"/>
      <c r="E917" s="11"/>
      <c r="F917" s="45" t="s">
        <v>198</v>
      </c>
      <c r="G917" s="11">
        <v>620</v>
      </c>
      <c r="H917" s="11" t="s">
        <v>130</v>
      </c>
      <c r="I917" s="42">
        <v>33091</v>
      </c>
      <c r="J917" s="42">
        <v>15720</v>
      </c>
      <c r="K917" s="225">
        <f t="shared" si="103"/>
        <v>47.505363996252761</v>
      </c>
      <c r="L917" s="114"/>
      <c r="M917" s="42"/>
      <c r="N917" s="42"/>
      <c r="O917" s="225"/>
      <c r="P917" s="114"/>
      <c r="Q917" s="42">
        <f t="shared" si="108"/>
        <v>33091</v>
      </c>
      <c r="R917" s="42">
        <f t="shared" si="111"/>
        <v>15720</v>
      </c>
      <c r="S917" s="244">
        <f t="shared" si="104"/>
        <v>47.505363996252761</v>
      </c>
    </row>
    <row r="918" spans="2:19" x14ac:dyDescent="0.2">
      <c r="B918" s="67">
        <f t="shared" si="105"/>
        <v>157</v>
      </c>
      <c r="C918" s="11"/>
      <c r="D918" s="11"/>
      <c r="E918" s="11"/>
      <c r="F918" s="45" t="s">
        <v>198</v>
      </c>
      <c r="G918" s="11">
        <v>630</v>
      </c>
      <c r="H918" s="11" t="s">
        <v>127</v>
      </c>
      <c r="I918" s="42">
        <f>I922+I921+I920+I919</f>
        <v>25335</v>
      </c>
      <c r="J918" s="42">
        <f>J922+J921+J920+J919</f>
        <v>10095</v>
      </c>
      <c r="K918" s="225">
        <f t="shared" si="103"/>
        <v>39.84606275902901</v>
      </c>
      <c r="L918" s="114"/>
      <c r="M918" s="42">
        <v>0</v>
      </c>
      <c r="N918" s="42">
        <v>0</v>
      </c>
      <c r="O918" s="225"/>
      <c r="P918" s="114"/>
      <c r="Q918" s="42">
        <f t="shared" si="108"/>
        <v>25335</v>
      </c>
      <c r="R918" s="42">
        <f t="shared" si="111"/>
        <v>10095</v>
      </c>
      <c r="S918" s="244">
        <f t="shared" si="104"/>
        <v>39.84606275902901</v>
      </c>
    </row>
    <row r="919" spans="2:19" x14ac:dyDescent="0.2">
      <c r="B919" s="67">
        <f t="shared" si="105"/>
        <v>158</v>
      </c>
      <c r="C919" s="2"/>
      <c r="D919" s="2"/>
      <c r="E919" s="2"/>
      <c r="F919" s="46" t="s">
        <v>198</v>
      </c>
      <c r="G919" s="2">
        <v>632</v>
      </c>
      <c r="H919" s="2" t="s">
        <v>138</v>
      </c>
      <c r="I919" s="22">
        <v>13500</v>
      </c>
      <c r="J919" s="22">
        <v>7754</v>
      </c>
      <c r="K919" s="225">
        <f t="shared" si="103"/>
        <v>57.437037037037044</v>
      </c>
      <c r="L919" s="68"/>
      <c r="M919" s="22"/>
      <c r="N919" s="22"/>
      <c r="O919" s="225"/>
      <c r="P919" s="68"/>
      <c r="Q919" s="22">
        <f t="shared" si="108"/>
        <v>13500</v>
      </c>
      <c r="R919" s="22">
        <f t="shared" si="111"/>
        <v>7754</v>
      </c>
      <c r="S919" s="244">
        <f t="shared" si="104"/>
        <v>57.437037037037044</v>
      </c>
    </row>
    <row r="920" spans="2:19" x14ac:dyDescent="0.2">
      <c r="B920" s="67">
        <f t="shared" si="105"/>
        <v>159</v>
      </c>
      <c r="C920" s="2"/>
      <c r="D920" s="2"/>
      <c r="E920" s="2"/>
      <c r="F920" s="46" t="s">
        <v>198</v>
      </c>
      <c r="G920" s="2">
        <v>633</v>
      </c>
      <c r="H920" s="2" t="s">
        <v>131</v>
      </c>
      <c r="I920" s="22">
        <f>7661+1264</f>
        <v>8925</v>
      </c>
      <c r="J920" s="22">
        <v>688</v>
      </c>
      <c r="K920" s="225">
        <f t="shared" si="103"/>
        <v>7.7086834733893568</v>
      </c>
      <c r="L920" s="68"/>
      <c r="M920" s="22"/>
      <c r="N920" s="22"/>
      <c r="O920" s="225"/>
      <c r="P920" s="68"/>
      <c r="Q920" s="22">
        <f t="shared" si="108"/>
        <v>8925</v>
      </c>
      <c r="R920" s="22">
        <f t="shared" si="111"/>
        <v>688</v>
      </c>
      <c r="S920" s="244">
        <f t="shared" si="104"/>
        <v>7.7086834733893568</v>
      </c>
    </row>
    <row r="921" spans="2:19" x14ac:dyDescent="0.2">
      <c r="B921" s="67">
        <f t="shared" si="105"/>
        <v>160</v>
      </c>
      <c r="C921" s="2"/>
      <c r="D921" s="2"/>
      <c r="E921" s="2"/>
      <c r="F921" s="46" t="s">
        <v>198</v>
      </c>
      <c r="G921" s="2">
        <v>635</v>
      </c>
      <c r="H921" s="2" t="s">
        <v>137</v>
      </c>
      <c r="I921" s="22">
        <v>150</v>
      </c>
      <c r="J921" s="22">
        <v>85</v>
      </c>
      <c r="K921" s="225">
        <f t="shared" si="103"/>
        <v>56.666666666666664</v>
      </c>
      <c r="L921" s="68"/>
      <c r="M921" s="22"/>
      <c r="N921" s="22"/>
      <c r="O921" s="225"/>
      <c r="P921" s="68"/>
      <c r="Q921" s="22">
        <f t="shared" si="108"/>
        <v>150</v>
      </c>
      <c r="R921" s="22">
        <f t="shared" si="111"/>
        <v>85</v>
      </c>
      <c r="S921" s="244">
        <f t="shared" si="104"/>
        <v>56.666666666666664</v>
      </c>
    </row>
    <row r="922" spans="2:19" x14ac:dyDescent="0.2">
      <c r="B922" s="67">
        <f t="shared" si="105"/>
        <v>161</v>
      </c>
      <c r="C922" s="2"/>
      <c r="D922" s="2"/>
      <c r="E922" s="2"/>
      <c r="F922" s="46" t="s">
        <v>198</v>
      </c>
      <c r="G922" s="2">
        <v>637</v>
      </c>
      <c r="H922" s="2" t="s">
        <v>128</v>
      </c>
      <c r="I922" s="22">
        <v>2760</v>
      </c>
      <c r="J922" s="22">
        <v>1568</v>
      </c>
      <c r="K922" s="225">
        <f t="shared" si="103"/>
        <v>56.811594202898554</v>
      </c>
      <c r="L922" s="68"/>
      <c r="M922" s="22"/>
      <c r="N922" s="22"/>
      <c r="O922" s="225"/>
      <c r="P922" s="68"/>
      <c r="Q922" s="22">
        <f t="shared" si="108"/>
        <v>2760</v>
      </c>
      <c r="R922" s="22">
        <f t="shared" si="111"/>
        <v>1568</v>
      </c>
      <c r="S922" s="244">
        <f t="shared" si="104"/>
        <v>56.811594202898554</v>
      </c>
    </row>
    <row r="923" spans="2:19" x14ac:dyDescent="0.2">
      <c r="B923" s="67">
        <f t="shared" si="105"/>
        <v>162</v>
      </c>
      <c r="C923" s="2"/>
      <c r="D923" s="2"/>
      <c r="E923" s="2"/>
      <c r="F923" s="45" t="s">
        <v>198</v>
      </c>
      <c r="G923" s="11">
        <v>640</v>
      </c>
      <c r="H923" s="11" t="s">
        <v>134</v>
      </c>
      <c r="I923" s="42">
        <v>0</v>
      </c>
      <c r="J923" s="42">
        <v>110</v>
      </c>
      <c r="K923" s="225"/>
      <c r="L923" s="114"/>
      <c r="M923" s="42"/>
      <c r="N923" s="42"/>
      <c r="O923" s="225"/>
      <c r="P923" s="114"/>
      <c r="Q923" s="42">
        <f t="shared" si="108"/>
        <v>0</v>
      </c>
      <c r="R923" s="42">
        <f t="shared" si="111"/>
        <v>110</v>
      </c>
      <c r="S923" s="244"/>
    </row>
    <row r="924" spans="2:19" x14ac:dyDescent="0.2">
      <c r="B924" s="67">
        <f t="shared" si="105"/>
        <v>163</v>
      </c>
      <c r="C924" s="10"/>
      <c r="D924" s="10"/>
      <c r="E924" s="10" t="s">
        <v>95</v>
      </c>
      <c r="F924" s="44"/>
      <c r="G924" s="10"/>
      <c r="H924" s="10" t="s">
        <v>96</v>
      </c>
      <c r="I924" s="41">
        <f>I927+I926+I925</f>
        <v>73537</v>
      </c>
      <c r="J924" s="41">
        <f>J927+J926+J925</f>
        <v>33485</v>
      </c>
      <c r="K924" s="225">
        <f t="shared" si="103"/>
        <v>45.534900798237622</v>
      </c>
      <c r="L924" s="114"/>
      <c r="M924" s="41">
        <v>0</v>
      </c>
      <c r="N924" s="41">
        <v>0</v>
      </c>
      <c r="O924" s="225"/>
      <c r="P924" s="114"/>
      <c r="Q924" s="41">
        <f t="shared" si="108"/>
        <v>73537</v>
      </c>
      <c r="R924" s="41">
        <f t="shared" si="111"/>
        <v>33485</v>
      </c>
      <c r="S924" s="244">
        <f t="shared" si="104"/>
        <v>45.534900798237622</v>
      </c>
    </row>
    <row r="925" spans="2:19" x14ac:dyDescent="0.2">
      <c r="B925" s="67">
        <f t="shared" si="105"/>
        <v>164</v>
      </c>
      <c r="C925" s="11"/>
      <c r="D925" s="11"/>
      <c r="E925" s="11"/>
      <c r="F925" s="45" t="s">
        <v>198</v>
      </c>
      <c r="G925" s="11">
        <v>610</v>
      </c>
      <c r="H925" s="11" t="s">
        <v>135</v>
      </c>
      <c r="I925" s="42">
        <v>44478</v>
      </c>
      <c r="J925" s="42">
        <v>21183</v>
      </c>
      <c r="K925" s="225">
        <f t="shared" si="103"/>
        <v>47.625792526642385</v>
      </c>
      <c r="L925" s="114"/>
      <c r="M925" s="42"/>
      <c r="N925" s="42"/>
      <c r="O925" s="225"/>
      <c r="P925" s="114"/>
      <c r="Q925" s="42">
        <f t="shared" si="108"/>
        <v>44478</v>
      </c>
      <c r="R925" s="42">
        <f t="shared" si="111"/>
        <v>21183</v>
      </c>
      <c r="S925" s="244">
        <f t="shared" si="104"/>
        <v>47.625792526642385</v>
      </c>
    </row>
    <row r="926" spans="2:19" x14ac:dyDescent="0.2">
      <c r="B926" s="67">
        <f t="shared" si="105"/>
        <v>165</v>
      </c>
      <c r="C926" s="11"/>
      <c r="D926" s="11"/>
      <c r="E926" s="11"/>
      <c r="F926" s="45" t="s">
        <v>198</v>
      </c>
      <c r="G926" s="11">
        <v>620</v>
      </c>
      <c r="H926" s="11" t="s">
        <v>130</v>
      </c>
      <c r="I926" s="42">
        <v>16512</v>
      </c>
      <c r="J926" s="42">
        <v>7426</v>
      </c>
      <c r="K926" s="225">
        <f t="shared" si="103"/>
        <v>44.973352713178294</v>
      </c>
      <c r="L926" s="114"/>
      <c r="M926" s="42"/>
      <c r="N926" s="42"/>
      <c r="O926" s="225"/>
      <c r="P926" s="114"/>
      <c r="Q926" s="42">
        <f t="shared" si="108"/>
        <v>16512</v>
      </c>
      <c r="R926" s="42">
        <f t="shared" si="111"/>
        <v>7426</v>
      </c>
      <c r="S926" s="244">
        <f t="shared" si="104"/>
        <v>44.973352713178294</v>
      </c>
    </row>
    <row r="927" spans="2:19" x14ac:dyDescent="0.2">
      <c r="B927" s="67">
        <f t="shared" si="105"/>
        <v>166</v>
      </c>
      <c r="C927" s="11"/>
      <c r="D927" s="11"/>
      <c r="E927" s="11"/>
      <c r="F927" s="45" t="s">
        <v>198</v>
      </c>
      <c r="G927" s="11">
        <v>630</v>
      </c>
      <c r="H927" s="11" t="s">
        <v>127</v>
      </c>
      <c r="I927" s="42">
        <f>I931+I930+I929+I928</f>
        <v>12547</v>
      </c>
      <c r="J927" s="42">
        <f>J931+J930+J929+J928</f>
        <v>4876</v>
      </c>
      <c r="K927" s="225">
        <f t="shared" si="103"/>
        <v>38.861879333705268</v>
      </c>
      <c r="L927" s="114"/>
      <c r="M927" s="42">
        <f>M931+M930+M929+M928</f>
        <v>0</v>
      </c>
      <c r="N927" s="42">
        <f>N931+N930+N929+N928</f>
        <v>0</v>
      </c>
      <c r="O927" s="225"/>
      <c r="P927" s="114"/>
      <c r="Q927" s="42">
        <f t="shared" si="108"/>
        <v>12547</v>
      </c>
      <c r="R927" s="42">
        <f t="shared" si="111"/>
        <v>4876</v>
      </c>
      <c r="S927" s="244">
        <f t="shared" si="104"/>
        <v>38.861879333705268</v>
      </c>
    </row>
    <row r="928" spans="2:19" x14ac:dyDescent="0.2">
      <c r="B928" s="67">
        <f t="shared" si="105"/>
        <v>167</v>
      </c>
      <c r="C928" s="2"/>
      <c r="D928" s="2"/>
      <c r="E928" s="2"/>
      <c r="F928" s="46" t="s">
        <v>198</v>
      </c>
      <c r="G928" s="2">
        <v>632</v>
      </c>
      <c r="H928" s="2" t="s">
        <v>138</v>
      </c>
      <c r="I928" s="22">
        <v>6240</v>
      </c>
      <c r="J928" s="22">
        <v>3806</v>
      </c>
      <c r="K928" s="225">
        <f t="shared" si="103"/>
        <v>60.993589743589752</v>
      </c>
      <c r="L928" s="68"/>
      <c r="M928" s="22"/>
      <c r="N928" s="22"/>
      <c r="O928" s="225"/>
      <c r="P928" s="68"/>
      <c r="Q928" s="22">
        <f t="shared" si="108"/>
        <v>6240</v>
      </c>
      <c r="R928" s="22">
        <f t="shared" si="111"/>
        <v>3806</v>
      </c>
      <c r="S928" s="244">
        <f t="shared" si="104"/>
        <v>60.993589743589752</v>
      </c>
    </row>
    <row r="929" spans="2:19" x14ac:dyDescent="0.2">
      <c r="B929" s="67">
        <f t="shared" si="105"/>
        <v>168</v>
      </c>
      <c r="C929" s="2"/>
      <c r="D929" s="2"/>
      <c r="E929" s="2"/>
      <c r="F929" s="46" t="s">
        <v>198</v>
      </c>
      <c r="G929" s="2">
        <v>633</v>
      </c>
      <c r="H929" s="2" t="s">
        <v>131</v>
      </c>
      <c r="I929" s="22">
        <f>3831+656</f>
        <v>4487</v>
      </c>
      <c r="J929" s="22">
        <v>209</v>
      </c>
      <c r="K929" s="225">
        <f t="shared" si="103"/>
        <v>4.6579006017383549</v>
      </c>
      <c r="L929" s="68"/>
      <c r="M929" s="22"/>
      <c r="N929" s="22"/>
      <c r="O929" s="225"/>
      <c r="P929" s="68"/>
      <c r="Q929" s="22">
        <f t="shared" si="108"/>
        <v>4487</v>
      </c>
      <c r="R929" s="22">
        <f t="shared" si="111"/>
        <v>209</v>
      </c>
      <c r="S929" s="244">
        <f t="shared" si="104"/>
        <v>4.6579006017383549</v>
      </c>
    </row>
    <row r="930" spans="2:19" x14ac:dyDescent="0.2">
      <c r="B930" s="67">
        <f t="shared" si="105"/>
        <v>169</v>
      </c>
      <c r="C930" s="2"/>
      <c r="D930" s="2"/>
      <c r="E930" s="2"/>
      <c r="F930" s="46" t="s">
        <v>198</v>
      </c>
      <c r="G930" s="2">
        <v>635</v>
      </c>
      <c r="H930" s="2" t="s">
        <v>137</v>
      </c>
      <c r="I930" s="22">
        <v>150</v>
      </c>
      <c r="J930" s="22">
        <v>0</v>
      </c>
      <c r="K930" s="225">
        <f t="shared" si="103"/>
        <v>0</v>
      </c>
      <c r="L930" s="68"/>
      <c r="M930" s="22"/>
      <c r="N930" s="22"/>
      <c r="O930" s="225"/>
      <c r="P930" s="68"/>
      <c r="Q930" s="22">
        <f t="shared" si="108"/>
        <v>150</v>
      </c>
      <c r="R930" s="22">
        <f t="shared" si="111"/>
        <v>0</v>
      </c>
      <c r="S930" s="244">
        <f t="shared" si="104"/>
        <v>0</v>
      </c>
    </row>
    <row r="931" spans="2:19" x14ac:dyDescent="0.2">
      <c r="B931" s="67">
        <f t="shared" si="105"/>
        <v>170</v>
      </c>
      <c r="C931" s="2"/>
      <c r="D931" s="2"/>
      <c r="E931" s="2"/>
      <c r="F931" s="46" t="s">
        <v>198</v>
      </c>
      <c r="G931" s="2">
        <v>637</v>
      </c>
      <c r="H931" s="2" t="s">
        <v>128</v>
      </c>
      <c r="I931" s="22">
        <v>1670</v>
      </c>
      <c r="J931" s="22">
        <v>861</v>
      </c>
      <c r="K931" s="225">
        <f t="shared" si="103"/>
        <v>51.556886227544908</v>
      </c>
      <c r="L931" s="68"/>
      <c r="M931" s="22"/>
      <c r="N931" s="22"/>
      <c r="O931" s="225"/>
      <c r="P931" s="68"/>
      <c r="Q931" s="22">
        <f t="shared" si="108"/>
        <v>1670</v>
      </c>
      <c r="R931" s="22">
        <f t="shared" si="111"/>
        <v>861</v>
      </c>
      <c r="S931" s="244">
        <f t="shared" si="104"/>
        <v>51.556886227544908</v>
      </c>
    </row>
    <row r="932" spans="2:19" x14ac:dyDescent="0.2">
      <c r="B932" s="67">
        <f t="shared" si="105"/>
        <v>171</v>
      </c>
      <c r="C932" s="10"/>
      <c r="D932" s="10"/>
      <c r="E932" s="10" t="s">
        <v>88</v>
      </c>
      <c r="F932" s="44"/>
      <c r="G932" s="10"/>
      <c r="H932" s="10" t="s">
        <v>208</v>
      </c>
      <c r="I932" s="41">
        <f>I935+I934+I933</f>
        <v>107998</v>
      </c>
      <c r="J932" s="41">
        <f>J935+J934+J933</f>
        <v>43024</v>
      </c>
      <c r="K932" s="225">
        <f t="shared" si="103"/>
        <v>39.837774773606924</v>
      </c>
      <c r="L932" s="114"/>
      <c r="M932" s="41">
        <f>M935+M934+M933</f>
        <v>0</v>
      </c>
      <c r="N932" s="41">
        <f>N935+N934+N933</f>
        <v>0</v>
      </c>
      <c r="O932" s="225"/>
      <c r="P932" s="114"/>
      <c r="Q932" s="41">
        <f t="shared" si="108"/>
        <v>107998</v>
      </c>
      <c r="R932" s="41">
        <f t="shared" si="111"/>
        <v>43024</v>
      </c>
      <c r="S932" s="244">
        <f t="shared" si="104"/>
        <v>39.837774773606924</v>
      </c>
    </row>
    <row r="933" spans="2:19" x14ac:dyDescent="0.2">
      <c r="B933" s="67">
        <f t="shared" si="105"/>
        <v>172</v>
      </c>
      <c r="C933" s="11"/>
      <c r="D933" s="11"/>
      <c r="E933" s="11"/>
      <c r="F933" s="45" t="s">
        <v>198</v>
      </c>
      <c r="G933" s="11">
        <v>610</v>
      </c>
      <c r="H933" s="11" t="s">
        <v>135</v>
      </c>
      <c r="I933" s="42">
        <v>60370</v>
      </c>
      <c r="J933" s="42">
        <v>26215</v>
      </c>
      <c r="K933" s="225">
        <f t="shared" si="103"/>
        <v>43.423886036110645</v>
      </c>
      <c r="L933" s="114"/>
      <c r="M933" s="42"/>
      <c r="N933" s="42"/>
      <c r="O933" s="225"/>
      <c r="P933" s="114"/>
      <c r="Q933" s="42">
        <f t="shared" si="108"/>
        <v>60370</v>
      </c>
      <c r="R933" s="42">
        <f t="shared" si="111"/>
        <v>26215</v>
      </c>
      <c r="S933" s="244">
        <f t="shared" si="104"/>
        <v>43.423886036110645</v>
      </c>
    </row>
    <row r="934" spans="2:19" x14ac:dyDescent="0.2">
      <c r="B934" s="67">
        <f t="shared" si="105"/>
        <v>173</v>
      </c>
      <c r="C934" s="11"/>
      <c r="D934" s="11"/>
      <c r="E934" s="11"/>
      <c r="F934" s="45" t="s">
        <v>198</v>
      </c>
      <c r="G934" s="11">
        <v>620</v>
      </c>
      <c r="H934" s="11" t="s">
        <v>130</v>
      </c>
      <c r="I934" s="42">
        <v>22415</v>
      </c>
      <c r="J934" s="42">
        <v>9664</v>
      </c>
      <c r="K934" s="225">
        <f t="shared" si="103"/>
        <v>43.113986169975469</v>
      </c>
      <c r="L934" s="114"/>
      <c r="M934" s="42"/>
      <c r="N934" s="42"/>
      <c r="O934" s="225"/>
      <c r="P934" s="114"/>
      <c r="Q934" s="42">
        <f t="shared" si="108"/>
        <v>22415</v>
      </c>
      <c r="R934" s="42">
        <f t="shared" si="111"/>
        <v>9664</v>
      </c>
      <c r="S934" s="244">
        <f t="shared" si="104"/>
        <v>43.113986169975469</v>
      </c>
    </row>
    <row r="935" spans="2:19" x14ac:dyDescent="0.2">
      <c r="B935" s="67">
        <f t="shared" si="105"/>
        <v>174</v>
      </c>
      <c r="C935" s="11"/>
      <c r="D935" s="11"/>
      <c r="E935" s="11"/>
      <c r="F935" s="45" t="s">
        <v>198</v>
      </c>
      <c r="G935" s="11">
        <v>630</v>
      </c>
      <c r="H935" s="11" t="s">
        <v>127</v>
      </c>
      <c r="I935" s="42">
        <f>I940+I939+I937+I936+I938</f>
        <v>25213</v>
      </c>
      <c r="J935" s="42">
        <f>J940+J939+J937+J936+J938</f>
        <v>7145</v>
      </c>
      <c r="K935" s="225">
        <f t="shared" si="103"/>
        <v>28.338555507079683</v>
      </c>
      <c r="L935" s="114"/>
      <c r="M935" s="42">
        <f>M940+M939+M937+M936</f>
        <v>0</v>
      </c>
      <c r="N935" s="42">
        <f>N940+N939+N937+N936</f>
        <v>0</v>
      </c>
      <c r="O935" s="225"/>
      <c r="P935" s="114"/>
      <c r="Q935" s="42">
        <f t="shared" si="108"/>
        <v>25213</v>
      </c>
      <c r="R935" s="42">
        <f t="shared" si="111"/>
        <v>7145</v>
      </c>
      <c r="S935" s="244">
        <f t="shared" si="104"/>
        <v>28.338555507079683</v>
      </c>
    </row>
    <row r="936" spans="2:19" x14ac:dyDescent="0.2">
      <c r="B936" s="67">
        <f t="shared" si="105"/>
        <v>175</v>
      </c>
      <c r="C936" s="2"/>
      <c r="D936" s="2"/>
      <c r="E936" s="2"/>
      <c r="F936" s="46" t="s">
        <v>198</v>
      </c>
      <c r="G936" s="2">
        <v>632</v>
      </c>
      <c r="H936" s="2" t="s">
        <v>138</v>
      </c>
      <c r="I936" s="22">
        <v>6370</v>
      </c>
      <c r="J936" s="22">
        <v>5545</v>
      </c>
      <c r="K936" s="225">
        <f t="shared" si="103"/>
        <v>87.048665620094184</v>
      </c>
      <c r="L936" s="68"/>
      <c r="M936" s="22"/>
      <c r="N936" s="22"/>
      <c r="O936" s="225"/>
      <c r="P936" s="68"/>
      <c r="Q936" s="22">
        <f t="shared" si="108"/>
        <v>6370</v>
      </c>
      <c r="R936" s="22">
        <f t="shared" si="111"/>
        <v>5545</v>
      </c>
      <c r="S936" s="244">
        <f t="shared" si="104"/>
        <v>87.048665620094184</v>
      </c>
    </row>
    <row r="937" spans="2:19" x14ac:dyDescent="0.2">
      <c r="B937" s="67">
        <f t="shared" si="105"/>
        <v>176</v>
      </c>
      <c r="C937" s="2"/>
      <c r="D937" s="2"/>
      <c r="E937" s="2"/>
      <c r="F937" s="46" t="s">
        <v>198</v>
      </c>
      <c r="G937" s="2">
        <v>633</v>
      </c>
      <c r="H937" s="2" t="s">
        <v>131</v>
      </c>
      <c r="I937" s="22">
        <f>10541+672</f>
        <v>11213</v>
      </c>
      <c r="J937" s="22">
        <v>740</v>
      </c>
      <c r="K937" s="225">
        <f t="shared" si="103"/>
        <v>6.5994827432444492</v>
      </c>
      <c r="L937" s="68"/>
      <c r="M937" s="22"/>
      <c r="N937" s="22"/>
      <c r="O937" s="225"/>
      <c r="P937" s="68"/>
      <c r="Q937" s="22">
        <f t="shared" si="108"/>
        <v>11213</v>
      </c>
      <c r="R937" s="22">
        <f t="shared" si="111"/>
        <v>740</v>
      </c>
      <c r="S937" s="244">
        <f t="shared" si="104"/>
        <v>6.5994827432444492</v>
      </c>
    </row>
    <row r="938" spans="2:19" x14ac:dyDescent="0.2">
      <c r="B938" s="67">
        <f t="shared" si="105"/>
        <v>177</v>
      </c>
      <c r="C938" s="2"/>
      <c r="D938" s="2"/>
      <c r="E938" s="2"/>
      <c r="F938" s="130" t="s">
        <v>198</v>
      </c>
      <c r="G938" s="131">
        <v>633</v>
      </c>
      <c r="H938" s="131" t="s">
        <v>671</v>
      </c>
      <c r="I938" s="129">
        <v>4500</v>
      </c>
      <c r="J938" s="129"/>
      <c r="K938" s="225">
        <f t="shared" si="103"/>
        <v>0</v>
      </c>
      <c r="L938" s="68"/>
      <c r="M938" s="129"/>
      <c r="N938" s="129"/>
      <c r="O938" s="225"/>
      <c r="P938" s="68"/>
      <c r="Q938" s="129">
        <f>I938+M938</f>
        <v>4500</v>
      </c>
      <c r="R938" s="129">
        <f t="shared" ref="R938" si="112">J938+N938</f>
        <v>0</v>
      </c>
      <c r="S938" s="244">
        <f t="shared" si="104"/>
        <v>0</v>
      </c>
    </row>
    <row r="939" spans="2:19" x14ac:dyDescent="0.2">
      <c r="B939" s="67">
        <f t="shared" si="105"/>
        <v>178</v>
      </c>
      <c r="C939" s="2"/>
      <c r="D939" s="2"/>
      <c r="E939" s="2"/>
      <c r="F939" s="46" t="s">
        <v>198</v>
      </c>
      <c r="G939" s="2">
        <v>635</v>
      </c>
      <c r="H939" s="2" t="s">
        <v>137</v>
      </c>
      <c r="I939" s="22">
        <v>950</v>
      </c>
      <c r="J939" s="22">
        <v>0</v>
      </c>
      <c r="K939" s="225">
        <f t="shared" si="103"/>
        <v>0</v>
      </c>
      <c r="L939" s="68"/>
      <c r="M939" s="22"/>
      <c r="N939" s="22"/>
      <c r="O939" s="225"/>
      <c r="P939" s="68"/>
      <c r="Q939" s="22">
        <f t="shared" si="108"/>
        <v>950</v>
      </c>
      <c r="R939" s="22">
        <f t="shared" ref="R939:R1007" si="113">N939+J939</f>
        <v>0</v>
      </c>
      <c r="S939" s="244">
        <f t="shared" si="104"/>
        <v>0</v>
      </c>
    </row>
    <row r="940" spans="2:19" x14ac:dyDescent="0.2">
      <c r="B940" s="67">
        <f t="shared" si="105"/>
        <v>179</v>
      </c>
      <c r="C940" s="2"/>
      <c r="D940" s="2"/>
      <c r="E940" s="2"/>
      <c r="F940" s="46" t="s">
        <v>198</v>
      </c>
      <c r="G940" s="2">
        <v>637</v>
      </c>
      <c r="H940" s="2" t="s">
        <v>128</v>
      </c>
      <c r="I940" s="22">
        <v>2180</v>
      </c>
      <c r="J940" s="22">
        <v>860</v>
      </c>
      <c r="K940" s="225">
        <f t="shared" si="103"/>
        <v>39.449541284403672</v>
      </c>
      <c r="L940" s="68"/>
      <c r="M940" s="22"/>
      <c r="N940" s="22"/>
      <c r="O940" s="225"/>
      <c r="P940" s="68"/>
      <c r="Q940" s="22">
        <f t="shared" si="108"/>
        <v>2180</v>
      </c>
      <c r="R940" s="22">
        <f t="shared" si="113"/>
        <v>860</v>
      </c>
      <c r="S940" s="244">
        <f t="shared" si="104"/>
        <v>39.449541284403672</v>
      </c>
    </row>
    <row r="941" spans="2:19" x14ac:dyDescent="0.2">
      <c r="B941" s="67">
        <f t="shared" si="105"/>
        <v>180</v>
      </c>
      <c r="C941" s="10"/>
      <c r="D941" s="10"/>
      <c r="E941" s="10" t="s">
        <v>106</v>
      </c>
      <c r="F941" s="44"/>
      <c r="G941" s="10"/>
      <c r="H941" s="10" t="s">
        <v>66</v>
      </c>
      <c r="I941" s="41">
        <f>I950+I949+I944+I943+I942</f>
        <v>86204</v>
      </c>
      <c r="J941" s="41">
        <f>J950+J949+J944+J943+J942</f>
        <v>38538</v>
      </c>
      <c r="K941" s="225">
        <f t="shared" si="103"/>
        <v>44.705582107558818</v>
      </c>
      <c r="L941" s="114"/>
      <c r="M941" s="41">
        <f>M950+M949+M944+M943+M942</f>
        <v>10000</v>
      </c>
      <c r="N941" s="41">
        <f>N950+N949+N944+N943+N942</f>
        <v>0</v>
      </c>
      <c r="O941" s="225">
        <f t="shared" si="106"/>
        <v>0</v>
      </c>
      <c r="P941" s="114"/>
      <c r="Q941" s="41">
        <f t="shared" si="108"/>
        <v>96204</v>
      </c>
      <c r="R941" s="41">
        <f t="shared" si="113"/>
        <v>38538</v>
      </c>
      <c r="S941" s="244">
        <f t="shared" si="104"/>
        <v>40.058625420980412</v>
      </c>
    </row>
    <row r="942" spans="2:19" x14ac:dyDescent="0.2">
      <c r="B942" s="67">
        <f t="shared" si="105"/>
        <v>181</v>
      </c>
      <c r="C942" s="11"/>
      <c r="D942" s="11"/>
      <c r="E942" s="11"/>
      <c r="F942" s="45" t="s">
        <v>198</v>
      </c>
      <c r="G942" s="11">
        <v>610</v>
      </c>
      <c r="H942" s="11" t="s">
        <v>135</v>
      </c>
      <c r="I942" s="42">
        <f>49110+1500</f>
        <v>50610</v>
      </c>
      <c r="J942" s="42">
        <v>24101</v>
      </c>
      <c r="K942" s="225">
        <f t="shared" si="103"/>
        <v>47.62102351313969</v>
      </c>
      <c r="L942" s="114"/>
      <c r="M942" s="42"/>
      <c r="N942" s="42"/>
      <c r="O942" s="225"/>
      <c r="P942" s="114"/>
      <c r="Q942" s="42">
        <f t="shared" si="108"/>
        <v>50610</v>
      </c>
      <c r="R942" s="42">
        <f t="shared" si="113"/>
        <v>24101</v>
      </c>
      <c r="S942" s="244">
        <f t="shared" si="104"/>
        <v>47.62102351313969</v>
      </c>
    </row>
    <row r="943" spans="2:19" x14ac:dyDescent="0.2">
      <c r="B943" s="67">
        <f t="shared" si="105"/>
        <v>182</v>
      </c>
      <c r="C943" s="11"/>
      <c r="D943" s="11"/>
      <c r="E943" s="11"/>
      <c r="F943" s="45" t="s">
        <v>198</v>
      </c>
      <c r="G943" s="11">
        <v>620</v>
      </c>
      <c r="H943" s="11" t="s">
        <v>130</v>
      </c>
      <c r="I943" s="42">
        <f>18790+100</f>
        <v>18890</v>
      </c>
      <c r="J943" s="42">
        <v>8689</v>
      </c>
      <c r="K943" s="225">
        <f t="shared" si="103"/>
        <v>45.997882477501321</v>
      </c>
      <c r="L943" s="114"/>
      <c r="M943" s="42"/>
      <c r="N943" s="42"/>
      <c r="O943" s="225"/>
      <c r="P943" s="114"/>
      <c r="Q943" s="42">
        <f t="shared" si="108"/>
        <v>18890</v>
      </c>
      <c r="R943" s="42">
        <f t="shared" si="113"/>
        <v>8689</v>
      </c>
      <c r="S943" s="244">
        <f t="shared" si="104"/>
        <v>45.997882477501321</v>
      </c>
    </row>
    <row r="944" spans="2:19" x14ac:dyDescent="0.2">
      <c r="B944" s="67">
        <f t="shared" si="105"/>
        <v>183</v>
      </c>
      <c r="C944" s="11"/>
      <c r="D944" s="11"/>
      <c r="E944" s="11"/>
      <c r="F944" s="45" t="s">
        <v>198</v>
      </c>
      <c r="G944" s="11">
        <v>630</v>
      </c>
      <c r="H944" s="11" t="s">
        <v>127</v>
      </c>
      <c r="I944" s="42">
        <f>I948+I947+I946+I945</f>
        <v>15304</v>
      </c>
      <c r="J944" s="42">
        <f>J948+J947+J946+J945</f>
        <v>5748</v>
      </c>
      <c r="K944" s="225">
        <f t="shared" si="103"/>
        <v>37.558808154730791</v>
      </c>
      <c r="L944" s="114"/>
      <c r="M944" s="42">
        <f>M948+M947+M946+M945</f>
        <v>0</v>
      </c>
      <c r="N944" s="42">
        <f>N948+N947+N946+N945</f>
        <v>0</v>
      </c>
      <c r="O944" s="225"/>
      <c r="P944" s="114"/>
      <c r="Q944" s="42">
        <f t="shared" si="108"/>
        <v>15304</v>
      </c>
      <c r="R944" s="42">
        <f t="shared" si="113"/>
        <v>5748</v>
      </c>
      <c r="S944" s="244">
        <f t="shared" si="104"/>
        <v>37.558808154730791</v>
      </c>
    </row>
    <row r="945" spans="2:19" x14ac:dyDescent="0.2">
      <c r="B945" s="67">
        <f t="shared" si="105"/>
        <v>184</v>
      </c>
      <c r="C945" s="2"/>
      <c r="D945" s="2"/>
      <c r="E945" s="2"/>
      <c r="F945" s="46" t="s">
        <v>198</v>
      </c>
      <c r="G945" s="2">
        <v>632</v>
      </c>
      <c r="H945" s="2" t="s">
        <v>138</v>
      </c>
      <c r="I945" s="22">
        <v>320</v>
      </c>
      <c r="J945" s="22">
        <v>155</v>
      </c>
      <c r="K945" s="225">
        <f t="shared" si="103"/>
        <v>48.4375</v>
      </c>
      <c r="L945" s="68"/>
      <c r="M945" s="22"/>
      <c r="N945" s="22"/>
      <c r="O945" s="225"/>
      <c r="P945" s="68"/>
      <c r="Q945" s="22">
        <f t="shared" si="108"/>
        <v>320</v>
      </c>
      <c r="R945" s="22">
        <f t="shared" si="113"/>
        <v>155</v>
      </c>
      <c r="S945" s="244">
        <f t="shared" si="104"/>
        <v>48.4375</v>
      </c>
    </row>
    <row r="946" spans="2:19" x14ac:dyDescent="0.2">
      <c r="B946" s="67">
        <f t="shared" si="105"/>
        <v>185</v>
      </c>
      <c r="C946" s="2"/>
      <c r="D946" s="2"/>
      <c r="E946" s="2"/>
      <c r="F946" s="46" t="s">
        <v>198</v>
      </c>
      <c r="G946" s="2">
        <v>633</v>
      </c>
      <c r="H946" s="2" t="s">
        <v>131</v>
      </c>
      <c r="I946" s="22">
        <f>2876+608</f>
        <v>3484</v>
      </c>
      <c r="J946" s="22">
        <v>472</v>
      </c>
      <c r="K946" s="225">
        <f t="shared" si="103"/>
        <v>13.54764638346728</v>
      </c>
      <c r="L946" s="68"/>
      <c r="M946" s="22"/>
      <c r="N946" s="22"/>
      <c r="O946" s="225"/>
      <c r="P946" s="68"/>
      <c r="Q946" s="22">
        <f t="shared" si="108"/>
        <v>3484</v>
      </c>
      <c r="R946" s="22">
        <f t="shared" si="113"/>
        <v>472</v>
      </c>
      <c r="S946" s="244">
        <f t="shared" si="104"/>
        <v>13.54764638346728</v>
      </c>
    </row>
    <row r="947" spans="2:19" x14ac:dyDescent="0.2">
      <c r="B947" s="67">
        <f t="shared" si="105"/>
        <v>186</v>
      </c>
      <c r="C947" s="2"/>
      <c r="D947" s="2"/>
      <c r="E947" s="2"/>
      <c r="F947" s="46" t="s">
        <v>198</v>
      </c>
      <c r="G947" s="2">
        <v>636</v>
      </c>
      <c r="H947" s="2" t="s">
        <v>132</v>
      </c>
      <c r="I947" s="22">
        <v>10000</v>
      </c>
      <c r="J947" s="22">
        <v>4455</v>
      </c>
      <c r="K947" s="225">
        <f t="shared" si="103"/>
        <v>44.55</v>
      </c>
      <c r="L947" s="68"/>
      <c r="M947" s="22"/>
      <c r="N947" s="22"/>
      <c r="O947" s="225"/>
      <c r="P947" s="68"/>
      <c r="Q947" s="22">
        <f t="shared" si="108"/>
        <v>10000</v>
      </c>
      <c r="R947" s="22">
        <f t="shared" si="113"/>
        <v>4455</v>
      </c>
      <c r="S947" s="244">
        <f t="shared" si="104"/>
        <v>44.55</v>
      </c>
    </row>
    <row r="948" spans="2:19" x14ac:dyDescent="0.2">
      <c r="B948" s="67">
        <f t="shared" si="105"/>
        <v>187</v>
      </c>
      <c r="C948" s="2"/>
      <c r="D948" s="2"/>
      <c r="E948" s="2"/>
      <c r="F948" s="46" t="s">
        <v>198</v>
      </c>
      <c r="G948" s="2">
        <v>637</v>
      </c>
      <c r="H948" s="2" t="s">
        <v>128</v>
      </c>
      <c r="I948" s="22">
        <v>1500</v>
      </c>
      <c r="J948" s="22">
        <v>666</v>
      </c>
      <c r="K948" s="225">
        <f t="shared" si="103"/>
        <v>44.4</v>
      </c>
      <c r="L948" s="68"/>
      <c r="M948" s="22"/>
      <c r="N948" s="22"/>
      <c r="O948" s="225"/>
      <c r="P948" s="68"/>
      <c r="Q948" s="22">
        <f t="shared" si="108"/>
        <v>1500</v>
      </c>
      <c r="R948" s="22">
        <f t="shared" si="113"/>
        <v>666</v>
      </c>
      <c r="S948" s="244">
        <f t="shared" si="104"/>
        <v>44.4</v>
      </c>
    </row>
    <row r="949" spans="2:19" x14ac:dyDescent="0.2">
      <c r="B949" s="67">
        <f t="shared" si="105"/>
        <v>188</v>
      </c>
      <c r="C949" s="11"/>
      <c r="D949" s="11"/>
      <c r="E949" s="11"/>
      <c r="F949" s="45" t="s">
        <v>198</v>
      </c>
      <c r="G949" s="11">
        <v>640</v>
      </c>
      <c r="H949" s="11" t="s">
        <v>134</v>
      </c>
      <c r="I949" s="42">
        <v>1400</v>
      </c>
      <c r="J949" s="42"/>
      <c r="K949" s="225">
        <f t="shared" si="103"/>
        <v>0</v>
      </c>
      <c r="L949" s="114"/>
      <c r="M949" s="42"/>
      <c r="N949" s="42"/>
      <c r="O949" s="225"/>
      <c r="P949" s="114"/>
      <c r="Q949" s="42">
        <f t="shared" si="108"/>
        <v>1400</v>
      </c>
      <c r="R949" s="42">
        <f t="shared" si="113"/>
        <v>0</v>
      </c>
      <c r="S949" s="244">
        <f t="shared" si="104"/>
        <v>0</v>
      </c>
    </row>
    <row r="950" spans="2:19" x14ac:dyDescent="0.2">
      <c r="B950" s="67">
        <f t="shared" si="105"/>
        <v>189</v>
      </c>
      <c r="C950" s="11"/>
      <c r="D950" s="11"/>
      <c r="E950" s="11"/>
      <c r="F950" s="45" t="s">
        <v>198</v>
      </c>
      <c r="G950" s="11">
        <v>710</v>
      </c>
      <c r="H950" s="11" t="s">
        <v>183</v>
      </c>
      <c r="I950" s="42">
        <f>I951</f>
        <v>0</v>
      </c>
      <c r="J950" s="42">
        <f>J951</f>
        <v>0</v>
      </c>
      <c r="K950" s="225"/>
      <c r="L950" s="114"/>
      <c r="M950" s="42">
        <f>M951</f>
        <v>10000</v>
      </c>
      <c r="N950" s="42">
        <f>N951</f>
        <v>0</v>
      </c>
      <c r="O950" s="225">
        <f t="shared" si="106"/>
        <v>0</v>
      </c>
      <c r="P950" s="114"/>
      <c r="Q950" s="42">
        <f t="shared" si="108"/>
        <v>10000</v>
      </c>
      <c r="R950" s="42">
        <f t="shared" si="113"/>
        <v>0</v>
      </c>
      <c r="S950" s="244">
        <f t="shared" si="104"/>
        <v>0</v>
      </c>
    </row>
    <row r="951" spans="2:19" x14ac:dyDescent="0.2">
      <c r="B951" s="67">
        <f t="shared" si="105"/>
        <v>190</v>
      </c>
      <c r="C951" s="2"/>
      <c r="D951" s="2"/>
      <c r="E951" s="2"/>
      <c r="F951" s="77" t="s">
        <v>198</v>
      </c>
      <c r="G951" s="78">
        <v>717</v>
      </c>
      <c r="H951" s="78" t="s">
        <v>193</v>
      </c>
      <c r="I951" s="79"/>
      <c r="J951" s="79"/>
      <c r="K951" s="225"/>
      <c r="L951" s="68"/>
      <c r="M951" s="79">
        <f>M952</f>
        <v>10000</v>
      </c>
      <c r="N951" s="79">
        <f>N952</f>
        <v>0</v>
      </c>
      <c r="O951" s="225">
        <f t="shared" si="106"/>
        <v>0</v>
      </c>
      <c r="P951" s="68"/>
      <c r="Q951" s="79">
        <f t="shared" si="108"/>
        <v>10000</v>
      </c>
      <c r="R951" s="79">
        <f t="shared" si="113"/>
        <v>0</v>
      </c>
      <c r="S951" s="244">
        <f t="shared" si="104"/>
        <v>0</v>
      </c>
    </row>
    <row r="952" spans="2:19" x14ac:dyDescent="0.2">
      <c r="B952" s="67">
        <f t="shared" si="105"/>
        <v>191</v>
      </c>
      <c r="C952" s="2"/>
      <c r="D952" s="2"/>
      <c r="E952" s="2"/>
      <c r="F952" s="46"/>
      <c r="G952" s="2"/>
      <c r="H952" s="2" t="s">
        <v>337</v>
      </c>
      <c r="I952" s="22"/>
      <c r="J952" s="22"/>
      <c r="K952" s="225"/>
      <c r="L952" s="68"/>
      <c r="M952" s="22">
        <v>10000</v>
      </c>
      <c r="N952" s="22"/>
      <c r="O952" s="225">
        <f t="shared" si="106"/>
        <v>0</v>
      </c>
      <c r="P952" s="68"/>
      <c r="Q952" s="22">
        <f t="shared" si="108"/>
        <v>10000</v>
      </c>
      <c r="R952" s="22">
        <f t="shared" si="113"/>
        <v>0</v>
      </c>
      <c r="S952" s="244">
        <f t="shared" si="104"/>
        <v>0</v>
      </c>
    </row>
    <row r="953" spans="2:19" x14ac:dyDescent="0.2">
      <c r="B953" s="67">
        <f t="shared" si="105"/>
        <v>192</v>
      </c>
      <c r="C953" s="10"/>
      <c r="D953" s="10"/>
      <c r="E953" s="10" t="s">
        <v>107</v>
      </c>
      <c r="F953" s="44"/>
      <c r="G953" s="10"/>
      <c r="H953" s="10" t="s">
        <v>108</v>
      </c>
      <c r="I953" s="41">
        <f>I963+I962+I956+I955+I954</f>
        <v>238467</v>
      </c>
      <c r="J953" s="41">
        <f>J963+J962+J956+J955+J954</f>
        <v>105047</v>
      </c>
      <c r="K953" s="225">
        <f t="shared" si="103"/>
        <v>44.050958832878344</v>
      </c>
      <c r="L953" s="114"/>
      <c r="M953" s="41">
        <f>M963+M962+M956+M955+M954</f>
        <v>30000</v>
      </c>
      <c r="N953" s="41">
        <f>N963+N962+N956+N955+N954</f>
        <v>0</v>
      </c>
      <c r="O953" s="225">
        <f t="shared" si="106"/>
        <v>0</v>
      </c>
      <c r="P953" s="114"/>
      <c r="Q953" s="41">
        <f t="shared" si="108"/>
        <v>268467</v>
      </c>
      <c r="R953" s="41">
        <f t="shared" si="113"/>
        <v>105047</v>
      </c>
      <c r="S953" s="244">
        <f t="shared" si="104"/>
        <v>39.128458991235419</v>
      </c>
    </row>
    <row r="954" spans="2:19" x14ac:dyDescent="0.2">
      <c r="B954" s="67">
        <f t="shared" si="105"/>
        <v>193</v>
      </c>
      <c r="C954" s="11"/>
      <c r="D954" s="11"/>
      <c r="E954" s="11"/>
      <c r="F954" s="45" t="s">
        <v>198</v>
      </c>
      <c r="G954" s="11">
        <v>610</v>
      </c>
      <c r="H954" s="11" t="s">
        <v>135</v>
      </c>
      <c r="I954" s="42">
        <f>148370+900</f>
        <v>149270</v>
      </c>
      <c r="J954" s="42">
        <v>71100</v>
      </c>
      <c r="K954" s="225">
        <f t="shared" si="103"/>
        <v>47.631808132913513</v>
      </c>
      <c r="L954" s="114"/>
      <c r="M954" s="42"/>
      <c r="N954" s="42"/>
      <c r="O954" s="225"/>
      <c r="P954" s="114"/>
      <c r="Q954" s="42">
        <f t="shared" si="108"/>
        <v>149270</v>
      </c>
      <c r="R954" s="42">
        <f t="shared" si="113"/>
        <v>71100</v>
      </c>
      <c r="S954" s="244">
        <f t="shared" si="104"/>
        <v>47.631808132913513</v>
      </c>
    </row>
    <row r="955" spans="2:19" x14ac:dyDescent="0.2">
      <c r="B955" s="67">
        <f t="shared" si="105"/>
        <v>194</v>
      </c>
      <c r="C955" s="11"/>
      <c r="D955" s="11"/>
      <c r="E955" s="11"/>
      <c r="F955" s="45" t="s">
        <v>198</v>
      </c>
      <c r="G955" s="11">
        <v>620</v>
      </c>
      <c r="H955" s="11" t="s">
        <v>130</v>
      </c>
      <c r="I955" s="42">
        <f>55095+300</f>
        <v>55395</v>
      </c>
      <c r="J955" s="42">
        <v>26083</v>
      </c>
      <c r="K955" s="225">
        <f t="shared" si="103"/>
        <v>47.085477028612694</v>
      </c>
      <c r="L955" s="114"/>
      <c r="M955" s="42"/>
      <c r="N955" s="42"/>
      <c r="O955" s="225"/>
      <c r="P955" s="114"/>
      <c r="Q955" s="42">
        <f t="shared" si="108"/>
        <v>55395</v>
      </c>
      <c r="R955" s="42">
        <f t="shared" si="113"/>
        <v>26083</v>
      </c>
      <c r="S955" s="244">
        <f t="shared" si="104"/>
        <v>47.085477028612694</v>
      </c>
    </row>
    <row r="956" spans="2:19" x14ac:dyDescent="0.2">
      <c r="B956" s="67">
        <f t="shared" si="105"/>
        <v>195</v>
      </c>
      <c r="C956" s="11"/>
      <c r="D956" s="11"/>
      <c r="E956" s="11"/>
      <c r="F956" s="45" t="s">
        <v>198</v>
      </c>
      <c r="G956" s="11">
        <v>630</v>
      </c>
      <c r="H956" s="11" t="s">
        <v>127</v>
      </c>
      <c r="I956" s="42">
        <f>I961+I960+I959+I958+I957</f>
        <v>30522</v>
      </c>
      <c r="J956" s="42">
        <f>J961+J960+J959+J958+J957</f>
        <v>7535</v>
      </c>
      <c r="K956" s="225">
        <f t="shared" ref="K956:K1022" si="114">J956/I956*100</f>
        <v>24.687110936373763</v>
      </c>
      <c r="L956" s="114"/>
      <c r="M956" s="42">
        <f>M961+M960+M959+M958+M957</f>
        <v>0</v>
      </c>
      <c r="N956" s="42">
        <f>N961+N960+N959+N958+N957</f>
        <v>0</v>
      </c>
      <c r="O956" s="225"/>
      <c r="P956" s="114"/>
      <c r="Q956" s="42">
        <f t="shared" si="108"/>
        <v>30522</v>
      </c>
      <c r="R956" s="42">
        <f t="shared" si="113"/>
        <v>7535</v>
      </c>
      <c r="S956" s="244">
        <f t="shared" ref="S956:S1022" si="115">R956/Q956*100</f>
        <v>24.687110936373763</v>
      </c>
    </row>
    <row r="957" spans="2:19" x14ac:dyDescent="0.2">
      <c r="B957" s="67">
        <f t="shared" ref="B957:B1023" si="116">B956+1</f>
        <v>196</v>
      </c>
      <c r="C957" s="2"/>
      <c r="D957" s="2"/>
      <c r="E957" s="2"/>
      <c r="F957" s="46" t="s">
        <v>198</v>
      </c>
      <c r="G957" s="2">
        <v>632</v>
      </c>
      <c r="H957" s="2" t="s">
        <v>138</v>
      </c>
      <c r="I957" s="22">
        <v>7530</v>
      </c>
      <c r="J957" s="22">
        <v>2063</v>
      </c>
      <c r="K957" s="225">
        <f t="shared" si="114"/>
        <v>27.397078353253651</v>
      </c>
      <c r="L957" s="68"/>
      <c r="M957" s="22"/>
      <c r="N957" s="22"/>
      <c r="O957" s="225"/>
      <c r="P957" s="68"/>
      <c r="Q957" s="22">
        <f t="shared" si="108"/>
        <v>7530</v>
      </c>
      <c r="R957" s="22">
        <f t="shared" si="113"/>
        <v>2063</v>
      </c>
      <c r="S957" s="244">
        <f t="shared" si="115"/>
        <v>27.397078353253651</v>
      </c>
    </row>
    <row r="958" spans="2:19" x14ac:dyDescent="0.2">
      <c r="B958" s="67">
        <f t="shared" si="116"/>
        <v>197</v>
      </c>
      <c r="C958" s="2"/>
      <c r="D958" s="2"/>
      <c r="E958" s="2"/>
      <c r="F958" s="46" t="s">
        <v>198</v>
      </c>
      <c r="G958" s="2">
        <v>633</v>
      </c>
      <c r="H958" s="2" t="s">
        <v>131</v>
      </c>
      <c r="I958" s="22">
        <f>8500+2192</f>
        <v>10692</v>
      </c>
      <c r="J958" s="22">
        <v>692</v>
      </c>
      <c r="K958" s="225">
        <f t="shared" si="114"/>
        <v>6.472128694350916</v>
      </c>
      <c r="L958" s="68"/>
      <c r="M958" s="22"/>
      <c r="N958" s="22"/>
      <c r="O958" s="225"/>
      <c r="P958" s="68"/>
      <c r="Q958" s="22">
        <f t="shared" si="108"/>
        <v>10692</v>
      </c>
      <c r="R958" s="22">
        <f t="shared" si="113"/>
        <v>692</v>
      </c>
      <c r="S958" s="244">
        <f t="shared" si="115"/>
        <v>6.472128694350916</v>
      </c>
    </row>
    <row r="959" spans="2:19" x14ac:dyDescent="0.2">
      <c r="B959" s="67">
        <f t="shared" si="116"/>
        <v>198</v>
      </c>
      <c r="C959" s="2"/>
      <c r="D959" s="2"/>
      <c r="E959" s="2"/>
      <c r="F959" s="46" t="s">
        <v>198</v>
      </c>
      <c r="G959" s="2">
        <v>635</v>
      </c>
      <c r="H959" s="2" t="s">
        <v>137</v>
      </c>
      <c r="I959" s="22">
        <v>600</v>
      </c>
      <c r="J959" s="22">
        <v>313</v>
      </c>
      <c r="K959" s="225">
        <f t="shared" si="114"/>
        <v>52.166666666666664</v>
      </c>
      <c r="L959" s="68"/>
      <c r="M959" s="22"/>
      <c r="N959" s="22"/>
      <c r="O959" s="225"/>
      <c r="P959" s="68"/>
      <c r="Q959" s="22">
        <f t="shared" si="108"/>
        <v>600</v>
      </c>
      <c r="R959" s="22">
        <f t="shared" si="113"/>
        <v>313</v>
      </c>
      <c r="S959" s="244">
        <f t="shared" si="115"/>
        <v>52.166666666666664</v>
      </c>
    </row>
    <row r="960" spans="2:19" x14ac:dyDescent="0.2">
      <c r="B960" s="67">
        <f t="shared" si="116"/>
        <v>199</v>
      </c>
      <c r="C960" s="2"/>
      <c r="D960" s="2"/>
      <c r="E960" s="2"/>
      <c r="F960" s="46" t="s">
        <v>198</v>
      </c>
      <c r="G960" s="2">
        <v>636</v>
      </c>
      <c r="H960" s="2" t="s">
        <v>132</v>
      </c>
      <c r="I960" s="22">
        <v>4700</v>
      </c>
      <c r="J960" s="22">
        <v>778</v>
      </c>
      <c r="K960" s="225">
        <f t="shared" si="114"/>
        <v>16.553191489361701</v>
      </c>
      <c r="L960" s="68"/>
      <c r="M960" s="22"/>
      <c r="N960" s="22"/>
      <c r="O960" s="225"/>
      <c r="P960" s="68"/>
      <c r="Q960" s="22">
        <f t="shared" si="108"/>
        <v>4700</v>
      </c>
      <c r="R960" s="22">
        <f t="shared" si="113"/>
        <v>778</v>
      </c>
      <c r="S960" s="244">
        <f t="shared" si="115"/>
        <v>16.553191489361701</v>
      </c>
    </row>
    <row r="961" spans="2:19" x14ac:dyDescent="0.2">
      <c r="B961" s="67">
        <f t="shared" si="116"/>
        <v>200</v>
      </c>
      <c r="C961" s="2"/>
      <c r="D961" s="2"/>
      <c r="E961" s="2"/>
      <c r="F961" s="46" t="s">
        <v>198</v>
      </c>
      <c r="G961" s="2">
        <v>637</v>
      </c>
      <c r="H961" s="2" t="s">
        <v>128</v>
      </c>
      <c r="I961" s="22">
        <v>7000</v>
      </c>
      <c r="J961" s="22">
        <v>3689</v>
      </c>
      <c r="K961" s="225">
        <f t="shared" si="114"/>
        <v>52.7</v>
      </c>
      <c r="L961" s="68"/>
      <c r="M961" s="22"/>
      <c r="N961" s="22"/>
      <c r="O961" s="225"/>
      <c r="P961" s="68"/>
      <c r="Q961" s="22">
        <f t="shared" si="108"/>
        <v>7000</v>
      </c>
      <c r="R961" s="22">
        <f t="shared" si="113"/>
        <v>3689</v>
      </c>
      <c r="S961" s="244">
        <f t="shared" si="115"/>
        <v>52.7</v>
      </c>
    </row>
    <row r="962" spans="2:19" x14ac:dyDescent="0.2">
      <c r="B962" s="67">
        <f t="shared" si="116"/>
        <v>201</v>
      </c>
      <c r="C962" s="11"/>
      <c r="D962" s="11"/>
      <c r="E962" s="11"/>
      <c r="F962" s="45" t="s">
        <v>198</v>
      </c>
      <c r="G962" s="11">
        <v>640</v>
      </c>
      <c r="H962" s="11" t="s">
        <v>134</v>
      </c>
      <c r="I962" s="42">
        <v>3280</v>
      </c>
      <c r="J962" s="42">
        <v>329</v>
      </c>
      <c r="K962" s="225">
        <f t="shared" si="114"/>
        <v>10.030487804878049</v>
      </c>
      <c r="L962" s="114"/>
      <c r="M962" s="42"/>
      <c r="N962" s="42"/>
      <c r="O962" s="225"/>
      <c r="P962" s="114"/>
      <c r="Q962" s="42">
        <f t="shared" si="108"/>
        <v>3280</v>
      </c>
      <c r="R962" s="42">
        <f t="shared" si="113"/>
        <v>329</v>
      </c>
      <c r="S962" s="244">
        <f t="shared" si="115"/>
        <v>10.030487804878049</v>
      </c>
    </row>
    <row r="963" spans="2:19" x14ac:dyDescent="0.2">
      <c r="B963" s="67">
        <f t="shared" si="116"/>
        <v>202</v>
      </c>
      <c r="C963" s="11"/>
      <c r="D963" s="11"/>
      <c r="E963" s="11"/>
      <c r="F963" s="45" t="s">
        <v>198</v>
      </c>
      <c r="G963" s="11">
        <v>710</v>
      </c>
      <c r="H963" s="11" t="s">
        <v>183</v>
      </c>
      <c r="I963" s="42">
        <f>I964</f>
        <v>0</v>
      </c>
      <c r="J963" s="42">
        <f>J964</f>
        <v>0</v>
      </c>
      <c r="K963" s="225"/>
      <c r="L963" s="114"/>
      <c r="M963" s="42">
        <f>M964</f>
        <v>30000</v>
      </c>
      <c r="N963" s="42">
        <f>N964</f>
        <v>0</v>
      </c>
      <c r="O963" s="225">
        <f t="shared" ref="O963:O1010" si="117">N963/M963*100</f>
        <v>0</v>
      </c>
      <c r="P963" s="114"/>
      <c r="Q963" s="42">
        <f t="shared" si="108"/>
        <v>30000</v>
      </c>
      <c r="R963" s="42">
        <f t="shared" si="113"/>
        <v>0</v>
      </c>
      <c r="S963" s="244">
        <f t="shared" si="115"/>
        <v>0</v>
      </c>
    </row>
    <row r="964" spans="2:19" x14ac:dyDescent="0.2">
      <c r="B964" s="67">
        <f t="shared" si="116"/>
        <v>203</v>
      </c>
      <c r="C964" s="2"/>
      <c r="D964" s="2"/>
      <c r="E964" s="2"/>
      <c r="F964" s="77" t="s">
        <v>198</v>
      </c>
      <c r="G964" s="78">
        <v>717</v>
      </c>
      <c r="H964" s="78" t="s">
        <v>193</v>
      </c>
      <c r="I964" s="79"/>
      <c r="J964" s="79"/>
      <c r="K964" s="225"/>
      <c r="L964" s="68"/>
      <c r="M964" s="79">
        <f>M965</f>
        <v>30000</v>
      </c>
      <c r="N964" s="79">
        <f>N965</f>
        <v>0</v>
      </c>
      <c r="O964" s="225">
        <f t="shared" si="117"/>
        <v>0</v>
      </c>
      <c r="P964" s="68"/>
      <c r="Q964" s="79">
        <f t="shared" si="108"/>
        <v>30000</v>
      </c>
      <c r="R964" s="79">
        <f t="shared" si="113"/>
        <v>0</v>
      </c>
      <c r="S964" s="244">
        <f t="shared" si="115"/>
        <v>0</v>
      </c>
    </row>
    <row r="965" spans="2:19" x14ac:dyDescent="0.2">
      <c r="B965" s="67">
        <f t="shared" si="116"/>
        <v>204</v>
      </c>
      <c r="C965" s="2"/>
      <c r="D965" s="2"/>
      <c r="E965" s="2"/>
      <c r="F965" s="46"/>
      <c r="G965" s="2"/>
      <c r="H965" s="29" t="s">
        <v>419</v>
      </c>
      <c r="I965" s="22"/>
      <c r="J965" s="22"/>
      <c r="K965" s="225"/>
      <c r="L965" s="68"/>
      <c r="M965" s="22">
        <v>30000</v>
      </c>
      <c r="N965" s="22"/>
      <c r="O965" s="225">
        <f t="shared" si="117"/>
        <v>0</v>
      </c>
      <c r="P965" s="68"/>
      <c r="Q965" s="22">
        <f t="shared" si="108"/>
        <v>30000</v>
      </c>
      <c r="R965" s="22">
        <f t="shared" si="113"/>
        <v>0</v>
      </c>
      <c r="S965" s="244">
        <f t="shared" si="115"/>
        <v>0</v>
      </c>
    </row>
    <row r="966" spans="2:19" ht="15" x14ac:dyDescent="0.2">
      <c r="B966" s="67">
        <f t="shared" si="116"/>
        <v>205</v>
      </c>
      <c r="C966" s="166">
        <v>2</v>
      </c>
      <c r="D966" s="325" t="s">
        <v>192</v>
      </c>
      <c r="E966" s="326"/>
      <c r="F966" s="326"/>
      <c r="G966" s="326"/>
      <c r="H966" s="327"/>
      <c r="I966" s="38">
        <f>I971+I986+I1010+I1040+I1063+I1094+I1125+I1153+I1179+I970+I967</f>
        <v>6914414</v>
      </c>
      <c r="J966" s="38">
        <f>J971+J986+J1010+J1040+J1063+J1094+J1125+J1153+J1179+J970+J967</f>
        <v>2760160</v>
      </c>
      <c r="K966" s="225">
        <f t="shared" si="114"/>
        <v>39.918928776899968</v>
      </c>
      <c r="L966" s="173"/>
      <c r="M966" s="38">
        <f>M971+M986+M1010+M1040+M1063+M1094+M1125+M1153+M1179</f>
        <v>457000</v>
      </c>
      <c r="N966" s="38">
        <f>N971+N986+N1010+N1040+N1063+N1094+N1125+N1153+N1179</f>
        <v>3950</v>
      </c>
      <c r="O966" s="225">
        <f t="shared" si="117"/>
        <v>0.8643326039387309</v>
      </c>
      <c r="P966" s="173"/>
      <c r="Q966" s="38">
        <f t="shared" si="108"/>
        <v>7371414</v>
      </c>
      <c r="R966" s="38">
        <f t="shared" si="113"/>
        <v>2764110</v>
      </c>
      <c r="S966" s="244">
        <f t="shared" si="115"/>
        <v>37.497690402411259</v>
      </c>
    </row>
    <row r="967" spans="2:19" x14ac:dyDescent="0.2">
      <c r="B967" s="67">
        <f t="shared" si="116"/>
        <v>206</v>
      </c>
      <c r="C967" s="11"/>
      <c r="D967" s="11"/>
      <c r="E967" s="11"/>
      <c r="F967" s="45" t="s">
        <v>268</v>
      </c>
      <c r="G967" s="11">
        <v>630</v>
      </c>
      <c r="H967" s="11" t="s">
        <v>127</v>
      </c>
      <c r="I967" s="42">
        <f>I968</f>
        <v>793</v>
      </c>
      <c r="J967" s="42">
        <f>J968</f>
        <v>793</v>
      </c>
      <c r="K967" s="225">
        <f t="shared" si="114"/>
        <v>100</v>
      </c>
      <c r="L967" s="114"/>
      <c r="M967" s="42"/>
      <c r="N967" s="42"/>
      <c r="O967" s="225"/>
      <c r="P967" s="114"/>
      <c r="Q967" s="42">
        <f t="shared" si="108"/>
        <v>793</v>
      </c>
      <c r="R967" s="42">
        <f t="shared" si="113"/>
        <v>793</v>
      </c>
      <c r="S967" s="244">
        <f t="shared" si="115"/>
        <v>100</v>
      </c>
    </row>
    <row r="968" spans="2:19" x14ac:dyDescent="0.2">
      <c r="B968" s="67">
        <f t="shared" si="116"/>
        <v>207</v>
      </c>
      <c r="C968" s="71"/>
      <c r="D968" s="71"/>
      <c r="E968" s="71"/>
      <c r="F968" s="72"/>
      <c r="G968" s="71"/>
      <c r="H968" s="73" t="s">
        <v>597</v>
      </c>
      <c r="I968" s="55">
        <v>793</v>
      </c>
      <c r="J968" s="55">
        <v>793</v>
      </c>
      <c r="K968" s="225">
        <f t="shared" si="114"/>
        <v>100</v>
      </c>
      <c r="L968" s="149"/>
      <c r="M968" s="55"/>
      <c r="N968" s="55"/>
      <c r="O968" s="225"/>
      <c r="P968" s="149"/>
      <c r="Q968" s="55">
        <f t="shared" si="108"/>
        <v>793</v>
      </c>
      <c r="R968" s="55">
        <f t="shared" si="113"/>
        <v>793</v>
      </c>
      <c r="S968" s="244">
        <f t="shared" si="115"/>
        <v>100</v>
      </c>
    </row>
    <row r="969" spans="2:19" x14ac:dyDescent="0.2">
      <c r="B969" s="67">
        <f t="shared" si="116"/>
        <v>208</v>
      </c>
      <c r="C969" s="11"/>
      <c r="D969" s="11"/>
      <c r="E969" s="11"/>
      <c r="F969" s="45" t="s">
        <v>268</v>
      </c>
      <c r="G969" s="11">
        <v>640</v>
      </c>
      <c r="H969" s="11" t="s">
        <v>134</v>
      </c>
      <c r="I969" s="42">
        <f>I970</f>
        <v>3300</v>
      </c>
      <c r="J969" s="42">
        <f>J970</f>
        <v>1521</v>
      </c>
      <c r="K969" s="225">
        <f>J969/I969*100</f>
        <v>46.090909090909093</v>
      </c>
      <c r="L969" s="114"/>
      <c r="M969" s="42"/>
      <c r="N969" s="42"/>
      <c r="O969" s="225"/>
      <c r="P969" s="114"/>
      <c r="Q969" s="42">
        <f t="shared" si="108"/>
        <v>3300</v>
      </c>
      <c r="R969" s="42">
        <f t="shared" si="113"/>
        <v>1521</v>
      </c>
      <c r="S969" s="244">
        <f>R969/Q969*100</f>
        <v>46.090909090909093</v>
      </c>
    </row>
    <row r="970" spans="2:19" ht="24" x14ac:dyDescent="0.2">
      <c r="B970" s="67">
        <f t="shared" si="116"/>
        <v>209</v>
      </c>
      <c r="C970" s="71"/>
      <c r="D970" s="71"/>
      <c r="E970" s="71"/>
      <c r="F970" s="72" t="s">
        <v>268</v>
      </c>
      <c r="G970" s="71">
        <v>641</v>
      </c>
      <c r="H970" s="73" t="s">
        <v>591</v>
      </c>
      <c r="I970" s="55">
        <v>3300</v>
      </c>
      <c r="J970" s="55">
        <v>1521</v>
      </c>
      <c r="K970" s="225">
        <f t="shared" si="114"/>
        <v>46.090909090909093</v>
      </c>
      <c r="L970" s="149"/>
      <c r="M970" s="55"/>
      <c r="N970" s="55"/>
      <c r="O970" s="225"/>
      <c r="P970" s="149"/>
      <c r="Q970" s="55">
        <f t="shared" si="108"/>
        <v>3300</v>
      </c>
      <c r="R970" s="55">
        <f t="shared" si="113"/>
        <v>1521</v>
      </c>
      <c r="S970" s="244">
        <f t="shared" si="115"/>
        <v>46.090909090909093</v>
      </c>
    </row>
    <row r="971" spans="2:19" ht="15" x14ac:dyDescent="0.25">
      <c r="B971" s="67">
        <f t="shared" si="116"/>
        <v>210</v>
      </c>
      <c r="C971" s="14"/>
      <c r="D971" s="14"/>
      <c r="E971" s="14">
        <v>4</v>
      </c>
      <c r="F971" s="43"/>
      <c r="G971" s="14"/>
      <c r="H971" s="14" t="s">
        <v>84</v>
      </c>
      <c r="I971" s="40">
        <f>I972</f>
        <v>90088</v>
      </c>
      <c r="J971" s="40">
        <f>J972</f>
        <v>41737</v>
      </c>
      <c r="K971" s="225">
        <f t="shared" si="114"/>
        <v>46.329144836160197</v>
      </c>
      <c r="L971" s="175"/>
      <c r="M971" s="40">
        <f>M972</f>
        <v>50000</v>
      </c>
      <c r="N971" s="40">
        <f>N972</f>
        <v>2950</v>
      </c>
      <c r="O971" s="225">
        <f t="shared" si="117"/>
        <v>5.8999999999999995</v>
      </c>
      <c r="P971" s="175"/>
      <c r="Q971" s="40">
        <f t="shared" si="108"/>
        <v>140088</v>
      </c>
      <c r="R971" s="40">
        <f t="shared" si="113"/>
        <v>44687</v>
      </c>
      <c r="S971" s="244">
        <f t="shared" si="115"/>
        <v>31.899234766718067</v>
      </c>
    </row>
    <row r="972" spans="2:19" x14ac:dyDescent="0.2">
      <c r="B972" s="67">
        <f t="shared" si="116"/>
        <v>211</v>
      </c>
      <c r="C972" s="10"/>
      <c r="D972" s="10"/>
      <c r="E972" s="10" t="s">
        <v>91</v>
      </c>
      <c r="F972" s="44"/>
      <c r="G972" s="10"/>
      <c r="H972" s="10" t="s">
        <v>92</v>
      </c>
      <c r="I972" s="41">
        <f>I975+I974+I973+I981+I980</f>
        <v>90088</v>
      </c>
      <c r="J972" s="41">
        <f>J975+J974+J973+J981+J980</f>
        <v>41737</v>
      </c>
      <c r="K972" s="225">
        <f t="shared" si="114"/>
        <v>46.329144836160197</v>
      </c>
      <c r="L972" s="114"/>
      <c r="M972" s="41">
        <f>M975+M974+M973+M981</f>
        <v>50000</v>
      </c>
      <c r="N972" s="41">
        <f>N975+N974+N973+N981</f>
        <v>2950</v>
      </c>
      <c r="O972" s="225">
        <f t="shared" si="117"/>
        <v>5.8999999999999995</v>
      </c>
      <c r="P972" s="114"/>
      <c r="Q972" s="41">
        <f t="shared" ref="Q972:Q1046" si="118">M972+I972</f>
        <v>140088</v>
      </c>
      <c r="R972" s="41">
        <f t="shared" si="113"/>
        <v>44687</v>
      </c>
      <c r="S972" s="244">
        <f t="shared" si="115"/>
        <v>31.899234766718067</v>
      </c>
    </row>
    <row r="973" spans="2:19" x14ac:dyDescent="0.2">
      <c r="B973" s="67">
        <f t="shared" si="116"/>
        <v>212</v>
      </c>
      <c r="C973" s="11"/>
      <c r="D973" s="11"/>
      <c r="E973" s="11"/>
      <c r="F973" s="45" t="s">
        <v>125</v>
      </c>
      <c r="G973" s="11">
        <v>610</v>
      </c>
      <c r="H973" s="11" t="s">
        <v>135</v>
      </c>
      <c r="I973" s="42">
        <f>58195+1315</f>
        <v>59510</v>
      </c>
      <c r="J973" s="42">
        <v>25005</v>
      </c>
      <c r="K973" s="225">
        <f t="shared" si="114"/>
        <v>42.018148210384808</v>
      </c>
      <c r="L973" s="114"/>
      <c r="M973" s="42"/>
      <c r="N973" s="42"/>
      <c r="O973" s="225"/>
      <c r="P973" s="114"/>
      <c r="Q973" s="42">
        <f t="shared" si="118"/>
        <v>59510</v>
      </c>
      <c r="R973" s="42">
        <f t="shared" si="113"/>
        <v>25005</v>
      </c>
      <c r="S973" s="244">
        <f t="shared" si="115"/>
        <v>42.018148210384808</v>
      </c>
    </row>
    <row r="974" spans="2:19" x14ac:dyDescent="0.2">
      <c r="B974" s="67">
        <f t="shared" si="116"/>
        <v>213</v>
      </c>
      <c r="C974" s="11"/>
      <c r="D974" s="11"/>
      <c r="E974" s="11"/>
      <c r="F974" s="45" t="s">
        <v>125</v>
      </c>
      <c r="G974" s="11">
        <v>620</v>
      </c>
      <c r="H974" s="11" t="s">
        <v>130</v>
      </c>
      <c r="I974" s="42">
        <f>21605-805</f>
        <v>20800</v>
      </c>
      <c r="J974" s="42">
        <v>9352</v>
      </c>
      <c r="K974" s="225">
        <f t="shared" si="114"/>
        <v>44.961538461538467</v>
      </c>
      <c r="L974" s="114"/>
      <c r="M974" s="42"/>
      <c r="N974" s="42"/>
      <c r="O974" s="225"/>
      <c r="P974" s="114"/>
      <c r="Q974" s="42">
        <f t="shared" si="118"/>
        <v>20800</v>
      </c>
      <c r="R974" s="42">
        <f t="shared" si="113"/>
        <v>9352</v>
      </c>
      <c r="S974" s="244">
        <f t="shared" si="115"/>
        <v>44.961538461538467</v>
      </c>
    </row>
    <row r="975" spans="2:19" x14ac:dyDescent="0.2">
      <c r="B975" s="67">
        <f t="shared" si="116"/>
        <v>214</v>
      </c>
      <c r="C975" s="11"/>
      <c r="D975" s="11"/>
      <c r="E975" s="11"/>
      <c r="F975" s="45" t="s">
        <v>125</v>
      </c>
      <c r="G975" s="11">
        <v>630</v>
      </c>
      <c r="H975" s="11" t="s">
        <v>127</v>
      </c>
      <c r="I975" s="42">
        <f>I976+I977+I979+I978</f>
        <v>9778</v>
      </c>
      <c r="J975" s="42">
        <f>J976+J977+J979+J978</f>
        <v>7255</v>
      </c>
      <c r="K975" s="225">
        <f t="shared" si="114"/>
        <v>74.19717733687871</v>
      </c>
      <c r="L975" s="114"/>
      <c r="M975" s="42">
        <v>0</v>
      </c>
      <c r="N975" s="42"/>
      <c r="O975" s="225"/>
      <c r="P975" s="114"/>
      <c r="Q975" s="42">
        <f t="shared" si="118"/>
        <v>9778</v>
      </c>
      <c r="R975" s="42">
        <f t="shared" si="113"/>
        <v>7255</v>
      </c>
      <c r="S975" s="244">
        <f t="shared" si="115"/>
        <v>74.19717733687871</v>
      </c>
    </row>
    <row r="976" spans="2:19" x14ac:dyDescent="0.2">
      <c r="B976" s="67">
        <f t="shared" si="116"/>
        <v>215</v>
      </c>
      <c r="C976" s="2"/>
      <c r="D976" s="2"/>
      <c r="E976" s="2"/>
      <c r="F976" s="46" t="s">
        <v>125</v>
      </c>
      <c r="G976" s="2">
        <v>632</v>
      </c>
      <c r="H976" s="2" t="s">
        <v>138</v>
      </c>
      <c r="I976" s="22">
        <v>5690</v>
      </c>
      <c r="J976" s="22">
        <v>2858</v>
      </c>
      <c r="K976" s="225">
        <f t="shared" si="114"/>
        <v>50.22847100175747</v>
      </c>
      <c r="L976" s="68"/>
      <c r="M976" s="22"/>
      <c r="N976" s="22"/>
      <c r="O976" s="225"/>
      <c r="P976" s="68"/>
      <c r="Q976" s="22">
        <f t="shared" si="118"/>
        <v>5690</v>
      </c>
      <c r="R976" s="22">
        <f t="shared" si="113"/>
        <v>2858</v>
      </c>
      <c r="S976" s="244">
        <f t="shared" si="115"/>
        <v>50.22847100175747</v>
      </c>
    </row>
    <row r="977" spans="2:19" x14ac:dyDescent="0.2">
      <c r="B977" s="67">
        <f t="shared" si="116"/>
        <v>216</v>
      </c>
      <c r="C977" s="2"/>
      <c r="D977" s="2"/>
      <c r="E977" s="2"/>
      <c r="F977" s="46" t="s">
        <v>125</v>
      </c>
      <c r="G977" s="2">
        <v>633</v>
      </c>
      <c r="H977" s="2" t="s">
        <v>131</v>
      </c>
      <c r="I977" s="22">
        <f>800+1088</f>
        <v>1888</v>
      </c>
      <c r="J977" s="22">
        <v>317</v>
      </c>
      <c r="K977" s="225">
        <f t="shared" si="114"/>
        <v>16.790254237288135</v>
      </c>
      <c r="L977" s="68"/>
      <c r="M977" s="22"/>
      <c r="N977" s="22"/>
      <c r="O977" s="225"/>
      <c r="P977" s="68"/>
      <c r="Q977" s="22">
        <f t="shared" si="118"/>
        <v>1888</v>
      </c>
      <c r="R977" s="22">
        <f t="shared" si="113"/>
        <v>317</v>
      </c>
      <c r="S977" s="244">
        <f t="shared" si="115"/>
        <v>16.790254237288135</v>
      </c>
    </row>
    <row r="978" spans="2:19" x14ac:dyDescent="0.2">
      <c r="B978" s="67">
        <f t="shared" si="116"/>
        <v>217</v>
      </c>
      <c r="C978" s="2"/>
      <c r="D978" s="2"/>
      <c r="E978" s="2"/>
      <c r="F978" s="46" t="s">
        <v>125</v>
      </c>
      <c r="G978" s="2">
        <v>634</v>
      </c>
      <c r="H978" s="2" t="s">
        <v>705</v>
      </c>
      <c r="I978" s="22">
        <v>0</v>
      </c>
      <c r="J978" s="51">
        <v>228</v>
      </c>
      <c r="K978" s="225">
        <v>0</v>
      </c>
      <c r="L978" s="68"/>
      <c r="M978" s="22"/>
      <c r="N978" s="22"/>
      <c r="O978" s="225"/>
      <c r="P978" s="68"/>
      <c r="Q978" s="22">
        <f t="shared" ref="Q978" si="119">M978+I978</f>
        <v>0</v>
      </c>
      <c r="R978" s="22">
        <f t="shared" ref="R978" si="120">N978+J978</f>
        <v>228</v>
      </c>
      <c r="S978" s="244">
        <v>0</v>
      </c>
    </row>
    <row r="979" spans="2:19" x14ac:dyDescent="0.2">
      <c r="B979" s="67">
        <f t="shared" si="116"/>
        <v>218</v>
      </c>
      <c r="C979" s="2"/>
      <c r="D979" s="2"/>
      <c r="E979" s="2"/>
      <c r="F979" s="46" t="s">
        <v>125</v>
      </c>
      <c r="G979" s="2">
        <v>637</v>
      </c>
      <c r="H979" s="2" t="s">
        <v>128</v>
      </c>
      <c r="I979" s="22">
        <v>2200</v>
      </c>
      <c r="J979" s="51">
        <v>3852</v>
      </c>
      <c r="K979" s="225">
        <f t="shared" si="114"/>
        <v>175.09090909090909</v>
      </c>
      <c r="L979" s="68"/>
      <c r="M979" s="22"/>
      <c r="N979" s="22"/>
      <c r="O979" s="225"/>
      <c r="P979" s="68"/>
      <c r="Q979" s="22">
        <f t="shared" si="118"/>
        <v>2200</v>
      </c>
      <c r="R979" s="22">
        <f t="shared" si="113"/>
        <v>3852</v>
      </c>
      <c r="S979" s="244">
        <f t="shared" si="115"/>
        <v>175.09090909090909</v>
      </c>
    </row>
    <row r="980" spans="2:19" x14ac:dyDescent="0.2">
      <c r="B980" s="67">
        <f t="shared" si="116"/>
        <v>219</v>
      </c>
      <c r="C980" s="2"/>
      <c r="D980" s="2"/>
      <c r="E980" s="2"/>
      <c r="F980" s="45" t="s">
        <v>125</v>
      </c>
      <c r="G980" s="11">
        <v>640</v>
      </c>
      <c r="H980" s="11" t="s">
        <v>134</v>
      </c>
      <c r="I980" s="42">
        <v>0</v>
      </c>
      <c r="J980" s="42">
        <v>125</v>
      </c>
      <c r="K980" s="225">
        <v>0</v>
      </c>
      <c r="L980" s="114"/>
      <c r="M980" s="42"/>
      <c r="N980" s="42"/>
      <c r="O980" s="225"/>
      <c r="P980" s="114"/>
      <c r="Q980" s="42">
        <f t="shared" si="118"/>
        <v>0</v>
      </c>
      <c r="R980" s="42">
        <f t="shared" ref="R980" si="121">N980+J980</f>
        <v>125</v>
      </c>
      <c r="S980" s="244">
        <v>0</v>
      </c>
    </row>
    <row r="981" spans="2:19" x14ac:dyDescent="0.2">
      <c r="B981" s="67">
        <f t="shared" si="116"/>
        <v>220</v>
      </c>
      <c r="C981" s="11"/>
      <c r="D981" s="11"/>
      <c r="E981" s="11"/>
      <c r="F981" s="45" t="s">
        <v>125</v>
      </c>
      <c r="G981" s="11">
        <v>710</v>
      </c>
      <c r="H981" s="11" t="s">
        <v>183</v>
      </c>
      <c r="I981" s="42">
        <f>I982+I984</f>
        <v>0</v>
      </c>
      <c r="J981" s="42"/>
      <c r="K981" s="225"/>
      <c r="L981" s="114"/>
      <c r="M981" s="42">
        <f>M982+M984</f>
        <v>50000</v>
      </c>
      <c r="N981" s="42">
        <f>N982+N984</f>
        <v>2950</v>
      </c>
      <c r="O981" s="225">
        <f t="shared" si="117"/>
        <v>5.8999999999999995</v>
      </c>
      <c r="P981" s="114"/>
      <c r="Q981" s="42">
        <f t="shared" si="118"/>
        <v>50000</v>
      </c>
      <c r="R981" s="42">
        <f t="shared" si="113"/>
        <v>2950</v>
      </c>
      <c r="S981" s="244">
        <f t="shared" si="115"/>
        <v>5.8999999999999995</v>
      </c>
    </row>
    <row r="982" spans="2:19" x14ac:dyDescent="0.2">
      <c r="B982" s="67">
        <f t="shared" si="116"/>
        <v>221</v>
      </c>
      <c r="C982" s="11"/>
      <c r="D982" s="11"/>
      <c r="E982" s="11"/>
      <c r="F982" s="77" t="s">
        <v>198</v>
      </c>
      <c r="G982" s="78">
        <v>716</v>
      </c>
      <c r="H982" s="78" t="s">
        <v>0</v>
      </c>
      <c r="I982" s="79">
        <v>0</v>
      </c>
      <c r="J982" s="79">
        <v>0</v>
      </c>
      <c r="K982" s="225"/>
      <c r="L982" s="68"/>
      <c r="M982" s="79">
        <f>SUM(M983:M983)</f>
        <v>3000</v>
      </c>
      <c r="N982" s="79">
        <f>SUM(N983:N983)</f>
        <v>2950</v>
      </c>
      <c r="O982" s="225">
        <f t="shared" si="117"/>
        <v>98.333333333333329</v>
      </c>
      <c r="P982" s="68"/>
      <c r="Q982" s="79">
        <f t="shared" si="118"/>
        <v>3000</v>
      </c>
      <c r="R982" s="79">
        <f t="shared" si="113"/>
        <v>2950</v>
      </c>
      <c r="S982" s="244">
        <f t="shared" si="115"/>
        <v>98.333333333333329</v>
      </c>
    </row>
    <row r="983" spans="2:19" x14ac:dyDescent="0.2">
      <c r="B983" s="67">
        <f t="shared" si="116"/>
        <v>222</v>
      </c>
      <c r="C983" s="11"/>
      <c r="D983" s="11"/>
      <c r="E983" s="11"/>
      <c r="F983" s="57"/>
      <c r="G983" s="53"/>
      <c r="H983" s="53" t="s">
        <v>503</v>
      </c>
      <c r="I983" s="51"/>
      <c r="J983" s="51"/>
      <c r="K983" s="225"/>
      <c r="L983" s="68"/>
      <c r="M983" s="51">
        <v>3000</v>
      </c>
      <c r="N983" s="51">
        <v>2950</v>
      </c>
      <c r="O983" s="225">
        <f t="shared" si="117"/>
        <v>98.333333333333329</v>
      </c>
      <c r="P983" s="68"/>
      <c r="Q983" s="22">
        <f t="shared" si="118"/>
        <v>3000</v>
      </c>
      <c r="R983" s="22">
        <f t="shared" si="113"/>
        <v>2950</v>
      </c>
      <c r="S983" s="244">
        <f t="shared" si="115"/>
        <v>98.333333333333329</v>
      </c>
    </row>
    <row r="984" spans="2:19" x14ac:dyDescent="0.2">
      <c r="B984" s="67">
        <f t="shared" si="116"/>
        <v>223</v>
      </c>
      <c r="C984" s="11"/>
      <c r="D984" s="11"/>
      <c r="E984" s="11"/>
      <c r="F984" s="77" t="s">
        <v>198</v>
      </c>
      <c r="G984" s="78">
        <v>717</v>
      </c>
      <c r="H984" s="78" t="s">
        <v>193</v>
      </c>
      <c r="I984" s="79">
        <v>0</v>
      </c>
      <c r="J984" s="79">
        <v>0</v>
      </c>
      <c r="K984" s="225"/>
      <c r="L984" s="68"/>
      <c r="M984" s="79">
        <f>SUM(M985:M985)</f>
        <v>47000</v>
      </c>
      <c r="N984" s="79">
        <f>SUM(N985:N985)</f>
        <v>0</v>
      </c>
      <c r="O984" s="225">
        <f t="shared" si="117"/>
        <v>0</v>
      </c>
      <c r="P984" s="68"/>
      <c r="Q984" s="79">
        <f t="shared" si="118"/>
        <v>47000</v>
      </c>
      <c r="R984" s="79">
        <f t="shared" si="113"/>
        <v>0</v>
      </c>
      <c r="S984" s="244">
        <f t="shared" si="115"/>
        <v>0</v>
      </c>
    </row>
    <row r="985" spans="2:19" x14ac:dyDescent="0.2">
      <c r="B985" s="67">
        <f t="shared" si="116"/>
        <v>224</v>
      </c>
      <c r="C985" s="11"/>
      <c r="D985" s="11"/>
      <c r="E985" s="11"/>
      <c r="F985" s="57"/>
      <c r="G985" s="53"/>
      <c r="H985" s="52" t="s">
        <v>504</v>
      </c>
      <c r="I985" s="51"/>
      <c r="J985" s="51"/>
      <c r="K985" s="225"/>
      <c r="L985" s="68"/>
      <c r="M985" s="51">
        <v>47000</v>
      </c>
      <c r="N985" s="51"/>
      <c r="O985" s="225">
        <f t="shared" si="117"/>
        <v>0</v>
      </c>
      <c r="P985" s="68"/>
      <c r="Q985" s="22">
        <f t="shared" si="118"/>
        <v>47000</v>
      </c>
      <c r="R985" s="22">
        <f t="shared" si="113"/>
        <v>0</v>
      </c>
      <c r="S985" s="244">
        <f t="shared" si="115"/>
        <v>0</v>
      </c>
    </row>
    <row r="986" spans="2:19" ht="15" x14ac:dyDescent="0.25">
      <c r="B986" s="67">
        <f t="shared" si="116"/>
        <v>225</v>
      </c>
      <c r="C986" s="14"/>
      <c r="D986" s="14"/>
      <c r="E986" s="14">
        <v>6</v>
      </c>
      <c r="F986" s="43"/>
      <c r="G986" s="14"/>
      <c r="H986" s="14" t="s">
        <v>81</v>
      </c>
      <c r="I986" s="40">
        <f>I987+I988+I989+I996+I997+I998+I999+I1006+I1009+I1007</f>
        <v>742310</v>
      </c>
      <c r="J986" s="40">
        <f>J987+J988+J989+J996+J997+J998+J999+J1006+J1009+J1007</f>
        <v>248595</v>
      </c>
      <c r="K986" s="225">
        <f t="shared" si="114"/>
        <v>33.489377753229782</v>
      </c>
      <c r="L986" s="175"/>
      <c r="M986" s="40">
        <f>M987+M988+M989+M996+M997+M998+M999+M1006</f>
        <v>0</v>
      </c>
      <c r="N986" s="40">
        <f>N987+N988+N989+N996+N997+N998+N999+N1006</f>
        <v>0</v>
      </c>
      <c r="O986" s="225"/>
      <c r="P986" s="175"/>
      <c r="Q986" s="40">
        <f t="shared" si="118"/>
        <v>742310</v>
      </c>
      <c r="R986" s="40">
        <f t="shared" si="113"/>
        <v>248595</v>
      </c>
      <c r="S986" s="244">
        <f t="shared" si="115"/>
        <v>33.489377753229782</v>
      </c>
    </row>
    <row r="987" spans="2:19" x14ac:dyDescent="0.2">
      <c r="B987" s="67">
        <f t="shared" si="116"/>
        <v>226</v>
      </c>
      <c r="C987" s="11"/>
      <c r="D987" s="11"/>
      <c r="E987" s="11"/>
      <c r="F987" s="45" t="s">
        <v>125</v>
      </c>
      <c r="G987" s="11">
        <v>610</v>
      </c>
      <c r="H987" s="11" t="s">
        <v>135</v>
      </c>
      <c r="I987" s="42">
        <v>201972</v>
      </c>
      <c r="J987" s="42">
        <v>75407</v>
      </c>
      <c r="K987" s="225">
        <f t="shared" si="114"/>
        <v>37.335373220050307</v>
      </c>
      <c r="L987" s="114"/>
      <c r="M987" s="42"/>
      <c r="N987" s="42"/>
      <c r="O987" s="225"/>
      <c r="P987" s="114"/>
      <c r="Q987" s="42">
        <f t="shared" si="118"/>
        <v>201972</v>
      </c>
      <c r="R987" s="42">
        <f t="shared" si="113"/>
        <v>75407</v>
      </c>
      <c r="S987" s="244">
        <f t="shared" si="115"/>
        <v>37.335373220050307</v>
      </c>
    </row>
    <row r="988" spans="2:19" x14ac:dyDescent="0.2">
      <c r="B988" s="67">
        <f t="shared" si="116"/>
        <v>227</v>
      </c>
      <c r="C988" s="11"/>
      <c r="D988" s="11"/>
      <c r="E988" s="11"/>
      <c r="F988" s="45" t="s">
        <v>125</v>
      </c>
      <c r="G988" s="11">
        <v>620</v>
      </c>
      <c r="H988" s="11" t="s">
        <v>130</v>
      </c>
      <c r="I988" s="42">
        <v>67964</v>
      </c>
      <c r="J988" s="42">
        <v>26035</v>
      </c>
      <c r="K988" s="225">
        <f t="shared" si="114"/>
        <v>38.307044906126777</v>
      </c>
      <c r="L988" s="114"/>
      <c r="M988" s="42"/>
      <c r="N988" s="42"/>
      <c r="O988" s="225"/>
      <c r="P988" s="114"/>
      <c r="Q988" s="42">
        <f t="shared" si="118"/>
        <v>67964</v>
      </c>
      <c r="R988" s="42">
        <f t="shared" si="113"/>
        <v>26035</v>
      </c>
      <c r="S988" s="244">
        <f t="shared" si="115"/>
        <v>38.307044906126777</v>
      </c>
    </row>
    <row r="989" spans="2:19" x14ac:dyDescent="0.2">
      <c r="B989" s="67">
        <f t="shared" si="116"/>
        <v>228</v>
      </c>
      <c r="C989" s="11"/>
      <c r="D989" s="11"/>
      <c r="E989" s="11"/>
      <c r="F989" s="45" t="s">
        <v>125</v>
      </c>
      <c r="G989" s="11">
        <v>630</v>
      </c>
      <c r="H989" s="11" t="s">
        <v>127</v>
      </c>
      <c r="I989" s="42">
        <f>I995+I994+I992+I991+I990+I993</f>
        <v>62088</v>
      </c>
      <c r="J989" s="42">
        <f>J995+J994+J992+J991+J990+J993</f>
        <v>13223</v>
      </c>
      <c r="K989" s="225">
        <f t="shared" si="114"/>
        <v>21.297191083623243</v>
      </c>
      <c r="L989" s="114"/>
      <c r="M989" s="42">
        <v>0</v>
      </c>
      <c r="N989" s="42"/>
      <c r="O989" s="225"/>
      <c r="P989" s="114"/>
      <c r="Q989" s="42">
        <f t="shared" si="118"/>
        <v>62088</v>
      </c>
      <c r="R989" s="42">
        <f t="shared" si="113"/>
        <v>13223</v>
      </c>
      <c r="S989" s="244">
        <f t="shared" si="115"/>
        <v>21.297191083623243</v>
      </c>
    </row>
    <row r="990" spans="2:19" x14ac:dyDescent="0.2">
      <c r="B990" s="67">
        <f t="shared" si="116"/>
        <v>229</v>
      </c>
      <c r="C990" s="2"/>
      <c r="D990" s="2"/>
      <c r="E990" s="2"/>
      <c r="F990" s="46" t="s">
        <v>125</v>
      </c>
      <c r="G990" s="2">
        <v>631</v>
      </c>
      <c r="H990" s="2" t="s">
        <v>133</v>
      </c>
      <c r="I990" s="22">
        <v>224</v>
      </c>
      <c r="J990" s="22">
        <v>0</v>
      </c>
      <c r="K990" s="225">
        <f t="shared" si="114"/>
        <v>0</v>
      </c>
      <c r="L990" s="68"/>
      <c r="M990" s="22"/>
      <c r="N990" s="22"/>
      <c r="O990" s="225"/>
      <c r="P990" s="68"/>
      <c r="Q990" s="22">
        <f t="shared" si="118"/>
        <v>224</v>
      </c>
      <c r="R990" s="22">
        <f t="shared" si="113"/>
        <v>0</v>
      </c>
      <c r="S990" s="244">
        <f t="shared" si="115"/>
        <v>0</v>
      </c>
    </row>
    <row r="991" spans="2:19" x14ac:dyDescent="0.2">
      <c r="B991" s="67">
        <f t="shared" si="116"/>
        <v>230</v>
      </c>
      <c r="C991" s="2"/>
      <c r="D991" s="2"/>
      <c r="E991" s="2"/>
      <c r="F991" s="46" t="s">
        <v>125</v>
      </c>
      <c r="G991" s="2">
        <v>632</v>
      </c>
      <c r="H991" s="2" t="s">
        <v>138</v>
      </c>
      <c r="I991" s="22">
        <v>36587</v>
      </c>
      <c r="J991" s="22">
        <v>3030</v>
      </c>
      <c r="K991" s="225">
        <f t="shared" si="114"/>
        <v>8.2816300871894377</v>
      </c>
      <c r="L991" s="68"/>
      <c r="M991" s="22"/>
      <c r="N991" s="22"/>
      <c r="O991" s="225"/>
      <c r="P991" s="68"/>
      <c r="Q991" s="22">
        <f t="shared" si="118"/>
        <v>36587</v>
      </c>
      <c r="R991" s="22">
        <f t="shared" si="113"/>
        <v>3030</v>
      </c>
      <c r="S991" s="244">
        <f t="shared" si="115"/>
        <v>8.2816300871894377</v>
      </c>
    </row>
    <row r="992" spans="2:19" x14ac:dyDescent="0.2">
      <c r="B992" s="67">
        <f t="shared" si="116"/>
        <v>231</v>
      </c>
      <c r="C992" s="2"/>
      <c r="D992" s="2"/>
      <c r="E992" s="2"/>
      <c r="F992" s="46" t="s">
        <v>125</v>
      </c>
      <c r="G992" s="2">
        <v>633</v>
      </c>
      <c r="H992" s="2" t="s">
        <v>131</v>
      </c>
      <c r="I992" s="22">
        <v>9552</v>
      </c>
      <c r="J992" s="51">
        <v>1336</v>
      </c>
      <c r="K992" s="225">
        <f t="shared" si="114"/>
        <v>13.986599664991624</v>
      </c>
      <c r="L992" s="68"/>
      <c r="M992" s="22"/>
      <c r="N992" s="22"/>
      <c r="O992" s="225"/>
      <c r="P992" s="68"/>
      <c r="Q992" s="22">
        <f t="shared" si="118"/>
        <v>9552</v>
      </c>
      <c r="R992" s="22">
        <f t="shared" si="113"/>
        <v>1336</v>
      </c>
      <c r="S992" s="244">
        <f t="shared" si="115"/>
        <v>13.986599664991624</v>
      </c>
    </row>
    <row r="993" spans="2:19" x14ac:dyDescent="0.2">
      <c r="B993" s="67">
        <f t="shared" si="116"/>
        <v>232</v>
      </c>
      <c r="C993" s="2"/>
      <c r="D993" s="2"/>
      <c r="E993" s="2"/>
      <c r="F993" s="46" t="s">
        <v>125</v>
      </c>
      <c r="G993" s="2">
        <v>634</v>
      </c>
      <c r="H993" s="2" t="s">
        <v>705</v>
      </c>
      <c r="I993" s="22">
        <v>0</v>
      </c>
      <c r="J993" s="51">
        <v>987</v>
      </c>
      <c r="K993" s="225">
        <v>0</v>
      </c>
      <c r="L993" s="68"/>
      <c r="M993" s="22"/>
      <c r="N993" s="22"/>
      <c r="O993" s="225"/>
      <c r="P993" s="68"/>
      <c r="Q993" s="22">
        <f t="shared" si="118"/>
        <v>0</v>
      </c>
      <c r="R993" s="22">
        <f t="shared" si="113"/>
        <v>987</v>
      </c>
      <c r="S993" s="244">
        <v>0</v>
      </c>
    </row>
    <row r="994" spans="2:19" x14ac:dyDescent="0.2">
      <c r="B994" s="67">
        <f t="shared" si="116"/>
        <v>233</v>
      </c>
      <c r="C994" s="2"/>
      <c r="D994" s="2"/>
      <c r="E994" s="2"/>
      <c r="F994" s="46" t="s">
        <v>125</v>
      </c>
      <c r="G994" s="2">
        <v>635</v>
      </c>
      <c r="H994" s="2" t="s">
        <v>137</v>
      </c>
      <c r="I994" s="22">
        <v>5598</v>
      </c>
      <c r="J994" s="51">
        <v>0</v>
      </c>
      <c r="K994" s="225">
        <f t="shared" si="114"/>
        <v>0</v>
      </c>
      <c r="L994" s="68"/>
      <c r="M994" s="22"/>
      <c r="N994" s="22"/>
      <c r="O994" s="225"/>
      <c r="P994" s="68"/>
      <c r="Q994" s="22">
        <f t="shared" si="118"/>
        <v>5598</v>
      </c>
      <c r="R994" s="22">
        <f t="shared" si="113"/>
        <v>0</v>
      </c>
      <c r="S994" s="244">
        <f t="shared" si="115"/>
        <v>0</v>
      </c>
    </row>
    <row r="995" spans="2:19" x14ac:dyDescent="0.2">
      <c r="B995" s="67">
        <f t="shared" si="116"/>
        <v>234</v>
      </c>
      <c r="C995" s="2"/>
      <c r="D995" s="2"/>
      <c r="E995" s="2"/>
      <c r="F995" s="46" t="s">
        <v>125</v>
      </c>
      <c r="G995" s="2">
        <v>637</v>
      </c>
      <c r="H995" s="2" t="s">
        <v>128</v>
      </c>
      <c r="I995" s="22">
        <v>10127</v>
      </c>
      <c r="J995" s="51">
        <v>7870</v>
      </c>
      <c r="K995" s="225">
        <f t="shared" si="114"/>
        <v>77.713044336921101</v>
      </c>
      <c r="L995" s="68"/>
      <c r="M995" s="22"/>
      <c r="N995" s="22"/>
      <c r="O995" s="225"/>
      <c r="P995" s="68"/>
      <c r="Q995" s="22">
        <f t="shared" si="118"/>
        <v>10127</v>
      </c>
      <c r="R995" s="22">
        <f t="shared" si="113"/>
        <v>7870</v>
      </c>
      <c r="S995" s="244">
        <f t="shared" si="115"/>
        <v>77.713044336921101</v>
      </c>
    </row>
    <row r="996" spans="2:19" x14ac:dyDescent="0.2">
      <c r="B996" s="67">
        <f t="shared" si="116"/>
        <v>235</v>
      </c>
      <c r="C996" s="11"/>
      <c r="D996" s="11"/>
      <c r="E996" s="11"/>
      <c r="F996" s="45" t="s">
        <v>125</v>
      </c>
      <c r="G996" s="11">
        <v>640</v>
      </c>
      <c r="H996" s="11" t="s">
        <v>134</v>
      </c>
      <c r="I996" s="42">
        <v>121</v>
      </c>
      <c r="J996" s="42">
        <v>530</v>
      </c>
      <c r="K996" s="225">
        <f t="shared" si="114"/>
        <v>438.01652892561987</v>
      </c>
      <c r="L996" s="114"/>
      <c r="M996" s="42"/>
      <c r="N996" s="42"/>
      <c r="O996" s="225"/>
      <c r="P996" s="114"/>
      <c r="Q996" s="42">
        <f t="shared" si="118"/>
        <v>121</v>
      </c>
      <c r="R996" s="42">
        <f t="shared" si="113"/>
        <v>530</v>
      </c>
      <c r="S996" s="244">
        <f t="shared" si="115"/>
        <v>438.01652892561987</v>
      </c>
    </row>
    <row r="997" spans="2:19" x14ac:dyDescent="0.2">
      <c r="B997" s="67">
        <f t="shared" si="116"/>
        <v>236</v>
      </c>
      <c r="C997" s="11"/>
      <c r="D997" s="11"/>
      <c r="E997" s="11"/>
      <c r="F997" s="45" t="s">
        <v>268</v>
      </c>
      <c r="G997" s="11">
        <v>610</v>
      </c>
      <c r="H997" s="11" t="s">
        <v>135</v>
      </c>
      <c r="I997" s="42">
        <v>250723</v>
      </c>
      <c r="J997" s="42">
        <v>82942</v>
      </c>
      <c r="K997" s="225">
        <f t="shared" si="114"/>
        <v>33.081129373850828</v>
      </c>
      <c r="L997" s="114"/>
      <c r="M997" s="42"/>
      <c r="N997" s="42"/>
      <c r="O997" s="225"/>
      <c r="P997" s="114"/>
      <c r="Q997" s="42">
        <f t="shared" si="118"/>
        <v>250723</v>
      </c>
      <c r="R997" s="42">
        <f t="shared" si="113"/>
        <v>82942</v>
      </c>
      <c r="S997" s="244">
        <f t="shared" si="115"/>
        <v>33.081129373850828</v>
      </c>
    </row>
    <row r="998" spans="2:19" x14ac:dyDescent="0.2">
      <c r="B998" s="67">
        <f t="shared" si="116"/>
        <v>237</v>
      </c>
      <c r="C998" s="11"/>
      <c r="D998" s="11"/>
      <c r="E998" s="11"/>
      <c r="F998" s="45" t="s">
        <v>268</v>
      </c>
      <c r="G998" s="11">
        <v>620</v>
      </c>
      <c r="H998" s="11" t="s">
        <v>130</v>
      </c>
      <c r="I998" s="42">
        <v>84423</v>
      </c>
      <c r="J998" s="42">
        <v>27668</v>
      </c>
      <c r="K998" s="225">
        <f t="shared" si="114"/>
        <v>32.773059474313868</v>
      </c>
      <c r="L998" s="114"/>
      <c r="M998" s="42"/>
      <c r="N998" s="42"/>
      <c r="O998" s="225"/>
      <c r="P998" s="114"/>
      <c r="Q998" s="42">
        <f t="shared" si="118"/>
        <v>84423</v>
      </c>
      <c r="R998" s="42">
        <f t="shared" si="113"/>
        <v>27668</v>
      </c>
      <c r="S998" s="244">
        <f t="shared" si="115"/>
        <v>32.773059474313868</v>
      </c>
    </row>
    <row r="999" spans="2:19" x14ac:dyDescent="0.2">
      <c r="B999" s="67">
        <f t="shared" si="116"/>
        <v>238</v>
      </c>
      <c r="C999" s="11"/>
      <c r="D999" s="11"/>
      <c r="E999" s="11"/>
      <c r="F999" s="45" t="s">
        <v>268</v>
      </c>
      <c r="G999" s="11">
        <v>630</v>
      </c>
      <c r="H999" s="11" t="s">
        <v>127</v>
      </c>
      <c r="I999" s="42">
        <f>I1005+I1004+I1002+I1001+I1000+I1003</f>
        <v>66277</v>
      </c>
      <c r="J999" s="42">
        <f>J1005+J1004+J1002+J1001+J1000+J1003</f>
        <v>13778</v>
      </c>
      <c r="K999" s="225">
        <f t="shared" si="114"/>
        <v>20.78850883413552</v>
      </c>
      <c r="L999" s="114"/>
      <c r="M999" s="42">
        <f>M1005+M1004+M1002+M1001+M1000</f>
        <v>0</v>
      </c>
      <c r="N999" s="42">
        <f>N1005+N1004+N1002+N1001+N1000</f>
        <v>0</v>
      </c>
      <c r="O999" s="225"/>
      <c r="P999" s="114"/>
      <c r="Q999" s="42">
        <f t="shared" si="118"/>
        <v>66277</v>
      </c>
      <c r="R999" s="42">
        <f t="shared" si="113"/>
        <v>13778</v>
      </c>
      <c r="S999" s="244">
        <f t="shared" si="115"/>
        <v>20.78850883413552</v>
      </c>
    </row>
    <row r="1000" spans="2:19" x14ac:dyDescent="0.2">
      <c r="B1000" s="67">
        <f t="shared" si="116"/>
        <v>239</v>
      </c>
      <c r="C1000" s="2"/>
      <c r="D1000" s="2"/>
      <c r="E1000" s="2"/>
      <c r="F1000" s="46" t="s">
        <v>268</v>
      </c>
      <c r="G1000" s="2">
        <v>631</v>
      </c>
      <c r="H1000" s="2" t="s">
        <v>133</v>
      </c>
      <c r="I1000" s="22">
        <v>184</v>
      </c>
      <c r="J1000" s="51">
        <v>0</v>
      </c>
      <c r="K1000" s="225">
        <f t="shared" si="114"/>
        <v>0</v>
      </c>
      <c r="L1000" s="68"/>
      <c r="M1000" s="22"/>
      <c r="N1000" s="22"/>
      <c r="O1000" s="225"/>
      <c r="P1000" s="68"/>
      <c r="Q1000" s="22">
        <f t="shared" si="118"/>
        <v>184</v>
      </c>
      <c r="R1000" s="22">
        <f t="shared" si="113"/>
        <v>0</v>
      </c>
      <c r="S1000" s="244">
        <f t="shared" si="115"/>
        <v>0</v>
      </c>
    </row>
    <row r="1001" spans="2:19" x14ac:dyDescent="0.2">
      <c r="B1001" s="67">
        <f t="shared" si="116"/>
        <v>240</v>
      </c>
      <c r="C1001" s="2"/>
      <c r="D1001" s="2"/>
      <c r="E1001" s="2"/>
      <c r="F1001" s="46" t="s">
        <v>268</v>
      </c>
      <c r="G1001" s="2">
        <v>632</v>
      </c>
      <c r="H1001" s="2" t="s">
        <v>138</v>
      </c>
      <c r="I1001" s="22">
        <v>30862</v>
      </c>
      <c r="J1001" s="51">
        <v>2479</v>
      </c>
      <c r="K1001" s="225">
        <f t="shared" si="114"/>
        <v>8.032531916272438</v>
      </c>
      <c r="L1001" s="68"/>
      <c r="M1001" s="22"/>
      <c r="N1001" s="22"/>
      <c r="O1001" s="225"/>
      <c r="P1001" s="68"/>
      <c r="Q1001" s="22">
        <f t="shared" si="118"/>
        <v>30862</v>
      </c>
      <c r="R1001" s="22">
        <f t="shared" si="113"/>
        <v>2479</v>
      </c>
      <c r="S1001" s="244">
        <f t="shared" si="115"/>
        <v>8.032531916272438</v>
      </c>
    </row>
    <row r="1002" spans="2:19" x14ac:dyDescent="0.2">
      <c r="B1002" s="67">
        <f t="shared" si="116"/>
        <v>241</v>
      </c>
      <c r="C1002" s="2"/>
      <c r="D1002" s="2"/>
      <c r="E1002" s="2"/>
      <c r="F1002" s="46" t="s">
        <v>268</v>
      </c>
      <c r="G1002" s="2">
        <v>633</v>
      </c>
      <c r="H1002" s="2" t="s">
        <v>131</v>
      </c>
      <c r="I1002" s="22">
        <v>15241</v>
      </c>
      <c r="J1002" s="51">
        <v>1774</v>
      </c>
      <c r="K1002" s="225">
        <f t="shared" si="114"/>
        <v>11.639656190538679</v>
      </c>
      <c r="L1002" s="68"/>
      <c r="M1002" s="22"/>
      <c r="N1002" s="22"/>
      <c r="O1002" s="225"/>
      <c r="P1002" s="68"/>
      <c r="Q1002" s="22">
        <f t="shared" si="118"/>
        <v>15241</v>
      </c>
      <c r="R1002" s="22">
        <f t="shared" si="113"/>
        <v>1774</v>
      </c>
      <c r="S1002" s="244">
        <f t="shared" si="115"/>
        <v>11.639656190538679</v>
      </c>
    </row>
    <row r="1003" spans="2:19" x14ac:dyDescent="0.2">
      <c r="B1003" s="67">
        <f t="shared" si="116"/>
        <v>242</v>
      </c>
      <c r="C1003" s="2"/>
      <c r="D1003" s="2"/>
      <c r="E1003" s="2"/>
      <c r="F1003" s="46" t="s">
        <v>268</v>
      </c>
      <c r="G1003" s="2">
        <v>634</v>
      </c>
      <c r="H1003" s="2" t="s">
        <v>136</v>
      </c>
      <c r="I1003" s="22">
        <v>2337</v>
      </c>
      <c r="J1003" s="51">
        <v>2337</v>
      </c>
      <c r="K1003" s="225">
        <f t="shared" si="114"/>
        <v>100</v>
      </c>
      <c r="L1003" s="68"/>
      <c r="M1003" s="22"/>
      <c r="N1003" s="22"/>
      <c r="O1003" s="225"/>
      <c r="P1003" s="68"/>
      <c r="Q1003" s="22">
        <f t="shared" si="118"/>
        <v>2337</v>
      </c>
      <c r="R1003" s="22">
        <f t="shared" si="113"/>
        <v>2337</v>
      </c>
      <c r="S1003" s="244">
        <f t="shared" si="115"/>
        <v>100</v>
      </c>
    </row>
    <row r="1004" spans="2:19" x14ac:dyDescent="0.2">
      <c r="B1004" s="67">
        <f t="shared" si="116"/>
        <v>243</v>
      </c>
      <c r="C1004" s="2"/>
      <c r="D1004" s="2"/>
      <c r="E1004" s="2"/>
      <c r="F1004" s="46" t="s">
        <v>268</v>
      </c>
      <c r="G1004" s="2">
        <v>635</v>
      </c>
      <c r="H1004" s="2" t="s">
        <v>137</v>
      </c>
      <c r="I1004" s="22">
        <v>4386</v>
      </c>
      <c r="J1004" s="51">
        <v>0</v>
      </c>
      <c r="K1004" s="225">
        <f t="shared" si="114"/>
        <v>0</v>
      </c>
      <c r="L1004" s="68"/>
      <c r="M1004" s="22"/>
      <c r="N1004" s="22"/>
      <c r="O1004" s="225"/>
      <c r="P1004" s="68"/>
      <c r="Q1004" s="22">
        <f t="shared" si="118"/>
        <v>4386</v>
      </c>
      <c r="R1004" s="22">
        <f t="shared" si="113"/>
        <v>0</v>
      </c>
      <c r="S1004" s="244">
        <f t="shared" si="115"/>
        <v>0</v>
      </c>
    </row>
    <row r="1005" spans="2:19" x14ac:dyDescent="0.2">
      <c r="B1005" s="67">
        <f t="shared" si="116"/>
        <v>244</v>
      </c>
      <c r="C1005" s="2"/>
      <c r="D1005" s="2"/>
      <c r="E1005" s="2"/>
      <c r="F1005" s="46" t="s">
        <v>268</v>
      </c>
      <c r="G1005" s="2">
        <v>637</v>
      </c>
      <c r="H1005" s="2" t="s">
        <v>128</v>
      </c>
      <c r="I1005" s="22">
        <f>9604+3663</f>
        <v>13267</v>
      </c>
      <c r="J1005" s="51">
        <v>7188</v>
      </c>
      <c r="K1005" s="225">
        <f t="shared" si="114"/>
        <v>54.17954322755709</v>
      </c>
      <c r="L1005" s="68"/>
      <c r="M1005" s="22"/>
      <c r="N1005" s="22"/>
      <c r="O1005" s="225"/>
      <c r="P1005" s="68"/>
      <c r="Q1005" s="22">
        <f t="shared" si="118"/>
        <v>13267</v>
      </c>
      <c r="R1005" s="22">
        <f t="shared" si="113"/>
        <v>7188</v>
      </c>
      <c r="S1005" s="244">
        <f t="shared" si="115"/>
        <v>54.17954322755709</v>
      </c>
    </row>
    <row r="1006" spans="2:19" x14ac:dyDescent="0.2">
      <c r="B1006" s="67">
        <f t="shared" si="116"/>
        <v>245</v>
      </c>
      <c r="C1006" s="11"/>
      <c r="D1006" s="11"/>
      <c r="E1006" s="11"/>
      <c r="F1006" s="45" t="s">
        <v>268</v>
      </c>
      <c r="G1006" s="11">
        <v>640</v>
      </c>
      <c r="H1006" s="11" t="s">
        <v>134</v>
      </c>
      <c r="I1006" s="42">
        <v>147</v>
      </c>
      <c r="J1006" s="42">
        <v>417</v>
      </c>
      <c r="K1006" s="225">
        <f t="shared" si="114"/>
        <v>283.67346938775506</v>
      </c>
      <c r="L1006" s="114"/>
      <c r="M1006" s="42"/>
      <c r="N1006" s="42"/>
      <c r="O1006" s="225"/>
      <c r="P1006" s="114"/>
      <c r="Q1006" s="42">
        <f t="shared" si="118"/>
        <v>147</v>
      </c>
      <c r="R1006" s="42">
        <f t="shared" si="113"/>
        <v>417</v>
      </c>
      <c r="S1006" s="244">
        <f t="shared" si="115"/>
        <v>283.67346938775506</v>
      </c>
    </row>
    <row r="1007" spans="2:19" x14ac:dyDescent="0.2">
      <c r="B1007" s="67">
        <f t="shared" si="116"/>
        <v>246</v>
      </c>
      <c r="C1007" s="11"/>
      <c r="D1007" s="11"/>
      <c r="E1007" s="11"/>
      <c r="F1007" s="45" t="s">
        <v>75</v>
      </c>
      <c r="G1007" s="11">
        <v>630</v>
      </c>
      <c r="H1007" s="11" t="s">
        <v>660</v>
      </c>
      <c r="I1007" s="42">
        <v>19</v>
      </c>
      <c r="J1007" s="42">
        <v>19</v>
      </c>
      <c r="K1007" s="225">
        <f t="shared" si="114"/>
        <v>100</v>
      </c>
      <c r="L1007" s="114"/>
      <c r="M1007" s="42"/>
      <c r="N1007" s="42"/>
      <c r="O1007" s="225"/>
      <c r="P1007" s="114"/>
      <c r="Q1007" s="42">
        <f t="shared" si="118"/>
        <v>19</v>
      </c>
      <c r="R1007" s="42">
        <f t="shared" si="113"/>
        <v>19</v>
      </c>
      <c r="S1007" s="244">
        <f t="shared" si="115"/>
        <v>100</v>
      </c>
    </row>
    <row r="1008" spans="2:19" x14ac:dyDescent="0.2">
      <c r="B1008" s="67">
        <f t="shared" si="116"/>
        <v>247</v>
      </c>
      <c r="C1008" s="11"/>
      <c r="D1008" s="11"/>
      <c r="E1008" s="11"/>
      <c r="F1008" s="45"/>
      <c r="G1008" s="11"/>
      <c r="H1008" s="11"/>
      <c r="I1008" s="42"/>
      <c r="J1008" s="42"/>
      <c r="K1008" s="225"/>
      <c r="L1008" s="114"/>
      <c r="M1008" s="42"/>
      <c r="N1008" s="42"/>
      <c r="O1008" s="225"/>
      <c r="P1008" s="114"/>
      <c r="Q1008" s="42"/>
      <c r="R1008" s="42"/>
      <c r="S1008" s="244"/>
    </row>
    <row r="1009" spans="2:19" x14ac:dyDescent="0.2">
      <c r="B1009" s="67">
        <f t="shared" si="116"/>
        <v>248</v>
      </c>
      <c r="C1009" s="11"/>
      <c r="D1009" s="11"/>
      <c r="E1009" s="11"/>
      <c r="F1009" s="45"/>
      <c r="G1009" s="11">
        <v>630</v>
      </c>
      <c r="H1009" s="11" t="s">
        <v>610</v>
      </c>
      <c r="I1009" s="42">
        <v>8576</v>
      </c>
      <c r="J1009" s="42">
        <v>8576</v>
      </c>
      <c r="K1009" s="225">
        <f t="shared" si="114"/>
        <v>100</v>
      </c>
      <c r="L1009" s="114"/>
      <c r="M1009" s="42"/>
      <c r="N1009" s="42"/>
      <c r="O1009" s="225"/>
      <c r="P1009" s="114"/>
      <c r="Q1009" s="42">
        <f t="shared" si="118"/>
        <v>8576</v>
      </c>
      <c r="R1009" s="42">
        <f t="shared" ref="R1009:R1029" si="122">N1009+J1009</f>
        <v>8576</v>
      </c>
      <c r="S1009" s="244">
        <f t="shared" si="115"/>
        <v>100</v>
      </c>
    </row>
    <row r="1010" spans="2:19" ht="15" x14ac:dyDescent="0.25">
      <c r="B1010" s="67">
        <f t="shared" si="116"/>
        <v>249</v>
      </c>
      <c r="C1010" s="14"/>
      <c r="D1010" s="14"/>
      <c r="E1010" s="14">
        <v>7</v>
      </c>
      <c r="F1010" s="43"/>
      <c r="G1010" s="14"/>
      <c r="H1010" s="14" t="s">
        <v>316</v>
      </c>
      <c r="I1010" s="40">
        <f>I1011+I1012+I1013+I1019+I1020+I1021+I1022+I1028+I1033+I1031+I1029</f>
        <v>1033559</v>
      </c>
      <c r="J1010" s="40">
        <f>J1011+J1012+J1013+J1019+J1020+J1021+J1022+J1028+J1029+J1031</f>
        <v>395236</v>
      </c>
      <c r="K1010" s="225">
        <f t="shared" si="114"/>
        <v>38.240293974509434</v>
      </c>
      <c r="L1010" s="175"/>
      <c r="M1010" s="40">
        <f>M1011+M1012+M1013+M1019+M1020+M1021+M1022+M1028+M1033+M1036</f>
        <v>18000</v>
      </c>
      <c r="N1010" s="40">
        <f>N1011+N1012+N1013+N1019+N1020+N1021+N1022+N1028+N1033+N1036</f>
        <v>1000</v>
      </c>
      <c r="O1010" s="225">
        <f t="shared" si="117"/>
        <v>5.5555555555555554</v>
      </c>
      <c r="P1010" s="175"/>
      <c r="Q1010" s="40">
        <f t="shared" si="118"/>
        <v>1051559</v>
      </c>
      <c r="R1010" s="40">
        <f t="shared" si="122"/>
        <v>396236</v>
      </c>
      <c r="S1010" s="244">
        <f t="shared" si="115"/>
        <v>37.680814866308026</v>
      </c>
    </row>
    <row r="1011" spans="2:19" x14ac:dyDescent="0.2">
      <c r="B1011" s="67">
        <f t="shared" si="116"/>
        <v>250</v>
      </c>
      <c r="C1011" s="11"/>
      <c r="D1011" s="11"/>
      <c r="E1011" s="11"/>
      <c r="F1011" s="45" t="s">
        <v>125</v>
      </c>
      <c r="G1011" s="11">
        <v>610</v>
      </c>
      <c r="H1011" s="11" t="s">
        <v>135</v>
      </c>
      <c r="I1011" s="42">
        <v>240508</v>
      </c>
      <c r="J1011" s="42">
        <v>89364</v>
      </c>
      <c r="K1011" s="225">
        <f t="shared" si="114"/>
        <v>37.156352387446574</v>
      </c>
      <c r="L1011" s="114"/>
      <c r="M1011" s="42"/>
      <c r="N1011" s="42"/>
      <c r="O1011" s="225"/>
      <c r="P1011" s="114"/>
      <c r="Q1011" s="42">
        <f t="shared" si="118"/>
        <v>240508</v>
      </c>
      <c r="R1011" s="42">
        <f t="shared" si="122"/>
        <v>89364</v>
      </c>
      <c r="S1011" s="244">
        <f t="shared" si="115"/>
        <v>37.156352387446574</v>
      </c>
    </row>
    <row r="1012" spans="2:19" x14ac:dyDescent="0.2">
      <c r="B1012" s="67">
        <f t="shared" si="116"/>
        <v>251</v>
      </c>
      <c r="C1012" s="11"/>
      <c r="D1012" s="11"/>
      <c r="E1012" s="11"/>
      <c r="F1012" s="45" t="s">
        <v>125</v>
      </c>
      <c r="G1012" s="11">
        <v>620</v>
      </c>
      <c r="H1012" s="11" t="s">
        <v>130</v>
      </c>
      <c r="I1012" s="42">
        <v>84658</v>
      </c>
      <c r="J1012" s="42">
        <v>32426</v>
      </c>
      <c r="K1012" s="225">
        <f t="shared" si="114"/>
        <v>38.302345909423799</v>
      </c>
      <c r="L1012" s="114"/>
      <c r="M1012" s="42"/>
      <c r="N1012" s="42"/>
      <c r="O1012" s="225"/>
      <c r="P1012" s="114"/>
      <c r="Q1012" s="42">
        <f t="shared" si="118"/>
        <v>84658</v>
      </c>
      <c r="R1012" s="42">
        <f t="shared" si="122"/>
        <v>32426</v>
      </c>
      <c r="S1012" s="244">
        <f t="shared" si="115"/>
        <v>38.302345909423799</v>
      </c>
    </row>
    <row r="1013" spans="2:19" x14ac:dyDescent="0.2">
      <c r="B1013" s="67">
        <f t="shared" si="116"/>
        <v>252</v>
      </c>
      <c r="C1013" s="11"/>
      <c r="D1013" s="11"/>
      <c r="E1013" s="11"/>
      <c r="F1013" s="45" t="s">
        <v>125</v>
      </c>
      <c r="G1013" s="11">
        <v>630</v>
      </c>
      <c r="H1013" s="11" t="s">
        <v>127</v>
      </c>
      <c r="I1013" s="42">
        <f>I1018+I1017+I1016+I1015+I1014</f>
        <v>72307</v>
      </c>
      <c r="J1013" s="42">
        <f>J1018+J1017+J1016+J1015+J1014</f>
        <v>26948</v>
      </c>
      <c r="K1013" s="225">
        <f t="shared" si="114"/>
        <v>37.268867467880014</v>
      </c>
      <c r="L1013" s="114"/>
      <c r="M1013" s="42">
        <v>0</v>
      </c>
      <c r="N1013" s="42"/>
      <c r="O1013" s="225"/>
      <c r="P1013" s="114"/>
      <c r="Q1013" s="42">
        <f t="shared" si="118"/>
        <v>72307</v>
      </c>
      <c r="R1013" s="42">
        <f t="shared" si="122"/>
        <v>26948</v>
      </c>
      <c r="S1013" s="244">
        <f t="shared" si="115"/>
        <v>37.268867467880014</v>
      </c>
    </row>
    <row r="1014" spans="2:19" x14ac:dyDescent="0.2">
      <c r="B1014" s="67">
        <f t="shared" si="116"/>
        <v>253</v>
      </c>
      <c r="C1014" s="2"/>
      <c r="D1014" s="2"/>
      <c r="E1014" s="2"/>
      <c r="F1014" s="46" t="s">
        <v>125</v>
      </c>
      <c r="G1014" s="2">
        <v>631</v>
      </c>
      <c r="H1014" s="2" t="s">
        <v>133</v>
      </c>
      <c r="I1014" s="22">
        <v>113</v>
      </c>
      <c r="J1014" s="22">
        <v>113</v>
      </c>
      <c r="K1014" s="225">
        <f t="shared" si="114"/>
        <v>100</v>
      </c>
      <c r="L1014" s="68"/>
      <c r="M1014" s="22"/>
      <c r="N1014" s="22"/>
      <c r="O1014" s="225"/>
      <c r="P1014" s="68"/>
      <c r="Q1014" s="22">
        <f t="shared" si="118"/>
        <v>113</v>
      </c>
      <c r="R1014" s="22">
        <f t="shared" si="122"/>
        <v>113</v>
      </c>
      <c r="S1014" s="244">
        <f t="shared" si="115"/>
        <v>100</v>
      </c>
    </row>
    <row r="1015" spans="2:19" x14ac:dyDescent="0.2">
      <c r="B1015" s="67">
        <f t="shared" si="116"/>
        <v>254</v>
      </c>
      <c r="C1015" s="2"/>
      <c r="D1015" s="2"/>
      <c r="E1015" s="2"/>
      <c r="F1015" s="46" t="s">
        <v>125</v>
      </c>
      <c r="G1015" s="2">
        <v>632</v>
      </c>
      <c r="H1015" s="2" t="s">
        <v>138</v>
      </c>
      <c r="I1015" s="22">
        <v>24300</v>
      </c>
      <c r="J1015" s="22">
        <v>13041</v>
      </c>
      <c r="K1015" s="225">
        <f t="shared" si="114"/>
        <v>53.666666666666664</v>
      </c>
      <c r="L1015" s="68"/>
      <c r="M1015" s="22"/>
      <c r="N1015" s="22"/>
      <c r="O1015" s="225"/>
      <c r="P1015" s="68"/>
      <c r="Q1015" s="22">
        <f t="shared" si="118"/>
        <v>24300</v>
      </c>
      <c r="R1015" s="22">
        <f t="shared" si="122"/>
        <v>13041</v>
      </c>
      <c r="S1015" s="244">
        <f t="shared" si="115"/>
        <v>53.666666666666664</v>
      </c>
    </row>
    <row r="1016" spans="2:19" x14ac:dyDescent="0.2">
      <c r="B1016" s="67">
        <f t="shared" si="116"/>
        <v>255</v>
      </c>
      <c r="C1016" s="2"/>
      <c r="D1016" s="2"/>
      <c r="E1016" s="2"/>
      <c r="F1016" s="46" t="s">
        <v>125</v>
      </c>
      <c r="G1016" s="2">
        <v>633</v>
      </c>
      <c r="H1016" s="2" t="s">
        <v>131</v>
      </c>
      <c r="I1016" s="22">
        <v>23414</v>
      </c>
      <c r="J1016" s="22">
        <v>3470</v>
      </c>
      <c r="K1016" s="225">
        <f t="shared" si="114"/>
        <v>14.820193046895019</v>
      </c>
      <c r="L1016" s="68"/>
      <c r="M1016" s="22"/>
      <c r="N1016" s="22"/>
      <c r="O1016" s="225"/>
      <c r="P1016" s="68"/>
      <c r="Q1016" s="22">
        <f t="shared" si="118"/>
        <v>23414</v>
      </c>
      <c r="R1016" s="22">
        <f t="shared" si="122"/>
        <v>3470</v>
      </c>
      <c r="S1016" s="244">
        <f t="shared" si="115"/>
        <v>14.820193046895019</v>
      </c>
    </row>
    <row r="1017" spans="2:19" x14ac:dyDescent="0.2">
      <c r="B1017" s="67">
        <f t="shared" si="116"/>
        <v>256</v>
      </c>
      <c r="C1017" s="2"/>
      <c r="D1017" s="2"/>
      <c r="E1017" s="2"/>
      <c r="F1017" s="46" t="s">
        <v>125</v>
      </c>
      <c r="G1017" s="2">
        <v>635</v>
      </c>
      <c r="H1017" s="2" t="s">
        <v>137</v>
      </c>
      <c r="I1017" s="22">
        <v>10350</v>
      </c>
      <c r="J1017" s="22">
        <v>3270</v>
      </c>
      <c r="K1017" s="225">
        <f t="shared" si="114"/>
        <v>31.594202898550726</v>
      </c>
      <c r="L1017" s="68"/>
      <c r="M1017" s="22"/>
      <c r="N1017" s="22"/>
      <c r="O1017" s="225"/>
      <c r="P1017" s="68"/>
      <c r="Q1017" s="22">
        <f t="shared" si="118"/>
        <v>10350</v>
      </c>
      <c r="R1017" s="22">
        <f t="shared" si="122"/>
        <v>3270</v>
      </c>
      <c r="S1017" s="244">
        <f t="shared" si="115"/>
        <v>31.594202898550726</v>
      </c>
    </row>
    <row r="1018" spans="2:19" x14ac:dyDescent="0.2">
      <c r="B1018" s="67">
        <f t="shared" si="116"/>
        <v>257</v>
      </c>
      <c r="C1018" s="2"/>
      <c r="D1018" s="2"/>
      <c r="E1018" s="2"/>
      <c r="F1018" s="46" t="s">
        <v>125</v>
      </c>
      <c r="G1018" s="2">
        <v>637</v>
      </c>
      <c r="H1018" s="2" t="s">
        <v>128</v>
      </c>
      <c r="I1018" s="22">
        <v>14130</v>
      </c>
      <c r="J1018" s="22">
        <v>7054</v>
      </c>
      <c r="K1018" s="225">
        <f t="shared" si="114"/>
        <v>49.922151450813871</v>
      </c>
      <c r="L1018" s="68"/>
      <c r="M1018" s="22"/>
      <c r="N1018" s="22"/>
      <c r="O1018" s="225"/>
      <c r="P1018" s="68"/>
      <c r="Q1018" s="22">
        <f t="shared" si="118"/>
        <v>14130</v>
      </c>
      <c r="R1018" s="22">
        <f t="shared" si="122"/>
        <v>7054</v>
      </c>
      <c r="S1018" s="244">
        <f t="shared" si="115"/>
        <v>49.922151450813871</v>
      </c>
    </row>
    <row r="1019" spans="2:19" x14ac:dyDescent="0.2">
      <c r="B1019" s="67">
        <f t="shared" si="116"/>
        <v>258</v>
      </c>
      <c r="C1019" s="11"/>
      <c r="D1019" s="11"/>
      <c r="E1019" s="11"/>
      <c r="F1019" s="45" t="s">
        <v>125</v>
      </c>
      <c r="G1019" s="11">
        <v>640</v>
      </c>
      <c r="H1019" s="11" t="s">
        <v>134</v>
      </c>
      <c r="I1019" s="42">
        <v>653</v>
      </c>
      <c r="J1019" s="42">
        <v>579</v>
      </c>
      <c r="K1019" s="225">
        <f t="shared" si="114"/>
        <v>88.667687595712096</v>
      </c>
      <c r="L1019" s="114"/>
      <c r="M1019" s="42"/>
      <c r="N1019" s="42"/>
      <c r="O1019" s="225"/>
      <c r="P1019" s="114"/>
      <c r="Q1019" s="42">
        <f t="shared" si="118"/>
        <v>653</v>
      </c>
      <c r="R1019" s="42">
        <f t="shared" si="122"/>
        <v>579</v>
      </c>
      <c r="S1019" s="244">
        <f t="shared" si="115"/>
        <v>88.667687595712096</v>
      </c>
    </row>
    <row r="1020" spans="2:19" x14ac:dyDescent="0.2">
      <c r="B1020" s="67">
        <f t="shared" si="116"/>
        <v>259</v>
      </c>
      <c r="C1020" s="11"/>
      <c r="D1020" s="11"/>
      <c r="E1020" s="11"/>
      <c r="F1020" s="45" t="s">
        <v>268</v>
      </c>
      <c r="G1020" s="11">
        <v>610</v>
      </c>
      <c r="H1020" s="11" t="s">
        <v>135</v>
      </c>
      <c r="I1020" s="42">
        <v>384940</v>
      </c>
      <c r="J1020" s="42">
        <v>143135</v>
      </c>
      <c r="K1020" s="225">
        <f t="shared" si="114"/>
        <v>37.18371694290019</v>
      </c>
      <c r="L1020" s="114"/>
      <c r="M1020" s="42"/>
      <c r="N1020" s="42"/>
      <c r="O1020" s="225"/>
      <c r="P1020" s="114"/>
      <c r="Q1020" s="42">
        <f t="shared" si="118"/>
        <v>384940</v>
      </c>
      <c r="R1020" s="42">
        <f t="shared" si="122"/>
        <v>143135</v>
      </c>
      <c r="S1020" s="244">
        <f t="shared" si="115"/>
        <v>37.18371694290019</v>
      </c>
    </row>
    <row r="1021" spans="2:19" x14ac:dyDescent="0.2">
      <c r="B1021" s="67">
        <f t="shared" si="116"/>
        <v>260</v>
      </c>
      <c r="C1021" s="11"/>
      <c r="D1021" s="11"/>
      <c r="E1021" s="11"/>
      <c r="F1021" s="45" t="s">
        <v>268</v>
      </c>
      <c r="G1021" s="11">
        <v>620</v>
      </c>
      <c r="H1021" s="11" t="s">
        <v>130</v>
      </c>
      <c r="I1021" s="42">
        <v>135501</v>
      </c>
      <c r="J1021" s="42">
        <v>51458</v>
      </c>
      <c r="K1021" s="225">
        <f t="shared" si="114"/>
        <v>37.976103497391165</v>
      </c>
      <c r="L1021" s="114"/>
      <c r="M1021" s="42"/>
      <c r="N1021" s="42"/>
      <c r="O1021" s="225"/>
      <c r="P1021" s="114"/>
      <c r="Q1021" s="42">
        <f t="shared" si="118"/>
        <v>135501</v>
      </c>
      <c r="R1021" s="42">
        <f t="shared" si="122"/>
        <v>51458</v>
      </c>
      <c r="S1021" s="244">
        <f t="shared" si="115"/>
        <v>37.976103497391165</v>
      </c>
    </row>
    <row r="1022" spans="2:19" x14ac:dyDescent="0.2">
      <c r="B1022" s="67">
        <f t="shared" si="116"/>
        <v>261</v>
      </c>
      <c r="C1022" s="11"/>
      <c r="D1022" s="11"/>
      <c r="E1022" s="11"/>
      <c r="F1022" s="45" t="s">
        <v>268</v>
      </c>
      <c r="G1022" s="11">
        <v>630</v>
      </c>
      <c r="H1022" s="11" t="s">
        <v>127</v>
      </c>
      <c r="I1022" s="42">
        <f>I1027+I1026+I1025+I1024+I1023</f>
        <v>110109</v>
      </c>
      <c r="J1022" s="42">
        <f>J1027+J1026+J1025+J1024+J1023</f>
        <v>46338</v>
      </c>
      <c r="K1022" s="225">
        <f t="shared" si="114"/>
        <v>42.083753371658993</v>
      </c>
      <c r="L1022" s="114"/>
      <c r="M1022" s="42">
        <f>M1027+M1026+M1025+M1024+M1023</f>
        <v>0</v>
      </c>
      <c r="N1022" s="42">
        <f>N1027+N1026+N1025+N1024+N1023</f>
        <v>0</v>
      </c>
      <c r="O1022" s="225"/>
      <c r="P1022" s="114"/>
      <c r="Q1022" s="42">
        <f t="shared" si="118"/>
        <v>110109</v>
      </c>
      <c r="R1022" s="42">
        <f t="shared" si="122"/>
        <v>46338</v>
      </c>
      <c r="S1022" s="244">
        <f t="shared" si="115"/>
        <v>42.083753371658993</v>
      </c>
    </row>
    <row r="1023" spans="2:19" x14ac:dyDescent="0.2">
      <c r="B1023" s="67">
        <f t="shared" si="116"/>
        <v>262</v>
      </c>
      <c r="C1023" s="2"/>
      <c r="D1023" s="2"/>
      <c r="E1023" s="2"/>
      <c r="F1023" s="46" t="s">
        <v>268</v>
      </c>
      <c r="G1023" s="2">
        <v>631</v>
      </c>
      <c r="H1023" s="2" t="s">
        <v>133</v>
      </c>
      <c r="I1023" s="22">
        <v>137</v>
      </c>
      <c r="J1023" s="22">
        <v>137</v>
      </c>
      <c r="K1023" s="225">
        <f t="shared" ref="K1023:K1086" si="123">J1023/I1023*100</f>
        <v>100</v>
      </c>
      <c r="L1023" s="68"/>
      <c r="M1023" s="22"/>
      <c r="N1023" s="22"/>
      <c r="O1023" s="225"/>
      <c r="P1023" s="68"/>
      <c r="Q1023" s="22">
        <f t="shared" si="118"/>
        <v>137</v>
      </c>
      <c r="R1023" s="22">
        <f t="shared" si="122"/>
        <v>137</v>
      </c>
      <c r="S1023" s="244">
        <f t="shared" ref="S1023:S1086" si="124">R1023/Q1023*100</f>
        <v>100</v>
      </c>
    </row>
    <row r="1024" spans="2:19" x14ac:dyDescent="0.2">
      <c r="B1024" s="67">
        <f t="shared" ref="B1024:B1088" si="125">B1023+1</f>
        <v>263</v>
      </c>
      <c r="C1024" s="2"/>
      <c r="D1024" s="2"/>
      <c r="E1024" s="2"/>
      <c r="F1024" s="46" t="s">
        <v>268</v>
      </c>
      <c r="G1024" s="2">
        <v>632</v>
      </c>
      <c r="H1024" s="2" t="s">
        <v>138</v>
      </c>
      <c r="I1024" s="22">
        <v>31700</v>
      </c>
      <c r="J1024" s="22">
        <v>14328</v>
      </c>
      <c r="K1024" s="225">
        <f t="shared" si="123"/>
        <v>45.198738170346999</v>
      </c>
      <c r="L1024" s="68"/>
      <c r="M1024" s="22"/>
      <c r="N1024" s="22"/>
      <c r="O1024" s="225"/>
      <c r="P1024" s="68"/>
      <c r="Q1024" s="22">
        <f t="shared" si="118"/>
        <v>31700</v>
      </c>
      <c r="R1024" s="22">
        <f t="shared" si="122"/>
        <v>14328</v>
      </c>
      <c r="S1024" s="244">
        <f t="shared" si="124"/>
        <v>45.198738170346999</v>
      </c>
    </row>
    <row r="1025" spans="2:19" x14ac:dyDescent="0.2">
      <c r="B1025" s="67">
        <f t="shared" si="125"/>
        <v>264</v>
      </c>
      <c r="C1025" s="2"/>
      <c r="D1025" s="2"/>
      <c r="E1025" s="2"/>
      <c r="F1025" s="46" t="s">
        <v>268</v>
      </c>
      <c r="G1025" s="2">
        <v>633</v>
      </c>
      <c r="H1025" s="2" t="s">
        <v>131</v>
      </c>
      <c r="I1025" s="22">
        <f>38552+200</f>
        <v>38752</v>
      </c>
      <c r="J1025" s="22">
        <v>4240</v>
      </c>
      <c r="K1025" s="225">
        <f t="shared" si="123"/>
        <v>10.941370767960363</v>
      </c>
      <c r="L1025" s="68"/>
      <c r="M1025" s="22"/>
      <c r="N1025" s="22"/>
      <c r="O1025" s="225"/>
      <c r="P1025" s="68"/>
      <c r="Q1025" s="22">
        <f t="shared" si="118"/>
        <v>38752</v>
      </c>
      <c r="R1025" s="22">
        <f t="shared" si="122"/>
        <v>4240</v>
      </c>
      <c r="S1025" s="244">
        <f t="shared" si="124"/>
        <v>10.941370767960363</v>
      </c>
    </row>
    <row r="1026" spans="2:19" x14ac:dyDescent="0.2">
      <c r="B1026" s="67">
        <f t="shared" si="125"/>
        <v>265</v>
      </c>
      <c r="C1026" s="2"/>
      <c r="D1026" s="2"/>
      <c r="E1026" s="2"/>
      <c r="F1026" s="46" t="s">
        <v>268</v>
      </c>
      <c r="G1026" s="2">
        <v>635</v>
      </c>
      <c r="H1026" s="2" t="s">
        <v>137</v>
      </c>
      <c r="I1026" s="22">
        <v>12650</v>
      </c>
      <c r="J1026" s="22">
        <v>3997</v>
      </c>
      <c r="K1026" s="225">
        <f t="shared" si="123"/>
        <v>31.596837944664031</v>
      </c>
      <c r="L1026" s="68"/>
      <c r="M1026" s="22"/>
      <c r="N1026" s="22"/>
      <c r="O1026" s="225"/>
      <c r="P1026" s="68"/>
      <c r="Q1026" s="22">
        <f t="shared" si="118"/>
        <v>12650</v>
      </c>
      <c r="R1026" s="22">
        <f t="shared" si="122"/>
        <v>3997</v>
      </c>
      <c r="S1026" s="244">
        <f t="shared" si="124"/>
        <v>31.596837944664031</v>
      </c>
    </row>
    <row r="1027" spans="2:19" x14ac:dyDescent="0.2">
      <c r="B1027" s="67">
        <f t="shared" si="125"/>
        <v>266</v>
      </c>
      <c r="C1027" s="2"/>
      <c r="D1027" s="2"/>
      <c r="E1027" s="2"/>
      <c r="F1027" s="46" t="s">
        <v>268</v>
      </c>
      <c r="G1027" s="2">
        <v>637</v>
      </c>
      <c r="H1027" s="2" t="s">
        <v>128</v>
      </c>
      <c r="I1027" s="22">
        <f>17270+9600</f>
        <v>26870</v>
      </c>
      <c r="J1027" s="22">
        <v>23636</v>
      </c>
      <c r="K1027" s="225">
        <f t="shared" si="123"/>
        <v>87.964272422776332</v>
      </c>
      <c r="L1027" s="68"/>
      <c r="M1027" s="22"/>
      <c r="N1027" s="22"/>
      <c r="O1027" s="225"/>
      <c r="P1027" s="68"/>
      <c r="Q1027" s="22">
        <f t="shared" si="118"/>
        <v>26870</v>
      </c>
      <c r="R1027" s="22">
        <f t="shared" si="122"/>
        <v>23636</v>
      </c>
      <c r="S1027" s="244">
        <f t="shared" si="124"/>
        <v>87.964272422776332</v>
      </c>
    </row>
    <row r="1028" spans="2:19" x14ac:dyDescent="0.2">
      <c r="B1028" s="67">
        <f t="shared" si="125"/>
        <v>267</v>
      </c>
      <c r="C1028" s="11"/>
      <c r="D1028" s="11"/>
      <c r="E1028" s="11"/>
      <c r="F1028" s="45" t="s">
        <v>268</v>
      </c>
      <c r="G1028" s="11">
        <v>640</v>
      </c>
      <c r="H1028" s="11" t="s">
        <v>134</v>
      </c>
      <c r="I1028" s="42">
        <v>797</v>
      </c>
      <c r="J1028" s="42">
        <v>1438</v>
      </c>
      <c r="K1028" s="225">
        <f t="shared" si="123"/>
        <v>180.42659974905897</v>
      </c>
      <c r="L1028" s="114"/>
      <c r="M1028" s="42"/>
      <c r="N1028" s="42"/>
      <c r="O1028" s="225"/>
      <c r="P1028" s="114"/>
      <c r="Q1028" s="42">
        <f t="shared" si="118"/>
        <v>797</v>
      </c>
      <c r="R1028" s="42">
        <f t="shared" si="122"/>
        <v>1438</v>
      </c>
      <c r="S1028" s="244">
        <f t="shared" si="124"/>
        <v>180.42659974905897</v>
      </c>
    </row>
    <row r="1029" spans="2:19" x14ac:dyDescent="0.2">
      <c r="B1029" s="67">
        <f t="shared" si="125"/>
        <v>268</v>
      </c>
      <c r="C1029" s="11"/>
      <c r="D1029" s="11"/>
      <c r="E1029" s="11"/>
      <c r="F1029" s="45" t="s">
        <v>75</v>
      </c>
      <c r="G1029" s="11">
        <v>630</v>
      </c>
      <c r="H1029" s="11" t="s">
        <v>660</v>
      </c>
      <c r="I1029" s="42">
        <v>946</v>
      </c>
      <c r="J1029" s="42">
        <v>410</v>
      </c>
      <c r="K1029" s="225">
        <f t="shared" si="123"/>
        <v>43.340380549682877</v>
      </c>
      <c r="L1029" s="114"/>
      <c r="M1029" s="42"/>
      <c r="N1029" s="42"/>
      <c r="O1029" s="225"/>
      <c r="P1029" s="114"/>
      <c r="Q1029" s="42">
        <f t="shared" si="118"/>
        <v>946</v>
      </c>
      <c r="R1029" s="42">
        <f t="shared" si="122"/>
        <v>410</v>
      </c>
      <c r="S1029" s="244">
        <f t="shared" si="124"/>
        <v>43.340380549682877</v>
      </c>
    </row>
    <row r="1030" spans="2:19" x14ac:dyDescent="0.2">
      <c r="B1030" s="67">
        <f t="shared" si="125"/>
        <v>269</v>
      </c>
      <c r="C1030" s="11"/>
      <c r="D1030" s="11"/>
      <c r="E1030" s="11"/>
      <c r="F1030" s="45"/>
      <c r="G1030" s="11"/>
      <c r="H1030" s="11"/>
      <c r="I1030" s="42"/>
      <c r="J1030" s="42"/>
      <c r="K1030" s="225"/>
      <c r="L1030" s="114"/>
      <c r="M1030" s="42"/>
      <c r="N1030" s="42"/>
      <c r="O1030" s="225"/>
      <c r="P1030" s="114"/>
      <c r="Q1030" s="42"/>
      <c r="R1030" s="42"/>
      <c r="S1030" s="244"/>
    </row>
    <row r="1031" spans="2:19" x14ac:dyDescent="0.2">
      <c r="B1031" s="67">
        <f t="shared" si="125"/>
        <v>270</v>
      </c>
      <c r="C1031" s="11"/>
      <c r="D1031" s="11"/>
      <c r="E1031" s="11"/>
      <c r="F1031" s="45"/>
      <c r="G1031" s="11">
        <v>630</v>
      </c>
      <c r="H1031" s="11" t="s">
        <v>610</v>
      </c>
      <c r="I1031" s="42">
        <v>3140</v>
      </c>
      <c r="J1031" s="42">
        <v>3140</v>
      </c>
      <c r="K1031" s="225">
        <f t="shared" si="123"/>
        <v>100</v>
      </c>
      <c r="L1031" s="114"/>
      <c r="M1031" s="42"/>
      <c r="N1031" s="42"/>
      <c r="O1031" s="225"/>
      <c r="P1031" s="114"/>
      <c r="Q1031" s="42">
        <f t="shared" ref="Q1031" si="126">M1031+I1031</f>
        <v>3140</v>
      </c>
      <c r="R1031" s="42">
        <f t="shared" ref="R1031" si="127">N1031+J1031</f>
        <v>3140</v>
      </c>
      <c r="S1031" s="244">
        <f t="shared" si="124"/>
        <v>100</v>
      </c>
    </row>
    <row r="1032" spans="2:19" x14ac:dyDescent="0.2">
      <c r="B1032" s="67">
        <f t="shared" si="125"/>
        <v>271</v>
      </c>
      <c r="C1032" s="11"/>
      <c r="D1032" s="11"/>
      <c r="E1032" s="11"/>
      <c r="F1032" s="45"/>
      <c r="G1032" s="11"/>
      <c r="H1032" s="11"/>
      <c r="I1032" s="42"/>
      <c r="J1032" s="42"/>
      <c r="K1032" s="225"/>
      <c r="L1032" s="114"/>
      <c r="M1032" s="42"/>
      <c r="N1032" s="42"/>
      <c r="O1032" s="225"/>
      <c r="P1032" s="114"/>
      <c r="Q1032" s="42"/>
      <c r="R1032" s="42"/>
      <c r="S1032" s="244"/>
    </row>
    <row r="1033" spans="2:19" x14ac:dyDescent="0.2">
      <c r="B1033" s="67">
        <f t="shared" si="125"/>
        <v>272</v>
      </c>
      <c r="C1033" s="11"/>
      <c r="D1033" s="11"/>
      <c r="E1033" s="11"/>
      <c r="F1033" s="45" t="s">
        <v>125</v>
      </c>
      <c r="G1033" s="11">
        <v>710</v>
      </c>
      <c r="H1033" s="11" t="s">
        <v>183</v>
      </c>
      <c r="I1033" s="42">
        <v>0</v>
      </c>
      <c r="J1033" s="42">
        <v>0</v>
      </c>
      <c r="K1033" s="225"/>
      <c r="L1033" s="114"/>
      <c r="M1033" s="42">
        <f>M1034</f>
        <v>5000</v>
      </c>
      <c r="N1033" s="42">
        <f>N1034</f>
        <v>0</v>
      </c>
      <c r="O1033" s="225">
        <f t="shared" ref="O1033:O1063" si="128">N1033/M1033*100</f>
        <v>0</v>
      </c>
      <c r="P1033" s="114"/>
      <c r="Q1033" s="42">
        <f t="shared" si="118"/>
        <v>5000</v>
      </c>
      <c r="R1033" s="42">
        <f t="shared" ref="R1033:R1036" si="129">N1033+J1033</f>
        <v>0</v>
      </c>
      <c r="S1033" s="244">
        <f t="shared" si="124"/>
        <v>0</v>
      </c>
    </row>
    <row r="1034" spans="2:19" x14ac:dyDescent="0.2">
      <c r="B1034" s="67">
        <f t="shared" si="125"/>
        <v>273</v>
      </c>
      <c r="C1034" s="2"/>
      <c r="D1034" s="2"/>
      <c r="E1034" s="2"/>
      <c r="F1034" s="77" t="s">
        <v>125</v>
      </c>
      <c r="G1034" s="78">
        <v>716</v>
      </c>
      <c r="H1034" s="78" t="s">
        <v>0</v>
      </c>
      <c r="I1034" s="79"/>
      <c r="J1034" s="79"/>
      <c r="K1034" s="225"/>
      <c r="L1034" s="68"/>
      <c r="M1034" s="79">
        <f>SUM(M1035:M1035)</f>
        <v>5000</v>
      </c>
      <c r="N1034" s="79">
        <f>SUM(N1035:N1035)</f>
        <v>0</v>
      </c>
      <c r="O1034" s="225">
        <f t="shared" si="128"/>
        <v>0</v>
      </c>
      <c r="P1034" s="68"/>
      <c r="Q1034" s="79">
        <f t="shared" si="118"/>
        <v>5000</v>
      </c>
      <c r="R1034" s="79">
        <f t="shared" si="129"/>
        <v>0</v>
      </c>
      <c r="S1034" s="244">
        <f t="shared" si="124"/>
        <v>0</v>
      </c>
    </row>
    <row r="1035" spans="2:19" x14ac:dyDescent="0.2">
      <c r="B1035" s="67">
        <f t="shared" si="125"/>
        <v>274</v>
      </c>
      <c r="C1035" s="2"/>
      <c r="D1035" s="2"/>
      <c r="E1035" s="2"/>
      <c r="F1035" s="57"/>
      <c r="G1035" s="53"/>
      <c r="H1035" s="53" t="s">
        <v>507</v>
      </c>
      <c r="I1035" s="51"/>
      <c r="J1035" s="51"/>
      <c r="K1035" s="225"/>
      <c r="L1035" s="68"/>
      <c r="M1035" s="51">
        <v>5000</v>
      </c>
      <c r="N1035" s="51"/>
      <c r="O1035" s="225">
        <f t="shared" si="128"/>
        <v>0</v>
      </c>
      <c r="P1035" s="68"/>
      <c r="Q1035" s="22">
        <f t="shared" si="118"/>
        <v>5000</v>
      </c>
      <c r="R1035" s="22">
        <f t="shared" si="129"/>
        <v>0</v>
      </c>
      <c r="S1035" s="244">
        <f t="shared" si="124"/>
        <v>0</v>
      </c>
    </row>
    <row r="1036" spans="2:19" x14ac:dyDescent="0.2">
      <c r="B1036" s="67">
        <f t="shared" si="125"/>
        <v>275</v>
      </c>
      <c r="C1036" s="2"/>
      <c r="D1036" s="2"/>
      <c r="E1036" s="2"/>
      <c r="F1036" s="45" t="s">
        <v>268</v>
      </c>
      <c r="G1036" s="11">
        <v>710</v>
      </c>
      <c r="H1036" s="11" t="s">
        <v>183</v>
      </c>
      <c r="I1036" s="42">
        <v>0</v>
      </c>
      <c r="J1036" s="42">
        <v>0</v>
      </c>
      <c r="K1036" s="225"/>
      <c r="L1036" s="114"/>
      <c r="M1036" s="42">
        <f>M1037</f>
        <v>13000</v>
      </c>
      <c r="N1036" s="42">
        <f>N1037</f>
        <v>1000</v>
      </c>
      <c r="O1036" s="225">
        <f t="shared" si="128"/>
        <v>7.6923076923076925</v>
      </c>
      <c r="P1036" s="114"/>
      <c r="Q1036" s="42">
        <f t="shared" si="118"/>
        <v>13000</v>
      </c>
      <c r="R1036" s="42">
        <f t="shared" si="129"/>
        <v>1000</v>
      </c>
      <c r="S1036" s="244">
        <f t="shared" si="124"/>
        <v>7.6923076923076925</v>
      </c>
    </row>
    <row r="1037" spans="2:19" x14ac:dyDescent="0.2">
      <c r="B1037" s="67">
        <f t="shared" si="125"/>
        <v>276</v>
      </c>
      <c r="C1037" s="2"/>
      <c r="D1037" s="2"/>
      <c r="E1037" s="2"/>
      <c r="F1037" s="77" t="s">
        <v>268</v>
      </c>
      <c r="G1037" s="78">
        <v>717</v>
      </c>
      <c r="H1037" s="78" t="s">
        <v>193</v>
      </c>
      <c r="I1037" s="79"/>
      <c r="J1037" s="79"/>
      <c r="K1037" s="225"/>
      <c r="L1037" s="68"/>
      <c r="M1037" s="79">
        <f>SUM(M1038:M1059)</f>
        <v>13000</v>
      </c>
      <c r="N1037" s="79">
        <f>SUM(N1038:N1059)</f>
        <v>1000</v>
      </c>
      <c r="O1037" s="225">
        <f t="shared" si="128"/>
        <v>7.6923076923076925</v>
      </c>
      <c r="P1037" s="68"/>
      <c r="Q1037" s="79">
        <f t="shared" ref="Q1037" si="130">I1037+M1037</f>
        <v>13000</v>
      </c>
      <c r="R1037" s="79">
        <f t="shared" ref="R1037:R1039" si="131">J1037+N1037</f>
        <v>1000</v>
      </c>
      <c r="S1037" s="244">
        <f t="shared" si="124"/>
        <v>7.6923076923076925</v>
      </c>
    </row>
    <row r="1038" spans="2:19" x14ac:dyDescent="0.2">
      <c r="B1038" s="67">
        <f t="shared" si="125"/>
        <v>277</v>
      </c>
      <c r="C1038" s="2"/>
      <c r="D1038" s="2"/>
      <c r="E1038" s="2"/>
      <c r="F1038" s="57"/>
      <c r="G1038" s="53"/>
      <c r="H1038" s="53" t="s">
        <v>513</v>
      </c>
      <c r="I1038" s="51"/>
      <c r="J1038" s="51"/>
      <c r="K1038" s="225"/>
      <c r="L1038" s="68"/>
      <c r="M1038" s="51">
        <v>1000</v>
      </c>
      <c r="N1038" s="51">
        <v>1000</v>
      </c>
      <c r="O1038" s="225">
        <f t="shared" si="128"/>
        <v>100</v>
      </c>
      <c r="P1038" s="68"/>
      <c r="Q1038" s="22">
        <f>I1038+M1038</f>
        <v>1000</v>
      </c>
      <c r="R1038" s="22">
        <f t="shared" si="131"/>
        <v>1000</v>
      </c>
      <c r="S1038" s="244">
        <f t="shared" si="124"/>
        <v>100</v>
      </c>
    </row>
    <row r="1039" spans="2:19" x14ac:dyDescent="0.2">
      <c r="B1039" s="67">
        <f t="shared" si="125"/>
        <v>278</v>
      </c>
      <c r="C1039" s="2"/>
      <c r="D1039" s="2"/>
      <c r="E1039" s="2"/>
      <c r="F1039" s="57"/>
      <c r="G1039" s="53"/>
      <c r="H1039" s="53" t="s">
        <v>668</v>
      </c>
      <c r="I1039" s="51"/>
      <c r="J1039" s="51"/>
      <c r="K1039" s="225"/>
      <c r="L1039" s="68"/>
      <c r="M1039" s="51">
        <v>12000</v>
      </c>
      <c r="N1039" s="51"/>
      <c r="O1039" s="225">
        <f t="shared" si="128"/>
        <v>0</v>
      </c>
      <c r="P1039" s="68"/>
      <c r="Q1039" s="22">
        <f>I1039+M1039</f>
        <v>12000</v>
      </c>
      <c r="R1039" s="22">
        <f t="shared" si="131"/>
        <v>0</v>
      </c>
      <c r="S1039" s="244">
        <f t="shared" si="124"/>
        <v>0</v>
      </c>
    </row>
    <row r="1040" spans="2:19" ht="15" x14ac:dyDescent="0.25">
      <c r="B1040" s="67">
        <f t="shared" si="125"/>
        <v>279</v>
      </c>
      <c r="C1040" s="14"/>
      <c r="D1040" s="14"/>
      <c r="E1040" s="14">
        <v>8</v>
      </c>
      <c r="F1040" s="43"/>
      <c r="G1040" s="14"/>
      <c r="H1040" s="14" t="s">
        <v>314</v>
      </c>
      <c r="I1040" s="40">
        <f>I1041+I1042+I1043+I1049+I1050+I1051+I1052+I1059+I1062+I1060</f>
        <v>1447308</v>
      </c>
      <c r="J1040" s="40">
        <f>J1041+J1042+J1043+J1049+J1050+J1051+J1052+J1059+J1062+J1060</f>
        <v>552277</v>
      </c>
      <c r="K1040" s="225">
        <f t="shared" si="123"/>
        <v>38.158912961166521</v>
      </c>
      <c r="L1040" s="175"/>
      <c r="M1040" s="40">
        <v>0</v>
      </c>
      <c r="N1040" s="40">
        <v>0</v>
      </c>
      <c r="O1040" s="225"/>
      <c r="P1040" s="175"/>
      <c r="Q1040" s="40">
        <f t="shared" si="118"/>
        <v>1447308</v>
      </c>
      <c r="R1040" s="40">
        <f t="shared" ref="R1040:R1060" si="132">N1040+J1040</f>
        <v>552277</v>
      </c>
      <c r="S1040" s="244">
        <f t="shared" si="124"/>
        <v>38.158912961166521</v>
      </c>
    </row>
    <row r="1041" spans="2:19" x14ac:dyDescent="0.2">
      <c r="B1041" s="67">
        <f t="shared" si="125"/>
        <v>280</v>
      </c>
      <c r="C1041" s="11"/>
      <c r="D1041" s="11"/>
      <c r="E1041" s="11"/>
      <c r="F1041" s="45" t="s">
        <v>125</v>
      </c>
      <c r="G1041" s="11">
        <v>610</v>
      </c>
      <c r="H1041" s="11" t="s">
        <v>135</v>
      </c>
      <c r="I1041" s="42">
        <v>334950</v>
      </c>
      <c r="J1041" s="42">
        <v>114040</v>
      </c>
      <c r="K1041" s="225">
        <f t="shared" si="123"/>
        <v>34.046872667562326</v>
      </c>
      <c r="L1041" s="114"/>
      <c r="M1041" s="42"/>
      <c r="N1041" s="42"/>
      <c r="O1041" s="225"/>
      <c r="P1041" s="114"/>
      <c r="Q1041" s="42">
        <f t="shared" si="118"/>
        <v>334950</v>
      </c>
      <c r="R1041" s="42">
        <f t="shared" si="132"/>
        <v>114040</v>
      </c>
      <c r="S1041" s="244">
        <f t="shared" si="124"/>
        <v>34.046872667562326</v>
      </c>
    </row>
    <row r="1042" spans="2:19" x14ac:dyDescent="0.2">
      <c r="B1042" s="67">
        <f t="shared" si="125"/>
        <v>281</v>
      </c>
      <c r="C1042" s="11"/>
      <c r="D1042" s="11"/>
      <c r="E1042" s="11"/>
      <c r="F1042" s="45" t="s">
        <v>125</v>
      </c>
      <c r="G1042" s="11">
        <v>620</v>
      </c>
      <c r="H1042" s="11" t="s">
        <v>130</v>
      </c>
      <c r="I1042" s="42">
        <v>117190</v>
      </c>
      <c r="J1042" s="42">
        <v>41005</v>
      </c>
      <c r="K1042" s="225">
        <f t="shared" si="123"/>
        <v>34.990186876013311</v>
      </c>
      <c r="L1042" s="114"/>
      <c r="M1042" s="42"/>
      <c r="N1042" s="42"/>
      <c r="O1042" s="225"/>
      <c r="P1042" s="114"/>
      <c r="Q1042" s="42">
        <f t="shared" si="118"/>
        <v>117190</v>
      </c>
      <c r="R1042" s="42">
        <f t="shared" si="132"/>
        <v>41005</v>
      </c>
      <c r="S1042" s="244">
        <f t="shared" si="124"/>
        <v>34.990186876013311</v>
      </c>
    </row>
    <row r="1043" spans="2:19" x14ac:dyDescent="0.2">
      <c r="B1043" s="67">
        <f t="shared" si="125"/>
        <v>282</v>
      </c>
      <c r="C1043" s="11"/>
      <c r="D1043" s="11"/>
      <c r="E1043" s="11"/>
      <c r="F1043" s="45" t="s">
        <v>125</v>
      </c>
      <c r="G1043" s="11">
        <v>630</v>
      </c>
      <c r="H1043" s="11" t="s">
        <v>127</v>
      </c>
      <c r="I1043" s="42">
        <f>I1048+I1047+I1046+I1045+I1044</f>
        <v>90387</v>
      </c>
      <c r="J1043" s="42">
        <f>J1048+J1047+J1046+J1045+J1044</f>
        <v>32446</v>
      </c>
      <c r="K1043" s="225">
        <f t="shared" si="123"/>
        <v>35.896755064334471</v>
      </c>
      <c r="L1043" s="114"/>
      <c r="M1043" s="42">
        <v>0</v>
      </c>
      <c r="N1043" s="42">
        <v>0</v>
      </c>
      <c r="O1043" s="225"/>
      <c r="P1043" s="114"/>
      <c r="Q1043" s="42">
        <f t="shared" si="118"/>
        <v>90387</v>
      </c>
      <c r="R1043" s="42">
        <f t="shared" si="132"/>
        <v>32446</v>
      </c>
      <c r="S1043" s="244">
        <f t="shared" si="124"/>
        <v>35.896755064334471</v>
      </c>
    </row>
    <row r="1044" spans="2:19" x14ac:dyDescent="0.2">
      <c r="B1044" s="67">
        <f t="shared" si="125"/>
        <v>283</v>
      </c>
      <c r="C1044" s="2"/>
      <c r="D1044" s="2"/>
      <c r="E1044" s="2"/>
      <c r="F1044" s="46" t="s">
        <v>125</v>
      </c>
      <c r="G1044" s="2">
        <v>631</v>
      </c>
      <c r="H1044" s="2" t="s">
        <v>133</v>
      </c>
      <c r="I1044" s="22">
        <v>20</v>
      </c>
      <c r="J1044" s="22">
        <v>0</v>
      </c>
      <c r="K1044" s="225">
        <f t="shared" si="123"/>
        <v>0</v>
      </c>
      <c r="L1044" s="68"/>
      <c r="M1044" s="22"/>
      <c r="N1044" s="22"/>
      <c r="O1044" s="225"/>
      <c r="P1044" s="68"/>
      <c r="Q1044" s="22">
        <f t="shared" si="118"/>
        <v>20</v>
      </c>
      <c r="R1044" s="22">
        <f t="shared" si="132"/>
        <v>0</v>
      </c>
      <c r="S1044" s="244">
        <f t="shared" si="124"/>
        <v>0</v>
      </c>
    </row>
    <row r="1045" spans="2:19" x14ac:dyDescent="0.2">
      <c r="B1045" s="67">
        <f t="shared" si="125"/>
        <v>284</v>
      </c>
      <c r="C1045" s="2"/>
      <c r="D1045" s="2"/>
      <c r="E1045" s="2"/>
      <c r="F1045" s="46" t="s">
        <v>125</v>
      </c>
      <c r="G1045" s="2">
        <v>632</v>
      </c>
      <c r="H1045" s="2" t="s">
        <v>138</v>
      </c>
      <c r="I1045" s="22">
        <v>60069</v>
      </c>
      <c r="J1045" s="22">
        <v>21591</v>
      </c>
      <c r="K1045" s="225">
        <f t="shared" si="123"/>
        <v>35.943664785496679</v>
      </c>
      <c r="L1045" s="68"/>
      <c r="M1045" s="22"/>
      <c r="N1045" s="22"/>
      <c r="O1045" s="225"/>
      <c r="P1045" s="68"/>
      <c r="Q1045" s="22">
        <f t="shared" si="118"/>
        <v>60069</v>
      </c>
      <c r="R1045" s="22">
        <f t="shared" si="132"/>
        <v>21591</v>
      </c>
      <c r="S1045" s="244">
        <f t="shared" si="124"/>
        <v>35.943664785496679</v>
      </c>
    </row>
    <row r="1046" spans="2:19" x14ac:dyDescent="0.2">
      <c r="B1046" s="67">
        <f t="shared" si="125"/>
        <v>285</v>
      </c>
      <c r="C1046" s="2"/>
      <c r="D1046" s="2"/>
      <c r="E1046" s="2"/>
      <c r="F1046" s="46" t="s">
        <v>125</v>
      </c>
      <c r="G1046" s="2">
        <v>633</v>
      </c>
      <c r="H1046" s="2" t="s">
        <v>131</v>
      </c>
      <c r="I1046" s="22">
        <v>12260</v>
      </c>
      <c r="J1046" s="22">
        <v>4853</v>
      </c>
      <c r="K1046" s="225">
        <f t="shared" si="123"/>
        <v>39.58401305057096</v>
      </c>
      <c r="L1046" s="68"/>
      <c r="M1046" s="22"/>
      <c r="N1046" s="22"/>
      <c r="O1046" s="225"/>
      <c r="P1046" s="68"/>
      <c r="Q1046" s="22">
        <f t="shared" si="118"/>
        <v>12260</v>
      </c>
      <c r="R1046" s="22">
        <f t="shared" si="132"/>
        <v>4853</v>
      </c>
      <c r="S1046" s="244">
        <f t="shared" si="124"/>
        <v>39.58401305057096</v>
      </c>
    </row>
    <row r="1047" spans="2:19" x14ac:dyDescent="0.2">
      <c r="B1047" s="67">
        <f t="shared" si="125"/>
        <v>286</v>
      </c>
      <c r="C1047" s="2"/>
      <c r="D1047" s="2"/>
      <c r="E1047" s="2"/>
      <c r="F1047" s="46" t="s">
        <v>125</v>
      </c>
      <c r="G1047" s="2">
        <v>635</v>
      </c>
      <c r="H1047" s="2" t="s">
        <v>137</v>
      </c>
      <c r="I1047" s="22">
        <v>4549</v>
      </c>
      <c r="J1047" s="22">
        <v>229</v>
      </c>
      <c r="K1047" s="225">
        <f t="shared" si="123"/>
        <v>5.0340734227302706</v>
      </c>
      <c r="L1047" s="68"/>
      <c r="M1047" s="22"/>
      <c r="N1047" s="22"/>
      <c r="O1047" s="225"/>
      <c r="P1047" s="68"/>
      <c r="Q1047" s="22">
        <f t="shared" ref="Q1047:Q1130" si="133">M1047+I1047</f>
        <v>4549</v>
      </c>
      <c r="R1047" s="22">
        <f t="shared" si="132"/>
        <v>229</v>
      </c>
      <c r="S1047" s="244">
        <f t="shared" si="124"/>
        <v>5.0340734227302706</v>
      </c>
    </row>
    <row r="1048" spans="2:19" x14ac:dyDescent="0.2">
      <c r="B1048" s="67">
        <f t="shared" si="125"/>
        <v>287</v>
      </c>
      <c r="C1048" s="2"/>
      <c r="D1048" s="2"/>
      <c r="E1048" s="2"/>
      <c r="F1048" s="46" t="s">
        <v>125</v>
      </c>
      <c r="G1048" s="2">
        <v>637</v>
      </c>
      <c r="H1048" s="2" t="s">
        <v>128</v>
      </c>
      <c r="I1048" s="22">
        <v>13489</v>
      </c>
      <c r="J1048" s="22">
        <v>5773</v>
      </c>
      <c r="K1048" s="225">
        <f t="shared" si="123"/>
        <v>42.797835273185555</v>
      </c>
      <c r="L1048" s="68"/>
      <c r="M1048" s="22"/>
      <c r="N1048" s="22"/>
      <c r="O1048" s="225"/>
      <c r="P1048" s="68"/>
      <c r="Q1048" s="22">
        <f t="shared" si="133"/>
        <v>13489</v>
      </c>
      <c r="R1048" s="22">
        <f t="shared" si="132"/>
        <v>5773</v>
      </c>
      <c r="S1048" s="244">
        <f t="shared" si="124"/>
        <v>42.797835273185555</v>
      </c>
    </row>
    <row r="1049" spans="2:19" x14ac:dyDescent="0.2">
      <c r="B1049" s="67">
        <f t="shared" si="125"/>
        <v>288</v>
      </c>
      <c r="C1049" s="11"/>
      <c r="D1049" s="11"/>
      <c r="E1049" s="11"/>
      <c r="F1049" s="45" t="s">
        <v>125</v>
      </c>
      <c r="G1049" s="11">
        <v>640</v>
      </c>
      <c r="H1049" s="11" t="s">
        <v>134</v>
      </c>
      <c r="I1049" s="42">
        <v>3569</v>
      </c>
      <c r="J1049" s="42">
        <v>985</v>
      </c>
      <c r="K1049" s="225">
        <f t="shared" si="123"/>
        <v>27.598767161669933</v>
      </c>
      <c r="L1049" s="114"/>
      <c r="M1049" s="42"/>
      <c r="N1049" s="42"/>
      <c r="O1049" s="225"/>
      <c r="P1049" s="114"/>
      <c r="Q1049" s="42">
        <f t="shared" si="133"/>
        <v>3569</v>
      </c>
      <c r="R1049" s="42">
        <f t="shared" si="132"/>
        <v>985</v>
      </c>
      <c r="S1049" s="244">
        <f t="shared" si="124"/>
        <v>27.598767161669933</v>
      </c>
    </row>
    <row r="1050" spans="2:19" x14ac:dyDescent="0.2">
      <c r="B1050" s="67">
        <f t="shared" si="125"/>
        <v>289</v>
      </c>
      <c r="C1050" s="11"/>
      <c r="D1050" s="11"/>
      <c r="E1050" s="11"/>
      <c r="F1050" s="45" t="s">
        <v>268</v>
      </c>
      <c r="G1050" s="11">
        <v>610</v>
      </c>
      <c r="H1050" s="11" t="s">
        <v>135</v>
      </c>
      <c r="I1050" s="42">
        <v>513638</v>
      </c>
      <c r="J1050" s="42">
        <v>214348</v>
      </c>
      <c r="K1050" s="225">
        <f t="shared" si="123"/>
        <v>41.731336077159398</v>
      </c>
      <c r="L1050" s="114"/>
      <c r="M1050" s="42"/>
      <c r="N1050" s="42"/>
      <c r="O1050" s="225"/>
      <c r="P1050" s="114"/>
      <c r="Q1050" s="42">
        <f t="shared" si="133"/>
        <v>513638</v>
      </c>
      <c r="R1050" s="42">
        <f t="shared" si="132"/>
        <v>214348</v>
      </c>
      <c r="S1050" s="244">
        <f t="shared" si="124"/>
        <v>41.731336077159398</v>
      </c>
    </row>
    <row r="1051" spans="2:19" x14ac:dyDescent="0.2">
      <c r="B1051" s="67">
        <f t="shared" si="125"/>
        <v>290</v>
      </c>
      <c r="C1051" s="11"/>
      <c r="D1051" s="11"/>
      <c r="E1051" s="11"/>
      <c r="F1051" s="45" t="s">
        <v>268</v>
      </c>
      <c r="G1051" s="11">
        <v>620</v>
      </c>
      <c r="H1051" s="11" t="s">
        <v>130</v>
      </c>
      <c r="I1051" s="42">
        <v>179525</v>
      </c>
      <c r="J1051" s="42">
        <v>77270</v>
      </c>
      <c r="K1051" s="225">
        <f t="shared" si="123"/>
        <v>43.04135914218076</v>
      </c>
      <c r="L1051" s="114"/>
      <c r="M1051" s="42"/>
      <c r="N1051" s="42"/>
      <c r="O1051" s="225"/>
      <c r="P1051" s="114"/>
      <c r="Q1051" s="42">
        <f t="shared" si="133"/>
        <v>179525</v>
      </c>
      <c r="R1051" s="42">
        <f t="shared" si="132"/>
        <v>77270</v>
      </c>
      <c r="S1051" s="244">
        <f t="shared" si="124"/>
        <v>43.04135914218076</v>
      </c>
    </row>
    <row r="1052" spans="2:19" x14ac:dyDescent="0.2">
      <c r="B1052" s="67">
        <f t="shared" si="125"/>
        <v>291</v>
      </c>
      <c r="C1052" s="11"/>
      <c r="D1052" s="11"/>
      <c r="E1052" s="11"/>
      <c r="F1052" s="45" t="s">
        <v>268</v>
      </c>
      <c r="G1052" s="11">
        <v>630</v>
      </c>
      <c r="H1052" s="11" t="s">
        <v>127</v>
      </c>
      <c r="I1052" s="42">
        <f>I1058+I1057+I1056+I1055+I1054+I1053</f>
        <v>203299</v>
      </c>
      <c r="J1052" s="42">
        <f>J1058+J1057+J1056+J1055+J1054+J1053</f>
        <v>69601</v>
      </c>
      <c r="K1052" s="225">
        <f t="shared" si="123"/>
        <v>34.235780795773714</v>
      </c>
      <c r="L1052" s="114"/>
      <c r="M1052" s="42">
        <f>M1058+M1057+M1056+M1055+M1054+M1053</f>
        <v>0</v>
      </c>
      <c r="N1052" s="42">
        <f>N1058+N1057+N1056+N1055+N1054+N1053</f>
        <v>0</v>
      </c>
      <c r="O1052" s="225"/>
      <c r="P1052" s="114"/>
      <c r="Q1052" s="42">
        <f t="shared" si="133"/>
        <v>203299</v>
      </c>
      <c r="R1052" s="42">
        <f t="shared" si="132"/>
        <v>69601</v>
      </c>
      <c r="S1052" s="244">
        <f t="shared" si="124"/>
        <v>34.235780795773714</v>
      </c>
    </row>
    <row r="1053" spans="2:19" x14ac:dyDescent="0.2">
      <c r="B1053" s="67">
        <f t="shared" si="125"/>
        <v>292</v>
      </c>
      <c r="C1053" s="2"/>
      <c r="D1053" s="2"/>
      <c r="E1053" s="2"/>
      <c r="F1053" s="46" t="s">
        <v>268</v>
      </c>
      <c r="G1053" s="2">
        <v>631</v>
      </c>
      <c r="H1053" s="2" t="s">
        <v>133</v>
      </c>
      <c r="I1053" s="22">
        <v>31</v>
      </c>
      <c r="J1053" s="22">
        <v>0</v>
      </c>
      <c r="K1053" s="225">
        <f t="shared" si="123"/>
        <v>0</v>
      </c>
      <c r="L1053" s="68"/>
      <c r="M1053" s="22"/>
      <c r="N1053" s="22"/>
      <c r="O1053" s="225"/>
      <c r="P1053" s="68"/>
      <c r="Q1053" s="22">
        <f t="shared" si="133"/>
        <v>31</v>
      </c>
      <c r="R1053" s="22">
        <f t="shared" si="132"/>
        <v>0</v>
      </c>
      <c r="S1053" s="244">
        <f t="shared" si="124"/>
        <v>0</v>
      </c>
    </row>
    <row r="1054" spans="2:19" x14ac:dyDescent="0.2">
      <c r="B1054" s="67">
        <f t="shared" si="125"/>
        <v>293</v>
      </c>
      <c r="C1054" s="2"/>
      <c r="D1054" s="2"/>
      <c r="E1054" s="2"/>
      <c r="F1054" s="46" t="s">
        <v>268</v>
      </c>
      <c r="G1054" s="2">
        <v>632</v>
      </c>
      <c r="H1054" s="2" t="s">
        <v>138</v>
      </c>
      <c r="I1054" s="22">
        <v>100105</v>
      </c>
      <c r="J1054" s="22">
        <v>26827</v>
      </c>
      <c r="K1054" s="225">
        <f t="shared" si="123"/>
        <v>26.798861195744468</v>
      </c>
      <c r="L1054" s="68"/>
      <c r="M1054" s="22"/>
      <c r="N1054" s="22"/>
      <c r="O1054" s="225"/>
      <c r="P1054" s="68"/>
      <c r="Q1054" s="22">
        <f t="shared" si="133"/>
        <v>100105</v>
      </c>
      <c r="R1054" s="22">
        <f t="shared" si="132"/>
        <v>26827</v>
      </c>
      <c r="S1054" s="244">
        <f t="shared" si="124"/>
        <v>26.798861195744468</v>
      </c>
    </row>
    <row r="1055" spans="2:19" x14ac:dyDescent="0.2">
      <c r="B1055" s="67">
        <f t="shared" si="125"/>
        <v>294</v>
      </c>
      <c r="C1055" s="2"/>
      <c r="D1055" s="2"/>
      <c r="E1055" s="2"/>
      <c r="F1055" s="46" t="s">
        <v>268</v>
      </c>
      <c r="G1055" s="2">
        <v>633</v>
      </c>
      <c r="H1055" s="2" t="s">
        <v>131</v>
      </c>
      <c r="I1055" s="22">
        <v>37655</v>
      </c>
      <c r="J1055" s="22">
        <v>7411</v>
      </c>
      <c r="K1055" s="225">
        <f t="shared" si="123"/>
        <v>19.681317222148454</v>
      </c>
      <c r="L1055" s="68"/>
      <c r="M1055" s="22"/>
      <c r="N1055" s="22"/>
      <c r="O1055" s="225"/>
      <c r="P1055" s="68"/>
      <c r="Q1055" s="22">
        <f t="shared" si="133"/>
        <v>37655</v>
      </c>
      <c r="R1055" s="22">
        <f t="shared" si="132"/>
        <v>7411</v>
      </c>
      <c r="S1055" s="244">
        <f t="shared" si="124"/>
        <v>19.681317222148454</v>
      </c>
    </row>
    <row r="1056" spans="2:19" x14ac:dyDescent="0.2">
      <c r="B1056" s="67">
        <f t="shared" si="125"/>
        <v>295</v>
      </c>
      <c r="C1056" s="2"/>
      <c r="D1056" s="2"/>
      <c r="E1056" s="2"/>
      <c r="F1056" s="46" t="s">
        <v>268</v>
      </c>
      <c r="G1056" s="2">
        <v>635</v>
      </c>
      <c r="H1056" s="2" t="s">
        <v>137</v>
      </c>
      <c r="I1056" s="22">
        <v>12824</v>
      </c>
      <c r="J1056" s="22">
        <v>1729</v>
      </c>
      <c r="K1056" s="225">
        <f t="shared" si="123"/>
        <v>13.482532751091703</v>
      </c>
      <c r="L1056" s="68"/>
      <c r="M1056" s="22"/>
      <c r="N1056" s="22"/>
      <c r="O1056" s="225"/>
      <c r="P1056" s="68"/>
      <c r="Q1056" s="22">
        <f t="shared" si="133"/>
        <v>12824</v>
      </c>
      <c r="R1056" s="22">
        <f t="shared" si="132"/>
        <v>1729</v>
      </c>
      <c r="S1056" s="244">
        <f t="shared" si="124"/>
        <v>13.482532751091703</v>
      </c>
    </row>
    <row r="1057" spans="2:19" x14ac:dyDescent="0.2">
      <c r="B1057" s="67">
        <f t="shared" si="125"/>
        <v>296</v>
      </c>
      <c r="C1057" s="2"/>
      <c r="D1057" s="2"/>
      <c r="E1057" s="2"/>
      <c r="F1057" s="46" t="s">
        <v>268</v>
      </c>
      <c r="G1057" s="2">
        <v>636</v>
      </c>
      <c r="H1057" s="2" t="s">
        <v>132</v>
      </c>
      <c r="I1057" s="22">
        <v>20000</v>
      </c>
      <c r="J1057" s="22">
        <v>8570</v>
      </c>
      <c r="K1057" s="225">
        <f t="shared" si="123"/>
        <v>42.85</v>
      </c>
      <c r="L1057" s="68"/>
      <c r="M1057" s="22"/>
      <c r="N1057" s="22"/>
      <c r="O1057" s="225"/>
      <c r="P1057" s="68"/>
      <c r="Q1057" s="22">
        <f t="shared" si="133"/>
        <v>20000</v>
      </c>
      <c r="R1057" s="22">
        <f t="shared" si="132"/>
        <v>8570</v>
      </c>
      <c r="S1057" s="244">
        <f t="shared" si="124"/>
        <v>42.85</v>
      </c>
    </row>
    <row r="1058" spans="2:19" x14ac:dyDescent="0.2">
      <c r="B1058" s="67">
        <f t="shared" si="125"/>
        <v>297</v>
      </c>
      <c r="C1058" s="2"/>
      <c r="D1058" s="2"/>
      <c r="E1058" s="2"/>
      <c r="F1058" s="46" t="s">
        <v>268</v>
      </c>
      <c r="G1058" s="2">
        <v>637</v>
      </c>
      <c r="H1058" s="2" t="s">
        <v>128</v>
      </c>
      <c r="I1058" s="22">
        <f>20234+12450</f>
        <v>32684</v>
      </c>
      <c r="J1058" s="22">
        <v>25064</v>
      </c>
      <c r="K1058" s="225">
        <f t="shared" si="123"/>
        <v>76.685840166442304</v>
      </c>
      <c r="L1058" s="68"/>
      <c r="M1058" s="22"/>
      <c r="N1058" s="22"/>
      <c r="O1058" s="225"/>
      <c r="P1058" s="68"/>
      <c r="Q1058" s="22">
        <f t="shared" si="133"/>
        <v>32684</v>
      </c>
      <c r="R1058" s="22">
        <f t="shared" si="132"/>
        <v>25064</v>
      </c>
      <c r="S1058" s="244">
        <f t="shared" si="124"/>
        <v>76.685840166442304</v>
      </c>
    </row>
    <row r="1059" spans="2:19" x14ac:dyDescent="0.2">
      <c r="B1059" s="67">
        <f t="shared" si="125"/>
        <v>298</v>
      </c>
      <c r="C1059" s="11"/>
      <c r="D1059" s="11"/>
      <c r="E1059" s="11"/>
      <c r="F1059" s="45" t="s">
        <v>268</v>
      </c>
      <c r="G1059" s="11">
        <v>640</v>
      </c>
      <c r="H1059" s="11" t="s">
        <v>134</v>
      </c>
      <c r="I1059" s="42">
        <v>4310</v>
      </c>
      <c r="J1059" s="42">
        <v>1904</v>
      </c>
      <c r="K1059" s="225">
        <f t="shared" si="123"/>
        <v>44.17633410672854</v>
      </c>
      <c r="L1059" s="114"/>
      <c r="M1059" s="42"/>
      <c r="N1059" s="42"/>
      <c r="O1059" s="225"/>
      <c r="P1059" s="114"/>
      <c r="Q1059" s="42">
        <f t="shared" si="133"/>
        <v>4310</v>
      </c>
      <c r="R1059" s="42">
        <f t="shared" si="132"/>
        <v>1904</v>
      </c>
      <c r="S1059" s="244">
        <f t="shared" si="124"/>
        <v>44.17633410672854</v>
      </c>
    </row>
    <row r="1060" spans="2:19" x14ac:dyDescent="0.2">
      <c r="B1060" s="67">
        <f t="shared" si="125"/>
        <v>299</v>
      </c>
      <c r="C1060" s="11"/>
      <c r="D1060" s="11"/>
      <c r="E1060" s="11"/>
      <c r="F1060" s="45" t="s">
        <v>75</v>
      </c>
      <c r="G1060" s="11">
        <v>630</v>
      </c>
      <c r="H1060" s="11" t="s">
        <v>661</v>
      </c>
      <c r="I1060" s="42">
        <v>356</v>
      </c>
      <c r="J1060" s="42">
        <v>594</v>
      </c>
      <c r="K1060" s="225">
        <f t="shared" si="123"/>
        <v>166.85393258426967</v>
      </c>
      <c r="L1060" s="114"/>
      <c r="M1060" s="42"/>
      <c r="N1060" s="42"/>
      <c r="O1060" s="225"/>
      <c r="P1060" s="114"/>
      <c r="Q1060" s="42">
        <f t="shared" si="133"/>
        <v>356</v>
      </c>
      <c r="R1060" s="42">
        <f t="shared" si="132"/>
        <v>594</v>
      </c>
      <c r="S1060" s="244">
        <f t="shared" si="124"/>
        <v>166.85393258426967</v>
      </c>
    </row>
    <row r="1061" spans="2:19" x14ac:dyDescent="0.2">
      <c r="B1061" s="67">
        <f t="shared" si="125"/>
        <v>300</v>
      </c>
      <c r="C1061" s="11"/>
      <c r="D1061" s="11"/>
      <c r="E1061" s="11"/>
      <c r="F1061" s="45"/>
      <c r="G1061" s="11"/>
      <c r="H1061" s="11"/>
      <c r="I1061" s="42"/>
      <c r="J1061" s="42"/>
      <c r="K1061" s="225"/>
      <c r="L1061" s="114"/>
      <c r="M1061" s="42"/>
      <c r="N1061" s="42"/>
      <c r="O1061" s="225"/>
      <c r="P1061" s="114"/>
      <c r="Q1061" s="42"/>
      <c r="R1061" s="42"/>
      <c r="S1061" s="244"/>
    </row>
    <row r="1062" spans="2:19" x14ac:dyDescent="0.2">
      <c r="B1062" s="67">
        <f t="shared" si="125"/>
        <v>301</v>
      </c>
      <c r="C1062" s="11"/>
      <c r="D1062" s="11"/>
      <c r="E1062" s="11"/>
      <c r="F1062" s="45"/>
      <c r="G1062" s="11">
        <v>630</v>
      </c>
      <c r="H1062" s="11" t="s">
        <v>610</v>
      </c>
      <c r="I1062" s="42">
        <v>84</v>
      </c>
      <c r="J1062" s="42">
        <v>84</v>
      </c>
      <c r="K1062" s="225">
        <f t="shared" si="123"/>
        <v>100</v>
      </c>
      <c r="L1062" s="114"/>
      <c r="M1062" s="42"/>
      <c r="N1062" s="42"/>
      <c r="O1062" s="225"/>
      <c r="P1062" s="114"/>
      <c r="Q1062" s="42">
        <f t="shared" ref="Q1062" si="134">M1062+I1062</f>
        <v>84</v>
      </c>
      <c r="R1062" s="42">
        <f t="shared" ref="R1062:R1084" si="135">N1062+J1062</f>
        <v>84</v>
      </c>
      <c r="S1062" s="244">
        <f t="shared" si="124"/>
        <v>100</v>
      </c>
    </row>
    <row r="1063" spans="2:19" ht="15" x14ac:dyDescent="0.25">
      <c r="B1063" s="67">
        <f t="shared" si="125"/>
        <v>302</v>
      </c>
      <c r="C1063" s="14"/>
      <c r="D1063" s="14"/>
      <c r="E1063" s="14">
        <v>9</v>
      </c>
      <c r="F1063" s="43"/>
      <c r="G1063" s="14"/>
      <c r="H1063" s="14" t="s">
        <v>272</v>
      </c>
      <c r="I1063" s="40">
        <f>I1064+I1065+I1066+I1072+I1073+I1074+I1075+I1083+I1088+I1086+I1084</f>
        <v>548379</v>
      </c>
      <c r="J1063" s="40">
        <f>J1064+J1065+J1066+J1072+J1073+J1074+J1075+J1083+J1088+J1086+J1084</f>
        <v>252129</v>
      </c>
      <c r="K1063" s="225">
        <f t="shared" si="123"/>
        <v>45.9771435448841</v>
      </c>
      <c r="L1063" s="175"/>
      <c r="M1063" s="40">
        <f>M1064+M1065+M1066+M1072+M1073+M1074+M1075+M1083+M1088</f>
        <v>102000</v>
      </c>
      <c r="N1063" s="40">
        <f>N1064+N1065+N1066+N1072+N1073+N1074+N1075+N1083+N1088</f>
        <v>0</v>
      </c>
      <c r="O1063" s="225">
        <f t="shared" si="128"/>
        <v>0</v>
      </c>
      <c r="P1063" s="175"/>
      <c r="Q1063" s="40">
        <f t="shared" si="133"/>
        <v>650379</v>
      </c>
      <c r="R1063" s="40">
        <f t="shared" si="135"/>
        <v>252129</v>
      </c>
      <c r="S1063" s="244">
        <f t="shared" si="124"/>
        <v>38.766473087230672</v>
      </c>
    </row>
    <row r="1064" spans="2:19" x14ac:dyDescent="0.2">
      <c r="B1064" s="67">
        <f t="shared" si="125"/>
        <v>303</v>
      </c>
      <c r="C1064" s="11"/>
      <c r="D1064" s="11"/>
      <c r="E1064" s="11"/>
      <c r="F1064" s="45" t="s">
        <v>125</v>
      </c>
      <c r="G1064" s="11">
        <v>610</v>
      </c>
      <c r="H1064" s="11" t="s">
        <v>135</v>
      </c>
      <c r="I1064" s="42">
        <v>158605</v>
      </c>
      <c r="J1064" s="42">
        <v>69853</v>
      </c>
      <c r="K1064" s="225">
        <f t="shared" si="123"/>
        <v>44.042117209419629</v>
      </c>
      <c r="L1064" s="114"/>
      <c r="M1064" s="42"/>
      <c r="N1064" s="42"/>
      <c r="O1064" s="225"/>
      <c r="P1064" s="114"/>
      <c r="Q1064" s="42">
        <f t="shared" si="133"/>
        <v>158605</v>
      </c>
      <c r="R1064" s="42">
        <f t="shared" si="135"/>
        <v>69853</v>
      </c>
      <c r="S1064" s="244">
        <f t="shared" si="124"/>
        <v>44.042117209419629</v>
      </c>
    </row>
    <row r="1065" spans="2:19" x14ac:dyDescent="0.2">
      <c r="B1065" s="67">
        <f t="shared" si="125"/>
        <v>304</v>
      </c>
      <c r="C1065" s="11"/>
      <c r="D1065" s="11"/>
      <c r="E1065" s="11"/>
      <c r="F1065" s="45" t="s">
        <v>125</v>
      </c>
      <c r="G1065" s="11">
        <v>620</v>
      </c>
      <c r="H1065" s="11" t="s">
        <v>130</v>
      </c>
      <c r="I1065" s="42">
        <v>56233</v>
      </c>
      <c r="J1065" s="42">
        <v>25164</v>
      </c>
      <c r="K1065" s="225">
        <f t="shared" si="123"/>
        <v>44.749524300677542</v>
      </c>
      <c r="L1065" s="114"/>
      <c r="M1065" s="42"/>
      <c r="N1065" s="42"/>
      <c r="O1065" s="225"/>
      <c r="P1065" s="114"/>
      <c r="Q1065" s="42">
        <f t="shared" si="133"/>
        <v>56233</v>
      </c>
      <c r="R1065" s="42">
        <f t="shared" si="135"/>
        <v>25164</v>
      </c>
      <c r="S1065" s="244">
        <f t="shared" si="124"/>
        <v>44.749524300677542</v>
      </c>
    </row>
    <row r="1066" spans="2:19" x14ac:dyDescent="0.2">
      <c r="B1066" s="67">
        <f t="shared" si="125"/>
        <v>305</v>
      </c>
      <c r="C1066" s="11"/>
      <c r="D1066" s="11"/>
      <c r="E1066" s="11"/>
      <c r="F1066" s="45" t="s">
        <v>125</v>
      </c>
      <c r="G1066" s="11">
        <v>630</v>
      </c>
      <c r="H1066" s="11" t="s">
        <v>127</v>
      </c>
      <c r="I1066" s="42">
        <f>I1071+I1070+I1069+I1068+I1067</f>
        <v>41285</v>
      </c>
      <c r="J1066" s="42">
        <f>J1071+J1070+J1069+J1068+J1067</f>
        <v>23382</v>
      </c>
      <c r="K1066" s="225">
        <f t="shared" si="123"/>
        <v>56.635581930483227</v>
      </c>
      <c r="L1066" s="114"/>
      <c r="M1066" s="42">
        <v>0</v>
      </c>
      <c r="N1066" s="42"/>
      <c r="O1066" s="225"/>
      <c r="P1066" s="114"/>
      <c r="Q1066" s="42">
        <f t="shared" si="133"/>
        <v>41285</v>
      </c>
      <c r="R1066" s="42">
        <f t="shared" si="135"/>
        <v>23382</v>
      </c>
      <c r="S1066" s="244">
        <f t="shared" si="124"/>
        <v>56.635581930483227</v>
      </c>
    </row>
    <row r="1067" spans="2:19" x14ac:dyDescent="0.2">
      <c r="B1067" s="67">
        <f t="shared" si="125"/>
        <v>306</v>
      </c>
      <c r="C1067" s="2"/>
      <c r="D1067" s="2"/>
      <c r="E1067" s="2"/>
      <c r="F1067" s="46" t="s">
        <v>125</v>
      </c>
      <c r="G1067" s="2">
        <v>631</v>
      </c>
      <c r="H1067" s="2" t="s">
        <v>133</v>
      </c>
      <c r="I1067" s="22">
        <f>25+40</f>
        <v>65</v>
      </c>
      <c r="J1067" s="51">
        <v>200</v>
      </c>
      <c r="K1067" s="225">
        <f t="shared" si="123"/>
        <v>307.69230769230774</v>
      </c>
      <c r="L1067" s="68"/>
      <c r="M1067" s="22"/>
      <c r="N1067" s="22"/>
      <c r="O1067" s="225"/>
      <c r="P1067" s="68"/>
      <c r="Q1067" s="22">
        <f t="shared" si="133"/>
        <v>65</v>
      </c>
      <c r="R1067" s="22">
        <f t="shared" si="135"/>
        <v>200</v>
      </c>
      <c r="S1067" s="244">
        <f t="shared" si="124"/>
        <v>307.69230769230774</v>
      </c>
    </row>
    <row r="1068" spans="2:19" x14ac:dyDescent="0.2">
      <c r="B1068" s="67">
        <f t="shared" si="125"/>
        <v>307</v>
      </c>
      <c r="C1068" s="2"/>
      <c r="D1068" s="2"/>
      <c r="E1068" s="2"/>
      <c r="F1068" s="46" t="s">
        <v>125</v>
      </c>
      <c r="G1068" s="2">
        <v>632</v>
      </c>
      <c r="H1068" s="2" t="s">
        <v>138</v>
      </c>
      <c r="I1068" s="22">
        <f>20700-40</f>
        <v>20660</v>
      </c>
      <c r="J1068" s="51">
        <v>9352</v>
      </c>
      <c r="K1068" s="225">
        <f t="shared" si="123"/>
        <v>45.266214908034854</v>
      </c>
      <c r="L1068" s="68"/>
      <c r="M1068" s="22"/>
      <c r="N1068" s="22"/>
      <c r="O1068" s="225"/>
      <c r="P1068" s="68"/>
      <c r="Q1068" s="22">
        <f t="shared" si="133"/>
        <v>20660</v>
      </c>
      <c r="R1068" s="22">
        <f t="shared" si="135"/>
        <v>9352</v>
      </c>
      <c r="S1068" s="244">
        <f t="shared" si="124"/>
        <v>45.266214908034854</v>
      </c>
    </row>
    <row r="1069" spans="2:19" x14ac:dyDescent="0.2">
      <c r="B1069" s="67">
        <f t="shared" si="125"/>
        <v>308</v>
      </c>
      <c r="C1069" s="2"/>
      <c r="D1069" s="2"/>
      <c r="E1069" s="2"/>
      <c r="F1069" s="46" t="s">
        <v>125</v>
      </c>
      <c r="G1069" s="2">
        <v>633</v>
      </c>
      <c r="H1069" s="2" t="s">
        <v>131</v>
      </c>
      <c r="I1069" s="22">
        <v>6768</v>
      </c>
      <c r="J1069" s="51">
        <v>1553</v>
      </c>
      <c r="K1069" s="225">
        <f t="shared" si="123"/>
        <v>22.946217494089836</v>
      </c>
      <c r="L1069" s="68"/>
      <c r="M1069" s="22"/>
      <c r="N1069" s="22"/>
      <c r="O1069" s="225"/>
      <c r="P1069" s="68"/>
      <c r="Q1069" s="22">
        <f t="shared" si="133"/>
        <v>6768</v>
      </c>
      <c r="R1069" s="22">
        <f t="shared" si="135"/>
        <v>1553</v>
      </c>
      <c r="S1069" s="244">
        <f t="shared" si="124"/>
        <v>22.946217494089836</v>
      </c>
    </row>
    <row r="1070" spans="2:19" x14ac:dyDescent="0.2">
      <c r="B1070" s="67">
        <f t="shared" si="125"/>
        <v>309</v>
      </c>
      <c r="C1070" s="2"/>
      <c r="D1070" s="2"/>
      <c r="E1070" s="2"/>
      <c r="F1070" s="46" t="s">
        <v>125</v>
      </c>
      <c r="G1070" s="2">
        <v>635</v>
      </c>
      <c r="H1070" s="2" t="s">
        <v>137</v>
      </c>
      <c r="I1070" s="22">
        <f>1480+2000</f>
        <v>3480</v>
      </c>
      <c r="J1070" s="51">
        <v>327</v>
      </c>
      <c r="K1070" s="225">
        <f t="shared" si="123"/>
        <v>9.3965517241379306</v>
      </c>
      <c r="L1070" s="68"/>
      <c r="M1070" s="22"/>
      <c r="N1070" s="22"/>
      <c r="O1070" s="225"/>
      <c r="P1070" s="68"/>
      <c r="Q1070" s="22">
        <f t="shared" si="133"/>
        <v>3480</v>
      </c>
      <c r="R1070" s="22">
        <f t="shared" si="135"/>
        <v>327</v>
      </c>
      <c r="S1070" s="244">
        <f t="shared" si="124"/>
        <v>9.3965517241379306</v>
      </c>
    </row>
    <row r="1071" spans="2:19" x14ac:dyDescent="0.2">
      <c r="B1071" s="67">
        <f t="shared" si="125"/>
        <v>310</v>
      </c>
      <c r="C1071" s="2"/>
      <c r="D1071" s="2"/>
      <c r="E1071" s="2"/>
      <c r="F1071" s="46" t="s">
        <v>125</v>
      </c>
      <c r="G1071" s="2">
        <v>637</v>
      </c>
      <c r="H1071" s="2" t="s">
        <v>128</v>
      </c>
      <c r="I1071" s="22">
        <v>10312</v>
      </c>
      <c r="J1071" s="51">
        <v>11950</v>
      </c>
      <c r="K1071" s="225">
        <f t="shared" si="123"/>
        <v>115.88440651667959</v>
      </c>
      <c r="L1071" s="68"/>
      <c r="M1071" s="22"/>
      <c r="N1071" s="22"/>
      <c r="O1071" s="225"/>
      <c r="P1071" s="68"/>
      <c r="Q1071" s="22">
        <f t="shared" si="133"/>
        <v>10312</v>
      </c>
      <c r="R1071" s="22">
        <f t="shared" si="135"/>
        <v>11950</v>
      </c>
      <c r="S1071" s="244">
        <f t="shared" si="124"/>
        <v>115.88440651667959</v>
      </c>
    </row>
    <row r="1072" spans="2:19" x14ac:dyDescent="0.2">
      <c r="B1072" s="67">
        <f t="shared" si="125"/>
        <v>311</v>
      </c>
      <c r="C1072" s="11"/>
      <c r="D1072" s="11"/>
      <c r="E1072" s="11"/>
      <c r="F1072" s="45" t="s">
        <v>125</v>
      </c>
      <c r="G1072" s="11">
        <v>640</v>
      </c>
      <c r="H1072" s="11" t="s">
        <v>134</v>
      </c>
      <c r="I1072" s="42">
        <v>1550</v>
      </c>
      <c r="J1072" s="42">
        <v>266</v>
      </c>
      <c r="K1072" s="225">
        <f t="shared" si="123"/>
        <v>17.161290322580644</v>
      </c>
      <c r="L1072" s="114"/>
      <c r="M1072" s="42"/>
      <c r="N1072" s="42"/>
      <c r="O1072" s="225"/>
      <c r="P1072" s="114"/>
      <c r="Q1072" s="42">
        <f t="shared" si="133"/>
        <v>1550</v>
      </c>
      <c r="R1072" s="42">
        <f t="shared" si="135"/>
        <v>266</v>
      </c>
      <c r="S1072" s="244">
        <f t="shared" si="124"/>
        <v>17.161290322580644</v>
      </c>
    </row>
    <row r="1073" spans="2:19" x14ac:dyDescent="0.2">
      <c r="B1073" s="67">
        <f t="shared" si="125"/>
        <v>312</v>
      </c>
      <c r="C1073" s="11"/>
      <c r="D1073" s="11"/>
      <c r="E1073" s="11"/>
      <c r="F1073" s="45" t="s">
        <v>268</v>
      </c>
      <c r="G1073" s="11">
        <v>610</v>
      </c>
      <c r="H1073" s="11" t="s">
        <v>135</v>
      </c>
      <c r="I1073" s="42">
        <v>172879</v>
      </c>
      <c r="J1073" s="42">
        <v>75378</v>
      </c>
      <c r="K1073" s="225">
        <f t="shared" si="123"/>
        <v>43.601594178587334</v>
      </c>
      <c r="L1073" s="114"/>
      <c r="M1073" s="42"/>
      <c r="N1073" s="42"/>
      <c r="O1073" s="225"/>
      <c r="P1073" s="114"/>
      <c r="Q1073" s="42">
        <f t="shared" si="133"/>
        <v>172879</v>
      </c>
      <c r="R1073" s="42">
        <f t="shared" si="135"/>
        <v>75378</v>
      </c>
      <c r="S1073" s="244">
        <f t="shared" si="124"/>
        <v>43.601594178587334</v>
      </c>
    </row>
    <row r="1074" spans="2:19" x14ac:dyDescent="0.2">
      <c r="B1074" s="67">
        <f t="shared" si="125"/>
        <v>313</v>
      </c>
      <c r="C1074" s="11"/>
      <c r="D1074" s="11"/>
      <c r="E1074" s="11"/>
      <c r="F1074" s="45" t="s">
        <v>268</v>
      </c>
      <c r="G1074" s="11">
        <v>620</v>
      </c>
      <c r="H1074" s="11" t="s">
        <v>130</v>
      </c>
      <c r="I1074" s="42">
        <v>61222</v>
      </c>
      <c r="J1074" s="42">
        <v>26984</v>
      </c>
      <c r="K1074" s="225">
        <f t="shared" si="123"/>
        <v>44.075659076802459</v>
      </c>
      <c r="L1074" s="114"/>
      <c r="M1074" s="42"/>
      <c r="N1074" s="42"/>
      <c r="O1074" s="225"/>
      <c r="P1074" s="114"/>
      <c r="Q1074" s="42">
        <f t="shared" si="133"/>
        <v>61222</v>
      </c>
      <c r="R1074" s="42">
        <f t="shared" si="135"/>
        <v>26984</v>
      </c>
      <c r="S1074" s="244">
        <f t="shared" si="124"/>
        <v>44.075659076802459</v>
      </c>
    </row>
    <row r="1075" spans="2:19" x14ac:dyDescent="0.2">
      <c r="B1075" s="67">
        <f t="shared" si="125"/>
        <v>314</v>
      </c>
      <c r="C1075" s="11"/>
      <c r="D1075" s="11"/>
      <c r="E1075" s="11"/>
      <c r="F1075" s="45" t="s">
        <v>268</v>
      </c>
      <c r="G1075" s="11">
        <v>630</v>
      </c>
      <c r="H1075" s="11" t="s">
        <v>127</v>
      </c>
      <c r="I1075" s="42">
        <f>I1082+I1080+I1078+I1077+I1076+I1081+I1079</f>
        <v>54726</v>
      </c>
      <c r="J1075" s="42">
        <f>J1082+J1080+J1078+J1077+J1076+J1081+J1079</f>
        <v>30200</v>
      </c>
      <c r="K1075" s="225">
        <f t="shared" si="123"/>
        <v>55.184007601505684</v>
      </c>
      <c r="L1075" s="114"/>
      <c r="M1075" s="42">
        <f>M1082+M1080+M1078+M1077+M1076</f>
        <v>0</v>
      </c>
      <c r="N1075" s="42">
        <f>N1082+N1080+N1078+N1077+N1076</f>
        <v>0</v>
      </c>
      <c r="O1075" s="225"/>
      <c r="P1075" s="114"/>
      <c r="Q1075" s="42">
        <f t="shared" si="133"/>
        <v>54726</v>
      </c>
      <c r="R1075" s="42">
        <f t="shared" si="135"/>
        <v>30200</v>
      </c>
      <c r="S1075" s="244">
        <f t="shared" si="124"/>
        <v>55.184007601505684</v>
      </c>
    </row>
    <row r="1076" spans="2:19" x14ac:dyDescent="0.2">
      <c r="B1076" s="67">
        <f t="shared" si="125"/>
        <v>315</v>
      </c>
      <c r="C1076" s="2"/>
      <c r="D1076" s="2"/>
      <c r="E1076" s="2"/>
      <c r="F1076" s="46" t="s">
        <v>268</v>
      </c>
      <c r="G1076" s="2">
        <v>631</v>
      </c>
      <c r="H1076" s="2" t="s">
        <v>133</v>
      </c>
      <c r="I1076" s="22">
        <f>25+40</f>
        <v>65</v>
      </c>
      <c r="J1076" s="51">
        <v>200</v>
      </c>
      <c r="K1076" s="225">
        <f t="shared" si="123"/>
        <v>307.69230769230774</v>
      </c>
      <c r="L1076" s="68"/>
      <c r="M1076" s="22"/>
      <c r="N1076" s="22"/>
      <c r="O1076" s="225"/>
      <c r="P1076" s="68"/>
      <c r="Q1076" s="22">
        <f t="shared" si="133"/>
        <v>65</v>
      </c>
      <c r="R1076" s="22">
        <f t="shared" si="135"/>
        <v>200</v>
      </c>
      <c r="S1076" s="244">
        <f t="shared" si="124"/>
        <v>307.69230769230774</v>
      </c>
    </row>
    <row r="1077" spans="2:19" x14ac:dyDescent="0.2">
      <c r="B1077" s="67">
        <f t="shared" si="125"/>
        <v>316</v>
      </c>
      <c r="C1077" s="2"/>
      <c r="D1077" s="2"/>
      <c r="E1077" s="2"/>
      <c r="F1077" s="46" t="s">
        <v>268</v>
      </c>
      <c r="G1077" s="2">
        <v>632</v>
      </c>
      <c r="H1077" s="2" t="s">
        <v>138</v>
      </c>
      <c r="I1077" s="22">
        <f>20700-40</f>
        <v>20660</v>
      </c>
      <c r="J1077" s="51">
        <v>9352</v>
      </c>
      <c r="K1077" s="225">
        <f t="shared" si="123"/>
        <v>45.266214908034854</v>
      </c>
      <c r="L1077" s="68"/>
      <c r="M1077" s="22"/>
      <c r="N1077" s="22"/>
      <c r="O1077" s="225"/>
      <c r="P1077" s="68"/>
      <c r="Q1077" s="22">
        <f t="shared" si="133"/>
        <v>20660</v>
      </c>
      <c r="R1077" s="22">
        <f t="shared" si="135"/>
        <v>9352</v>
      </c>
      <c r="S1077" s="244">
        <f t="shared" si="124"/>
        <v>45.266214908034854</v>
      </c>
    </row>
    <row r="1078" spans="2:19" x14ac:dyDescent="0.2">
      <c r="B1078" s="67">
        <f t="shared" si="125"/>
        <v>317</v>
      </c>
      <c r="C1078" s="2"/>
      <c r="D1078" s="2"/>
      <c r="E1078" s="2"/>
      <c r="F1078" s="46" t="s">
        <v>268</v>
      </c>
      <c r="G1078" s="2">
        <v>633</v>
      </c>
      <c r="H1078" s="2" t="s">
        <v>131</v>
      </c>
      <c r="I1078" s="22">
        <f>11808+1500</f>
        <v>13308</v>
      </c>
      <c r="J1078" s="51">
        <v>3473</v>
      </c>
      <c r="K1078" s="225">
        <f t="shared" si="123"/>
        <v>26.0970844604749</v>
      </c>
      <c r="L1078" s="68"/>
      <c r="M1078" s="22"/>
      <c r="N1078" s="22"/>
      <c r="O1078" s="225"/>
      <c r="P1078" s="68"/>
      <c r="Q1078" s="22">
        <f t="shared" si="133"/>
        <v>13308</v>
      </c>
      <c r="R1078" s="22">
        <f t="shared" si="135"/>
        <v>3473</v>
      </c>
      <c r="S1078" s="244">
        <f t="shared" si="124"/>
        <v>26.0970844604749</v>
      </c>
    </row>
    <row r="1079" spans="2:19" x14ac:dyDescent="0.2">
      <c r="B1079" s="67">
        <f t="shared" si="125"/>
        <v>318</v>
      </c>
      <c r="C1079" s="2"/>
      <c r="D1079" s="2"/>
      <c r="E1079" s="2"/>
      <c r="F1079" s="46" t="s">
        <v>268</v>
      </c>
      <c r="G1079" s="2">
        <v>634</v>
      </c>
      <c r="H1079" s="2" t="s">
        <v>136</v>
      </c>
      <c r="I1079" s="22">
        <v>0</v>
      </c>
      <c r="J1079" s="51">
        <v>300</v>
      </c>
      <c r="K1079" s="225"/>
      <c r="L1079" s="68"/>
      <c r="M1079" s="22"/>
      <c r="N1079" s="22"/>
      <c r="O1079" s="225"/>
      <c r="P1079" s="68"/>
      <c r="Q1079" s="22">
        <f t="shared" si="133"/>
        <v>0</v>
      </c>
      <c r="R1079" s="22">
        <f t="shared" si="135"/>
        <v>300</v>
      </c>
      <c r="S1079" s="244">
        <v>0</v>
      </c>
    </row>
    <row r="1080" spans="2:19" x14ac:dyDescent="0.2">
      <c r="B1080" s="67">
        <f t="shared" si="125"/>
        <v>319</v>
      </c>
      <c r="C1080" s="2"/>
      <c r="D1080" s="2"/>
      <c r="E1080" s="2"/>
      <c r="F1080" s="46" t="s">
        <v>268</v>
      </c>
      <c r="G1080" s="2">
        <v>635</v>
      </c>
      <c r="H1080" s="2" t="s">
        <v>137</v>
      </c>
      <c r="I1080" s="22">
        <v>4180</v>
      </c>
      <c r="J1080" s="22">
        <v>1877</v>
      </c>
      <c r="K1080" s="225">
        <f t="shared" si="123"/>
        <v>44.904306220095691</v>
      </c>
      <c r="L1080" s="68"/>
      <c r="M1080" s="22"/>
      <c r="N1080" s="22"/>
      <c r="O1080" s="225"/>
      <c r="P1080" s="68"/>
      <c r="Q1080" s="22">
        <f t="shared" si="133"/>
        <v>4180</v>
      </c>
      <c r="R1080" s="22">
        <f t="shared" si="135"/>
        <v>1877</v>
      </c>
      <c r="S1080" s="244">
        <f t="shared" si="124"/>
        <v>44.904306220095691</v>
      </c>
    </row>
    <row r="1081" spans="2:19" x14ac:dyDescent="0.2">
      <c r="B1081" s="67">
        <f t="shared" si="125"/>
        <v>320</v>
      </c>
      <c r="C1081" s="2"/>
      <c r="D1081" s="2"/>
      <c r="E1081" s="2"/>
      <c r="F1081" s="130" t="s">
        <v>268</v>
      </c>
      <c r="G1081" s="131">
        <v>635</v>
      </c>
      <c r="H1081" s="131" t="s">
        <v>571</v>
      </c>
      <c r="I1081" s="129">
        <v>2000</v>
      </c>
      <c r="J1081" s="129">
        <v>3718</v>
      </c>
      <c r="K1081" s="225">
        <f t="shared" si="123"/>
        <v>185.9</v>
      </c>
      <c r="L1081" s="68"/>
      <c r="M1081" s="129"/>
      <c r="N1081" s="129"/>
      <c r="O1081" s="225"/>
      <c r="P1081" s="68"/>
      <c r="Q1081" s="129">
        <f t="shared" si="133"/>
        <v>2000</v>
      </c>
      <c r="R1081" s="129">
        <f t="shared" si="135"/>
        <v>3718</v>
      </c>
      <c r="S1081" s="244">
        <f t="shared" si="124"/>
        <v>185.9</v>
      </c>
    </row>
    <row r="1082" spans="2:19" x14ac:dyDescent="0.2">
      <c r="B1082" s="67">
        <f t="shared" si="125"/>
        <v>321</v>
      </c>
      <c r="C1082" s="2"/>
      <c r="D1082" s="2"/>
      <c r="E1082" s="2"/>
      <c r="F1082" s="46" t="s">
        <v>268</v>
      </c>
      <c r="G1082" s="2">
        <v>637</v>
      </c>
      <c r="H1082" s="2" t="s">
        <v>128</v>
      </c>
      <c r="I1082" s="22">
        <f>10313+4200</f>
        <v>14513</v>
      </c>
      <c r="J1082" s="22">
        <v>11280</v>
      </c>
      <c r="K1082" s="225">
        <f t="shared" si="123"/>
        <v>77.723420381726726</v>
      </c>
      <c r="L1082" s="68"/>
      <c r="M1082" s="22"/>
      <c r="N1082" s="22"/>
      <c r="O1082" s="225"/>
      <c r="P1082" s="68"/>
      <c r="Q1082" s="22">
        <f t="shared" si="133"/>
        <v>14513</v>
      </c>
      <c r="R1082" s="22">
        <f t="shared" si="135"/>
        <v>11280</v>
      </c>
      <c r="S1082" s="244">
        <f t="shared" si="124"/>
        <v>77.723420381726726</v>
      </c>
    </row>
    <row r="1083" spans="2:19" x14ac:dyDescent="0.2">
      <c r="B1083" s="67">
        <f t="shared" si="125"/>
        <v>322</v>
      </c>
      <c r="C1083" s="11"/>
      <c r="D1083" s="11"/>
      <c r="E1083" s="11"/>
      <c r="F1083" s="45" t="s">
        <v>268</v>
      </c>
      <c r="G1083" s="11">
        <v>640</v>
      </c>
      <c r="H1083" s="11" t="s">
        <v>134</v>
      </c>
      <c r="I1083" s="42">
        <v>1550</v>
      </c>
      <c r="J1083" s="42">
        <v>266</v>
      </c>
      <c r="K1083" s="225">
        <f t="shared" si="123"/>
        <v>17.161290322580644</v>
      </c>
      <c r="L1083" s="114"/>
      <c r="M1083" s="42"/>
      <c r="N1083" s="42"/>
      <c r="O1083" s="225"/>
      <c r="P1083" s="114"/>
      <c r="Q1083" s="42">
        <f t="shared" si="133"/>
        <v>1550</v>
      </c>
      <c r="R1083" s="42">
        <f t="shared" si="135"/>
        <v>266</v>
      </c>
      <c r="S1083" s="244">
        <f t="shared" si="124"/>
        <v>17.161290322580644</v>
      </c>
    </row>
    <row r="1084" spans="2:19" x14ac:dyDescent="0.2">
      <c r="B1084" s="67">
        <f t="shared" si="125"/>
        <v>323</v>
      </c>
      <c r="C1084" s="11"/>
      <c r="D1084" s="11"/>
      <c r="E1084" s="11"/>
      <c r="F1084" s="45" t="s">
        <v>75</v>
      </c>
      <c r="G1084" s="11">
        <v>630</v>
      </c>
      <c r="H1084" s="11" t="s">
        <v>660</v>
      </c>
      <c r="I1084" s="42">
        <v>173</v>
      </c>
      <c r="J1084" s="42">
        <v>480</v>
      </c>
      <c r="K1084" s="225">
        <f t="shared" si="123"/>
        <v>277.45664739884393</v>
      </c>
      <c r="L1084" s="114"/>
      <c r="M1084" s="42"/>
      <c r="N1084" s="42"/>
      <c r="O1084" s="225"/>
      <c r="P1084" s="114"/>
      <c r="Q1084" s="42">
        <f t="shared" si="133"/>
        <v>173</v>
      </c>
      <c r="R1084" s="42">
        <f t="shared" si="135"/>
        <v>480</v>
      </c>
      <c r="S1084" s="244">
        <f t="shared" si="124"/>
        <v>277.45664739884393</v>
      </c>
    </row>
    <row r="1085" spans="2:19" x14ac:dyDescent="0.2">
      <c r="B1085" s="67">
        <f t="shared" si="125"/>
        <v>324</v>
      </c>
      <c r="C1085" s="11"/>
      <c r="D1085" s="11"/>
      <c r="E1085" s="11"/>
      <c r="F1085" s="45"/>
      <c r="G1085" s="11"/>
      <c r="H1085" s="11"/>
      <c r="I1085" s="42"/>
      <c r="J1085" s="42"/>
      <c r="K1085" s="225"/>
      <c r="L1085" s="114"/>
      <c r="M1085" s="42"/>
      <c r="N1085" s="42"/>
      <c r="O1085" s="225"/>
      <c r="P1085" s="114"/>
      <c r="Q1085" s="42"/>
      <c r="R1085" s="42"/>
      <c r="S1085" s="244"/>
    </row>
    <row r="1086" spans="2:19" x14ac:dyDescent="0.2">
      <c r="B1086" s="67">
        <f t="shared" si="125"/>
        <v>325</v>
      </c>
      <c r="C1086" s="11"/>
      <c r="D1086" s="11"/>
      <c r="E1086" s="11"/>
      <c r="F1086" s="45"/>
      <c r="G1086" s="11">
        <v>630</v>
      </c>
      <c r="H1086" s="11" t="s">
        <v>610</v>
      </c>
      <c r="I1086" s="42">
        <v>156</v>
      </c>
      <c r="J1086" s="42">
        <v>156</v>
      </c>
      <c r="K1086" s="225">
        <f t="shared" si="123"/>
        <v>100</v>
      </c>
      <c r="L1086" s="114"/>
      <c r="M1086" s="42"/>
      <c r="N1086" s="42"/>
      <c r="O1086" s="225"/>
      <c r="P1086" s="114"/>
      <c r="Q1086" s="42">
        <f t="shared" ref="Q1086" si="136">M1086+I1086</f>
        <v>156</v>
      </c>
      <c r="R1086" s="42">
        <f t="shared" ref="R1086" si="137">N1086+J1086</f>
        <v>156</v>
      </c>
      <c r="S1086" s="244">
        <f t="shared" si="124"/>
        <v>100</v>
      </c>
    </row>
    <row r="1087" spans="2:19" x14ac:dyDescent="0.2">
      <c r="B1087" s="67">
        <f t="shared" si="125"/>
        <v>326</v>
      </c>
      <c r="C1087" s="11"/>
      <c r="D1087" s="11"/>
      <c r="E1087" s="11"/>
      <c r="F1087" s="45"/>
      <c r="G1087" s="11"/>
      <c r="H1087" s="11"/>
      <c r="I1087" s="42"/>
      <c r="J1087" s="42"/>
      <c r="K1087" s="225"/>
      <c r="L1087" s="114"/>
      <c r="M1087" s="42"/>
      <c r="N1087" s="42"/>
      <c r="O1087" s="225"/>
      <c r="P1087" s="114"/>
      <c r="Q1087" s="42"/>
      <c r="R1087" s="42"/>
      <c r="S1087" s="244"/>
    </row>
    <row r="1088" spans="2:19" x14ac:dyDescent="0.2">
      <c r="B1088" s="67">
        <f t="shared" si="125"/>
        <v>327</v>
      </c>
      <c r="C1088" s="11"/>
      <c r="D1088" s="11"/>
      <c r="E1088" s="11"/>
      <c r="F1088" s="45" t="s">
        <v>268</v>
      </c>
      <c r="G1088" s="11">
        <v>710</v>
      </c>
      <c r="H1088" s="11" t="s">
        <v>183</v>
      </c>
      <c r="I1088" s="42">
        <f>I1091</f>
        <v>0</v>
      </c>
      <c r="J1088" s="42">
        <f>J1091</f>
        <v>0</v>
      </c>
      <c r="K1088" s="225"/>
      <c r="L1088" s="114"/>
      <c r="M1088" s="42">
        <f>M1091+M1089</f>
        <v>102000</v>
      </c>
      <c r="N1088" s="42">
        <f>N1091+N1089</f>
        <v>0</v>
      </c>
      <c r="O1088" s="225">
        <f t="shared" ref="O1088:O1151" si="138">N1088/M1088*100</f>
        <v>0</v>
      </c>
      <c r="P1088" s="114"/>
      <c r="Q1088" s="42">
        <f t="shared" si="133"/>
        <v>102000</v>
      </c>
      <c r="R1088" s="42">
        <f t="shared" ref="R1088" si="139">N1088+J1088</f>
        <v>0</v>
      </c>
      <c r="S1088" s="244">
        <f t="shared" ref="S1088:S1151" si="140">R1088/Q1088*100</f>
        <v>0</v>
      </c>
    </row>
    <row r="1089" spans="2:19" x14ac:dyDescent="0.2">
      <c r="B1089" s="67">
        <f t="shared" ref="B1089:B1093" si="141">B1088+1</f>
        <v>328</v>
      </c>
      <c r="C1089" s="11"/>
      <c r="D1089" s="11"/>
      <c r="E1089" s="11"/>
      <c r="F1089" s="77" t="s">
        <v>268</v>
      </c>
      <c r="G1089" s="78">
        <v>716</v>
      </c>
      <c r="H1089" s="78" t="s">
        <v>0</v>
      </c>
      <c r="I1089" s="79"/>
      <c r="J1089" s="79"/>
      <c r="K1089" s="225"/>
      <c r="L1089" s="68"/>
      <c r="M1089" s="79">
        <f>M1090</f>
        <v>2900</v>
      </c>
      <c r="N1089" s="79">
        <f>N1090</f>
        <v>0</v>
      </c>
      <c r="O1089" s="225">
        <f t="shared" si="138"/>
        <v>0</v>
      </c>
      <c r="P1089" s="68"/>
      <c r="Q1089" s="79">
        <f t="shared" ref="Q1089" si="142">I1089+M1089</f>
        <v>2900</v>
      </c>
      <c r="R1089" s="79">
        <f t="shared" ref="R1089" si="143">J1089+N1089</f>
        <v>0</v>
      </c>
      <c r="S1089" s="244">
        <f t="shared" si="140"/>
        <v>0</v>
      </c>
    </row>
    <row r="1090" spans="2:19" ht="24" x14ac:dyDescent="0.2">
      <c r="B1090" s="67">
        <f t="shared" si="141"/>
        <v>329</v>
      </c>
      <c r="C1090" s="11"/>
      <c r="D1090" s="11"/>
      <c r="E1090" s="11"/>
      <c r="F1090" s="45"/>
      <c r="G1090" s="11"/>
      <c r="H1090" s="151" t="s">
        <v>686</v>
      </c>
      <c r="I1090" s="42"/>
      <c r="J1090" s="42"/>
      <c r="K1090" s="225"/>
      <c r="L1090" s="114"/>
      <c r="M1090" s="51">
        <v>2900</v>
      </c>
      <c r="N1090" s="51"/>
      <c r="O1090" s="225">
        <f t="shared" si="138"/>
        <v>0</v>
      </c>
      <c r="P1090" s="68"/>
      <c r="Q1090" s="51">
        <f>M1090</f>
        <v>2900</v>
      </c>
      <c r="R1090" s="51">
        <f t="shared" ref="R1090" si="144">N1090</f>
        <v>0</v>
      </c>
      <c r="S1090" s="244">
        <f t="shared" si="140"/>
        <v>0</v>
      </c>
    </row>
    <row r="1091" spans="2:19" x14ac:dyDescent="0.2">
      <c r="B1091" s="67">
        <f t="shared" si="141"/>
        <v>330</v>
      </c>
      <c r="C1091" s="2"/>
      <c r="D1091" s="2"/>
      <c r="E1091" s="2"/>
      <c r="F1091" s="77" t="s">
        <v>268</v>
      </c>
      <c r="G1091" s="78">
        <v>717</v>
      </c>
      <c r="H1091" s="78" t="s">
        <v>193</v>
      </c>
      <c r="I1091" s="79"/>
      <c r="J1091" s="79"/>
      <c r="K1091" s="225"/>
      <c r="L1091" s="68"/>
      <c r="M1091" s="79">
        <f>SUM(M1092:M1093)</f>
        <v>99100</v>
      </c>
      <c r="N1091" s="79">
        <f>SUM(N1092:N1093)</f>
        <v>0</v>
      </c>
      <c r="O1091" s="225">
        <f t="shared" si="138"/>
        <v>0</v>
      </c>
      <c r="P1091" s="68"/>
      <c r="Q1091" s="79">
        <f t="shared" si="133"/>
        <v>99100</v>
      </c>
      <c r="R1091" s="79">
        <f t="shared" ref="R1091:R1114" si="145">N1091+J1091</f>
        <v>0</v>
      </c>
      <c r="S1091" s="244">
        <f t="shared" si="140"/>
        <v>0</v>
      </c>
    </row>
    <row r="1092" spans="2:19" x14ac:dyDescent="0.2">
      <c r="B1092" s="67">
        <f t="shared" si="141"/>
        <v>331</v>
      </c>
      <c r="C1092" s="2"/>
      <c r="D1092" s="2"/>
      <c r="E1092" s="2"/>
      <c r="F1092" s="46"/>
      <c r="G1092" s="2"/>
      <c r="H1092" s="2" t="s">
        <v>708</v>
      </c>
      <c r="I1092" s="22"/>
      <c r="J1092" s="22"/>
      <c r="K1092" s="225"/>
      <c r="L1092" s="68"/>
      <c r="M1092" s="22">
        <f>34000+30000+21000-2900</f>
        <v>82100</v>
      </c>
      <c r="N1092" s="22"/>
      <c r="O1092" s="225">
        <f t="shared" si="138"/>
        <v>0</v>
      </c>
      <c r="P1092" s="68"/>
      <c r="Q1092" s="22">
        <f t="shared" si="133"/>
        <v>82100</v>
      </c>
      <c r="R1092" s="22">
        <f t="shared" si="145"/>
        <v>0</v>
      </c>
      <c r="S1092" s="244">
        <f t="shared" si="140"/>
        <v>0</v>
      </c>
    </row>
    <row r="1093" spans="2:19" x14ac:dyDescent="0.2">
      <c r="B1093" s="67">
        <f t="shared" si="141"/>
        <v>332</v>
      </c>
      <c r="C1093" s="2"/>
      <c r="D1093" s="2"/>
      <c r="E1093" s="2"/>
      <c r="F1093" s="46"/>
      <c r="G1093" s="2"/>
      <c r="H1093" s="2" t="s">
        <v>668</v>
      </c>
      <c r="I1093" s="22"/>
      <c r="J1093" s="22"/>
      <c r="K1093" s="225"/>
      <c r="L1093" s="68"/>
      <c r="M1093" s="22">
        <v>17000</v>
      </c>
      <c r="N1093" s="22"/>
      <c r="O1093" s="225">
        <f t="shared" si="138"/>
        <v>0</v>
      </c>
      <c r="P1093" s="68"/>
      <c r="Q1093" s="22">
        <f t="shared" si="133"/>
        <v>17000</v>
      </c>
      <c r="R1093" s="22">
        <f t="shared" si="145"/>
        <v>0</v>
      </c>
      <c r="S1093" s="244">
        <f t="shared" si="140"/>
        <v>0</v>
      </c>
    </row>
    <row r="1094" spans="2:19" ht="15" x14ac:dyDescent="0.25">
      <c r="B1094" s="67">
        <f t="shared" ref="B1094:B1155" si="146">B1093+1</f>
        <v>333</v>
      </c>
      <c r="C1094" s="14"/>
      <c r="D1094" s="14"/>
      <c r="E1094" s="14">
        <v>10</v>
      </c>
      <c r="F1094" s="43"/>
      <c r="G1094" s="14"/>
      <c r="H1094" s="14" t="s">
        <v>254</v>
      </c>
      <c r="I1094" s="40">
        <f>I1095+I1096+I1097+I1103+I1104+I1105+I1106+I1113+I1118+I1116+I1114</f>
        <v>411110</v>
      </c>
      <c r="J1094" s="40">
        <f>J1095+J1096+J1097+J1103+J1104+J1105+J1106+J1113+J1118+J1116+J1114</f>
        <v>168088</v>
      </c>
      <c r="K1094" s="225">
        <f t="shared" ref="K1094:K1148" si="147">J1094/I1094*100</f>
        <v>40.886380774002092</v>
      </c>
      <c r="L1094" s="175"/>
      <c r="M1094" s="40">
        <f>M1095+M1096+M1097+M1103+M1104+M1105+M1106+M1113+M1118</f>
        <v>83000</v>
      </c>
      <c r="N1094" s="40">
        <f>N1095+N1096+N1097+N1103+N1104+N1105+N1106+N1113+N1118</f>
        <v>0</v>
      </c>
      <c r="O1094" s="225">
        <f t="shared" si="138"/>
        <v>0</v>
      </c>
      <c r="P1094" s="175"/>
      <c r="Q1094" s="40">
        <f t="shared" si="133"/>
        <v>494110</v>
      </c>
      <c r="R1094" s="40">
        <f t="shared" si="145"/>
        <v>168088</v>
      </c>
      <c r="S1094" s="244">
        <f t="shared" si="140"/>
        <v>34.018335998057111</v>
      </c>
    </row>
    <row r="1095" spans="2:19" x14ac:dyDescent="0.2">
      <c r="B1095" s="67">
        <f t="shared" si="146"/>
        <v>334</v>
      </c>
      <c r="C1095" s="11"/>
      <c r="D1095" s="11"/>
      <c r="E1095" s="11"/>
      <c r="F1095" s="45" t="s">
        <v>125</v>
      </c>
      <c r="G1095" s="11">
        <v>610</v>
      </c>
      <c r="H1095" s="11" t="s">
        <v>135</v>
      </c>
      <c r="I1095" s="42">
        <v>96918</v>
      </c>
      <c r="J1095" s="42">
        <v>42266</v>
      </c>
      <c r="K1095" s="225">
        <f t="shared" si="147"/>
        <v>43.610062114364723</v>
      </c>
      <c r="L1095" s="114"/>
      <c r="M1095" s="42"/>
      <c r="N1095" s="42"/>
      <c r="O1095" s="225"/>
      <c r="P1095" s="114"/>
      <c r="Q1095" s="42">
        <f t="shared" si="133"/>
        <v>96918</v>
      </c>
      <c r="R1095" s="42">
        <f t="shared" si="145"/>
        <v>42266</v>
      </c>
      <c r="S1095" s="244">
        <f t="shared" si="140"/>
        <v>43.610062114364723</v>
      </c>
    </row>
    <row r="1096" spans="2:19" x14ac:dyDescent="0.2">
      <c r="B1096" s="67">
        <f t="shared" si="146"/>
        <v>335</v>
      </c>
      <c r="C1096" s="11"/>
      <c r="D1096" s="11"/>
      <c r="E1096" s="11"/>
      <c r="F1096" s="45" t="s">
        <v>125</v>
      </c>
      <c r="G1096" s="11">
        <v>620</v>
      </c>
      <c r="H1096" s="11" t="s">
        <v>130</v>
      </c>
      <c r="I1096" s="42">
        <v>33873</v>
      </c>
      <c r="J1096" s="42">
        <v>14586</v>
      </c>
      <c r="K1096" s="225">
        <f t="shared" si="147"/>
        <v>43.060844920733324</v>
      </c>
      <c r="L1096" s="114"/>
      <c r="M1096" s="42"/>
      <c r="N1096" s="42"/>
      <c r="O1096" s="225"/>
      <c r="P1096" s="114"/>
      <c r="Q1096" s="42">
        <f t="shared" si="133"/>
        <v>33873</v>
      </c>
      <c r="R1096" s="42">
        <f t="shared" si="145"/>
        <v>14586</v>
      </c>
      <c r="S1096" s="244">
        <f t="shared" si="140"/>
        <v>43.060844920733324</v>
      </c>
    </row>
    <row r="1097" spans="2:19" x14ac:dyDescent="0.2">
      <c r="B1097" s="67">
        <f t="shared" si="146"/>
        <v>336</v>
      </c>
      <c r="C1097" s="11"/>
      <c r="D1097" s="11"/>
      <c r="E1097" s="11"/>
      <c r="F1097" s="45" t="s">
        <v>125</v>
      </c>
      <c r="G1097" s="11">
        <v>630</v>
      </c>
      <c r="H1097" s="11" t="s">
        <v>127</v>
      </c>
      <c r="I1097" s="42">
        <f>I1102+I1101+I1100+I1099+I1098</f>
        <v>19976</v>
      </c>
      <c r="J1097" s="42">
        <f>J1102+J1101+J1100+J1099+J1098</f>
        <v>12204</v>
      </c>
      <c r="K1097" s="225">
        <f t="shared" si="147"/>
        <v>61.093311974369243</v>
      </c>
      <c r="L1097" s="114"/>
      <c r="M1097" s="42">
        <v>0</v>
      </c>
      <c r="N1097" s="42"/>
      <c r="O1097" s="225"/>
      <c r="P1097" s="114"/>
      <c r="Q1097" s="42">
        <f t="shared" si="133"/>
        <v>19976</v>
      </c>
      <c r="R1097" s="42">
        <f t="shared" si="145"/>
        <v>12204</v>
      </c>
      <c r="S1097" s="244">
        <f t="shared" si="140"/>
        <v>61.093311974369243</v>
      </c>
    </row>
    <row r="1098" spans="2:19" x14ac:dyDescent="0.2">
      <c r="B1098" s="67">
        <f t="shared" si="146"/>
        <v>337</v>
      </c>
      <c r="C1098" s="2"/>
      <c r="D1098" s="2"/>
      <c r="E1098" s="2"/>
      <c r="F1098" s="46" t="s">
        <v>125</v>
      </c>
      <c r="G1098" s="2">
        <v>631</v>
      </c>
      <c r="H1098" s="2" t="s">
        <v>133</v>
      </c>
      <c r="I1098" s="22">
        <v>200</v>
      </c>
      <c r="J1098" s="22">
        <v>41</v>
      </c>
      <c r="K1098" s="225">
        <f t="shared" si="147"/>
        <v>20.5</v>
      </c>
      <c r="L1098" s="68"/>
      <c r="M1098" s="22"/>
      <c r="N1098" s="22"/>
      <c r="O1098" s="225"/>
      <c r="P1098" s="68"/>
      <c r="Q1098" s="22">
        <f t="shared" si="133"/>
        <v>200</v>
      </c>
      <c r="R1098" s="22">
        <f t="shared" si="145"/>
        <v>41</v>
      </c>
      <c r="S1098" s="244">
        <f t="shared" si="140"/>
        <v>20.5</v>
      </c>
    </row>
    <row r="1099" spans="2:19" x14ac:dyDescent="0.2">
      <c r="B1099" s="67">
        <f t="shared" si="146"/>
        <v>338</v>
      </c>
      <c r="C1099" s="2"/>
      <c r="D1099" s="2"/>
      <c r="E1099" s="2"/>
      <c r="F1099" s="46" t="s">
        <v>125</v>
      </c>
      <c r="G1099" s="2">
        <v>632</v>
      </c>
      <c r="H1099" s="2" t="s">
        <v>138</v>
      </c>
      <c r="I1099" s="22">
        <v>8860</v>
      </c>
      <c r="J1099" s="22">
        <v>2342</v>
      </c>
      <c r="K1099" s="225">
        <f t="shared" si="147"/>
        <v>26.433408577878104</v>
      </c>
      <c r="L1099" s="68"/>
      <c r="M1099" s="22"/>
      <c r="N1099" s="22"/>
      <c r="O1099" s="225"/>
      <c r="P1099" s="68"/>
      <c r="Q1099" s="22">
        <f t="shared" si="133"/>
        <v>8860</v>
      </c>
      <c r="R1099" s="22">
        <f t="shared" si="145"/>
        <v>2342</v>
      </c>
      <c r="S1099" s="244">
        <f t="shared" si="140"/>
        <v>26.433408577878104</v>
      </c>
    </row>
    <row r="1100" spans="2:19" x14ac:dyDescent="0.2">
      <c r="B1100" s="67">
        <f t="shared" si="146"/>
        <v>339</v>
      </c>
      <c r="C1100" s="2"/>
      <c r="D1100" s="2"/>
      <c r="E1100" s="2"/>
      <c r="F1100" s="46" t="s">
        <v>125</v>
      </c>
      <c r="G1100" s="2">
        <v>633</v>
      </c>
      <c r="H1100" s="2" t="s">
        <v>131</v>
      </c>
      <c r="I1100" s="22">
        <v>5080</v>
      </c>
      <c r="J1100" s="51">
        <v>3240</v>
      </c>
      <c r="K1100" s="225">
        <f t="shared" si="147"/>
        <v>63.779527559055119</v>
      </c>
      <c r="L1100" s="68"/>
      <c r="M1100" s="22"/>
      <c r="N1100" s="22"/>
      <c r="O1100" s="225"/>
      <c r="P1100" s="68"/>
      <c r="Q1100" s="22">
        <f t="shared" si="133"/>
        <v>5080</v>
      </c>
      <c r="R1100" s="22">
        <f t="shared" si="145"/>
        <v>3240</v>
      </c>
      <c r="S1100" s="244">
        <f t="shared" si="140"/>
        <v>63.779527559055119</v>
      </c>
    </row>
    <row r="1101" spans="2:19" x14ac:dyDescent="0.2">
      <c r="B1101" s="67">
        <f t="shared" si="146"/>
        <v>340</v>
      </c>
      <c r="C1101" s="2"/>
      <c r="D1101" s="2"/>
      <c r="E1101" s="2"/>
      <c r="F1101" s="46" t="s">
        <v>125</v>
      </c>
      <c r="G1101" s="2">
        <v>635</v>
      </c>
      <c r="H1101" s="2" t="s">
        <v>137</v>
      </c>
      <c r="I1101" s="22">
        <v>1890</v>
      </c>
      <c r="J1101" s="51">
        <v>69</v>
      </c>
      <c r="K1101" s="225">
        <f t="shared" si="147"/>
        <v>3.6507936507936511</v>
      </c>
      <c r="L1101" s="68"/>
      <c r="M1101" s="22"/>
      <c r="N1101" s="22"/>
      <c r="O1101" s="225"/>
      <c r="P1101" s="68"/>
      <c r="Q1101" s="22">
        <f t="shared" si="133"/>
        <v>1890</v>
      </c>
      <c r="R1101" s="22">
        <f t="shared" si="145"/>
        <v>69</v>
      </c>
      <c r="S1101" s="244">
        <f t="shared" si="140"/>
        <v>3.6507936507936511</v>
      </c>
    </row>
    <row r="1102" spans="2:19" x14ac:dyDescent="0.2">
      <c r="B1102" s="67">
        <f t="shared" si="146"/>
        <v>341</v>
      </c>
      <c r="C1102" s="2"/>
      <c r="D1102" s="2"/>
      <c r="E1102" s="2"/>
      <c r="F1102" s="46" t="s">
        <v>125</v>
      </c>
      <c r="G1102" s="2">
        <v>637</v>
      </c>
      <c r="H1102" s="2" t="s">
        <v>128</v>
      </c>
      <c r="I1102" s="22">
        <v>3946</v>
      </c>
      <c r="J1102" s="51">
        <v>6512</v>
      </c>
      <c r="K1102" s="225">
        <f t="shared" si="147"/>
        <v>165.02787633046123</v>
      </c>
      <c r="L1102" s="68"/>
      <c r="M1102" s="22"/>
      <c r="N1102" s="22"/>
      <c r="O1102" s="225"/>
      <c r="P1102" s="68"/>
      <c r="Q1102" s="22">
        <f t="shared" si="133"/>
        <v>3946</v>
      </c>
      <c r="R1102" s="22">
        <f t="shared" si="145"/>
        <v>6512</v>
      </c>
      <c r="S1102" s="244">
        <f t="shared" si="140"/>
        <v>165.02787633046123</v>
      </c>
    </row>
    <row r="1103" spans="2:19" x14ac:dyDescent="0.2">
      <c r="B1103" s="67">
        <f t="shared" si="146"/>
        <v>342</v>
      </c>
      <c r="C1103" s="11"/>
      <c r="D1103" s="11"/>
      <c r="E1103" s="11"/>
      <c r="F1103" s="45" t="s">
        <v>125</v>
      </c>
      <c r="G1103" s="11">
        <v>640</v>
      </c>
      <c r="H1103" s="11" t="s">
        <v>134</v>
      </c>
      <c r="I1103" s="42">
        <v>100</v>
      </c>
      <c r="J1103" s="42">
        <v>281</v>
      </c>
      <c r="K1103" s="225">
        <f t="shared" si="147"/>
        <v>281</v>
      </c>
      <c r="L1103" s="114"/>
      <c r="M1103" s="42"/>
      <c r="N1103" s="42"/>
      <c r="O1103" s="225"/>
      <c r="P1103" s="114"/>
      <c r="Q1103" s="42">
        <f t="shared" si="133"/>
        <v>100</v>
      </c>
      <c r="R1103" s="42">
        <f t="shared" si="145"/>
        <v>281</v>
      </c>
      <c r="S1103" s="244">
        <f t="shared" si="140"/>
        <v>281</v>
      </c>
    </row>
    <row r="1104" spans="2:19" x14ac:dyDescent="0.2">
      <c r="B1104" s="67">
        <f t="shared" si="146"/>
        <v>343</v>
      </c>
      <c r="C1104" s="11"/>
      <c r="D1104" s="11"/>
      <c r="E1104" s="11"/>
      <c r="F1104" s="45" t="s">
        <v>268</v>
      </c>
      <c r="G1104" s="11">
        <v>610</v>
      </c>
      <c r="H1104" s="11" t="s">
        <v>135</v>
      </c>
      <c r="I1104" s="42">
        <v>124619</v>
      </c>
      <c r="J1104" s="42">
        <v>47420</v>
      </c>
      <c r="K1104" s="225">
        <f t="shared" si="147"/>
        <v>38.051982442484693</v>
      </c>
      <c r="L1104" s="114"/>
      <c r="M1104" s="42"/>
      <c r="N1104" s="42"/>
      <c r="O1104" s="225"/>
      <c r="P1104" s="114"/>
      <c r="Q1104" s="42">
        <f t="shared" si="133"/>
        <v>124619</v>
      </c>
      <c r="R1104" s="42">
        <f t="shared" si="145"/>
        <v>47420</v>
      </c>
      <c r="S1104" s="244">
        <f t="shared" si="140"/>
        <v>38.051982442484693</v>
      </c>
    </row>
    <row r="1105" spans="2:19" x14ac:dyDescent="0.2">
      <c r="B1105" s="67">
        <f t="shared" si="146"/>
        <v>344</v>
      </c>
      <c r="C1105" s="11"/>
      <c r="D1105" s="11"/>
      <c r="E1105" s="11"/>
      <c r="F1105" s="45" t="s">
        <v>268</v>
      </c>
      <c r="G1105" s="11">
        <v>620</v>
      </c>
      <c r="H1105" s="11" t="s">
        <v>130</v>
      </c>
      <c r="I1105" s="42">
        <v>43557</v>
      </c>
      <c r="J1105" s="42">
        <v>16820</v>
      </c>
      <c r="K1105" s="225">
        <f t="shared" si="147"/>
        <v>38.616066303923596</v>
      </c>
      <c r="L1105" s="114"/>
      <c r="M1105" s="42"/>
      <c r="N1105" s="42"/>
      <c r="O1105" s="225"/>
      <c r="P1105" s="114"/>
      <c r="Q1105" s="42">
        <f t="shared" si="133"/>
        <v>43557</v>
      </c>
      <c r="R1105" s="42">
        <f t="shared" si="145"/>
        <v>16820</v>
      </c>
      <c r="S1105" s="244">
        <f t="shared" si="140"/>
        <v>38.616066303923596</v>
      </c>
    </row>
    <row r="1106" spans="2:19" x14ac:dyDescent="0.2">
      <c r="B1106" s="67">
        <f t="shared" si="146"/>
        <v>345</v>
      </c>
      <c r="C1106" s="11"/>
      <c r="D1106" s="11"/>
      <c r="E1106" s="11"/>
      <c r="F1106" s="45" t="s">
        <v>268</v>
      </c>
      <c r="G1106" s="11">
        <v>630</v>
      </c>
      <c r="H1106" s="11" t="s">
        <v>127</v>
      </c>
      <c r="I1106" s="42">
        <f>I1112+I1111+I1110+I1109+I1108+I1107</f>
        <v>83509</v>
      </c>
      <c r="J1106" s="42">
        <f>J1112+J1111+J1110+J1109+J1108+J1107</f>
        <v>26041</v>
      </c>
      <c r="K1106" s="225">
        <f t="shared" si="147"/>
        <v>31.183465255241948</v>
      </c>
      <c r="L1106" s="114"/>
      <c r="M1106" s="42">
        <f>M1112+M1111+M1110+M1109+M1108+M1107</f>
        <v>0</v>
      </c>
      <c r="N1106" s="42">
        <f>N1112+N1111+N1110+N1109+N1108+N1107</f>
        <v>0</v>
      </c>
      <c r="O1106" s="225"/>
      <c r="P1106" s="114"/>
      <c r="Q1106" s="42">
        <f t="shared" si="133"/>
        <v>83509</v>
      </c>
      <c r="R1106" s="42">
        <f t="shared" si="145"/>
        <v>26041</v>
      </c>
      <c r="S1106" s="244">
        <f t="shared" si="140"/>
        <v>31.183465255241948</v>
      </c>
    </row>
    <row r="1107" spans="2:19" x14ac:dyDescent="0.2">
      <c r="B1107" s="67">
        <f t="shared" si="146"/>
        <v>346</v>
      </c>
      <c r="C1107" s="2"/>
      <c r="D1107" s="2"/>
      <c r="E1107" s="2"/>
      <c r="F1107" s="46" t="s">
        <v>268</v>
      </c>
      <c r="G1107" s="2">
        <v>631</v>
      </c>
      <c r="H1107" s="2" t="s">
        <v>133</v>
      </c>
      <c r="I1107" s="22">
        <v>350</v>
      </c>
      <c r="J1107" s="51">
        <v>50</v>
      </c>
      <c r="K1107" s="225">
        <f t="shared" si="147"/>
        <v>14.285714285714285</v>
      </c>
      <c r="L1107" s="68"/>
      <c r="M1107" s="22"/>
      <c r="N1107" s="22"/>
      <c r="O1107" s="225"/>
      <c r="P1107" s="68"/>
      <c r="Q1107" s="22">
        <f t="shared" si="133"/>
        <v>350</v>
      </c>
      <c r="R1107" s="22">
        <f t="shared" si="145"/>
        <v>50</v>
      </c>
      <c r="S1107" s="244">
        <f t="shared" si="140"/>
        <v>14.285714285714285</v>
      </c>
    </row>
    <row r="1108" spans="2:19" x14ac:dyDescent="0.2">
      <c r="B1108" s="67">
        <f t="shared" si="146"/>
        <v>347</v>
      </c>
      <c r="C1108" s="2"/>
      <c r="D1108" s="2"/>
      <c r="E1108" s="2"/>
      <c r="F1108" s="46" t="s">
        <v>268</v>
      </c>
      <c r="G1108" s="2">
        <v>632</v>
      </c>
      <c r="H1108" s="2" t="s">
        <v>138</v>
      </c>
      <c r="I1108" s="22">
        <v>58485</v>
      </c>
      <c r="J1108" s="51">
        <v>10009</v>
      </c>
      <c r="K1108" s="225">
        <f t="shared" si="147"/>
        <v>17.11378986064803</v>
      </c>
      <c r="L1108" s="68"/>
      <c r="M1108" s="22"/>
      <c r="N1108" s="22"/>
      <c r="O1108" s="225"/>
      <c r="P1108" s="68"/>
      <c r="Q1108" s="22">
        <f t="shared" si="133"/>
        <v>58485</v>
      </c>
      <c r="R1108" s="22">
        <f t="shared" si="145"/>
        <v>10009</v>
      </c>
      <c r="S1108" s="244">
        <f t="shared" si="140"/>
        <v>17.11378986064803</v>
      </c>
    </row>
    <row r="1109" spans="2:19" x14ac:dyDescent="0.2">
      <c r="B1109" s="67">
        <f t="shared" si="146"/>
        <v>348</v>
      </c>
      <c r="C1109" s="2"/>
      <c r="D1109" s="2"/>
      <c r="E1109" s="2"/>
      <c r="F1109" s="46" t="s">
        <v>268</v>
      </c>
      <c r="G1109" s="2">
        <v>633</v>
      </c>
      <c r="H1109" s="2" t="s">
        <v>131</v>
      </c>
      <c r="I1109" s="22">
        <v>9467</v>
      </c>
      <c r="J1109" s="51">
        <v>4010</v>
      </c>
      <c r="K1109" s="225">
        <f t="shared" si="147"/>
        <v>42.357663462554136</v>
      </c>
      <c r="L1109" s="68"/>
      <c r="M1109" s="22"/>
      <c r="N1109" s="22"/>
      <c r="O1109" s="225"/>
      <c r="P1109" s="68"/>
      <c r="Q1109" s="22">
        <f t="shared" si="133"/>
        <v>9467</v>
      </c>
      <c r="R1109" s="22">
        <f t="shared" si="145"/>
        <v>4010</v>
      </c>
      <c r="S1109" s="244">
        <f t="shared" si="140"/>
        <v>42.357663462554136</v>
      </c>
    </row>
    <row r="1110" spans="2:19" x14ac:dyDescent="0.2">
      <c r="B1110" s="67">
        <f t="shared" si="146"/>
        <v>349</v>
      </c>
      <c r="C1110" s="2"/>
      <c r="D1110" s="2"/>
      <c r="E1110" s="2"/>
      <c r="F1110" s="46" t="s">
        <v>268</v>
      </c>
      <c r="G1110" s="2">
        <v>635</v>
      </c>
      <c r="H1110" s="2" t="s">
        <v>137</v>
      </c>
      <c r="I1110" s="22">
        <v>1850</v>
      </c>
      <c r="J1110" s="51">
        <v>85</v>
      </c>
      <c r="K1110" s="225">
        <f t="shared" si="147"/>
        <v>4.5945945945945947</v>
      </c>
      <c r="L1110" s="68"/>
      <c r="M1110" s="22"/>
      <c r="N1110" s="22"/>
      <c r="O1110" s="225"/>
      <c r="P1110" s="68"/>
      <c r="Q1110" s="22">
        <f t="shared" si="133"/>
        <v>1850</v>
      </c>
      <c r="R1110" s="22">
        <f t="shared" si="145"/>
        <v>85</v>
      </c>
      <c r="S1110" s="244">
        <f t="shared" si="140"/>
        <v>4.5945945945945947</v>
      </c>
    </row>
    <row r="1111" spans="2:19" x14ac:dyDescent="0.2">
      <c r="B1111" s="67">
        <f t="shared" si="146"/>
        <v>350</v>
      </c>
      <c r="C1111" s="2"/>
      <c r="D1111" s="2"/>
      <c r="E1111" s="2"/>
      <c r="F1111" s="46" t="s">
        <v>268</v>
      </c>
      <c r="G1111" s="2">
        <v>636</v>
      </c>
      <c r="H1111" s="2" t="s">
        <v>132</v>
      </c>
      <c r="I1111" s="22">
        <v>1650</v>
      </c>
      <c r="J1111" s="51">
        <v>918</v>
      </c>
      <c r="K1111" s="225">
        <f t="shared" si="147"/>
        <v>55.63636363636364</v>
      </c>
      <c r="L1111" s="68"/>
      <c r="M1111" s="22"/>
      <c r="N1111" s="22"/>
      <c r="O1111" s="225"/>
      <c r="P1111" s="68"/>
      <c r="Q1111" s="22">
        <f t="shared" si="133"/>
        <v>1650</v>
      </c>
      <c r="R1111" s="22">
        <f t="shared" si="145"/>
        <v>918</v>
      </c>
      <c r="S1111" s="244">
        <f t="shared" si="140"/>
        <v>55.63636363636364</v>
      </c>
    </row>
    <row r="1112" spans="2:19" x14ac:dyDescent="0.2">
      <c r="B1112" s="67">
        <f t="shared" si="146"/>
        <v>351</v>
      </c>
      <c r="C1112" s="2"/>
      <c r="D1112" s="2"/>
      <c r="E1112" s="2"/>
      <c r="F1112" s="46" t="s">
        <v>268</v>
      </c>
      <c r="G1112" s="2">
        <v>637</v>
      </c>
      <c r="H1112" s="2" t="s">
        <v>128</v>
      </c>
      <c r="I1112" s="22">
        <f>6457+5250</f>
        <v>11707</v>
      </c>
      <c r="J1112" s="51">
        <v>10969</v>
      </c>
      <c r="K1112" s="225">
        <f t="shared" si="147"/>
        <v>93.69607926881352</v>
      </c>
      <c r="L1112" s="68"/>
      <c r="M1112" s="22"/>
      <c r="N1112" s="22"/>
      <c r="O1112" s="225"/>
      <c r="P1112" s="68"/>
      <c r="Q1112" s="22">
        <f t="shared" si="133"/>
        <v>11707</v>
      </c>
      <c r="R1112" s="22">
        <f t="shared" si="145"/>
        <v>10969</v>
      </c>
      <c r="S1112" s="244">
        <f t="shared" si="140"/>
        <v>93.69607926881352</v>
      </c>
    </row>
    <row r="1113" spans="2:19" x14ac:dyDescent="0.2">
      <c r="B1113" s="67">
        <f t="shared" si="146"/>
        <v>352</v>
      </c>
      <c r="C1113" s="11"/>
      <c r="D1113" s="11"/>
      <c r="E1113" s="11"/>
      <c r="F1113" s="45" t="s">
        <v>268</v>
      </c>
      <c r="G1113" s="11">
        <v>640</v>
      </c>
      <c r="H1113" s="11" t="s">
        <v>134</v>
      </c>
      <c r="I1113" s="42">
        <v>500</v>
      </c>
      <c r="J1113" s="42">
        <v>287</v>
      </c>
      <c r="K1113" s="225">
        <f t="shared" si="147"/>
        <v>57.4</v>
      </c>
      <c r="L1113" s="114"/>
      <c r="M1113" s="42"/>
      <c r="N1113" s="42"/>
      <c r="O1113" s="225"/>
      <c r="P1113" s="114"/>
      <c r="Q1113" s="42">
        <f t="shared" si="133"/>
        <v>500</v>
      </c>
      <c r="R1113" s="42">
        <f t="shared" si="145"/>
        <v>287</v>
      </c>
      <c r="S1113" s="244">
        <f t="shared" si="140"/>
        <v>57.4</v>
      </c>
    </row>
    <row r="1114" spans="2:19" x14ac:dyDescent="0.2">
      <c r="B1114" s="67">
        <f t="shared" si="146"/>
        <v>353</v>
      </c>
      <c r="C1114" s="11"/>
      <c r="D1114" s="11"/>
      <c r="E1114" s="11"/>
      <c r="F1114" s="45" t="s">
        <v>75</v>
      </c>
      <c r="G1114" s="11">
        <v>630</v>
      </c>
      <c r="H1114" s="11" t="s">
        <v>660</v>
      </c>
      <c r="I1114" s="42">
        <v>126</v>
      </c>
      <c r="J1114" s="42">
        <v>251</v>
      </c>
      <c r="K1114" s="225">
        <f t="shared" si="147"/>
        <v>199.20634920634922</v>
      </c>
      <c r="L1114" s="114"/>
      <c r="M1114" s="42"/>
      <c r="N1114" s="42"/>
      <c r="O1114" s="225"/>
      <c r="P1114" s="114"/>
      <c r="Q1114" s="42">
        <f t="shared" si="133"/>
        <v>126</v>
      </c>
      <c r="R1114" s="42">
        <f t="shared" si="145"/>
        <v>251</v>
      </c>
      <c r="S1114" s="244">
        <f t="shared" si="140"/>
        <v>199.20634920634922</v>
      </c>
    </row>
    <row r="1115" spans="2:19" x14ac:dyDescent="0.2">
      <c r="B1115" s="67">
        <f t="shared" si="146"/>
        <v>354</v>
      </c>
      <c r="C1115" s="11"/>
      <c r="D1115" s="11"/>
      <c r="E1115" s="11"/>
      <c r="F1115" s="45"/>
      <c r="G1115" s="11"/>
      <c r="H1115" s="11"/>
      <c r="I1115" s="42"/>
      <c r="J1115" s="42"/>
      <c r="K1115" s="225"/>
      <c r="L1115" s="114"/>
      <c r="M1115" s="42"/>
      <c r="N1115" s="42"/>
      <c r="O1115" s="225"/>
      <c r="P1115" s="114"/>
      <c r="Q1115" s="42"/>
      <c r="R1115" s="42"/>
      <c r="S1115" s="244"/>
    </row>
    <row r="1116" spans="2:19" x14ac:dyDescent="0.2">
      <c r="B1116" s="67">
        <f t="shared" si="146"/>
        <v>355</v>
      </c>
      <c r="C1116" s="11"/>
      <c r="D1116" s="11"/>
      <c r="E1116" s="11"/>
      <c r="F1116" s="45"/>
      <c r="G1116" s="11">
        <v>630</v>
      </c>
      <c r="H1116" s="11" t="s">
        <v>610</v>
      </c>
      <c r="I1116" s="42">
        <v>7932</v>
      </c>
      <c r="J1116" s="42">
        <v>7932</v>
      </c>
      <c r="K1116" s="225">
        <f t="shared" si="147"/>
        <v>100</v>
      </c>
      <c r="L1116" s="114"/>
      <c r="M1116" s="42"/>
      <c r="N1116" s="42"/>
      <c r="O1116" s="225"/>
      <c r="P1116" s="114"/>
      <c r="Q1116" s="42">
        <f t="shared" ref="Q1116" si="148">M1116+I1116</f>
        <v>7932</v>
      </c>
      <c r="R1116" s="42">
        <f t="shared" ref="R1116" si="149">N1116+J1116</f>
        <v>7932</v>
      </c>
      <c r="S1116" s="244">
        <f t="shared" si="140"/>
        <v>100</v>
      </c>
    </row>
    <row r="1117" spans="2:19" x14ac:dyDescent="0.2">
      <c r="B1117" s="67">
        <f t="shared" si="146"/>
        <v>356</v>
      </c>
      <c r="C1117" s="11"/>
      <c r="D1117" s="11"/>
      <c r="E1117" s="11"/>
      <c r="F1117" s="45"/>
      <c r="G1117" s="11"/>
      <c r="H1117" s="11"/>
      <c r="I1117" s="42"/>
      <c r="J1117" s="42"/>
      <c r="K1117" s="225"/>
      <c r="L1117" s="114"/>
      <c r="M1117" s="42"/>
      <c r="N1117" s="42"/>
      <c r="O1117" s="225"/>
      <c r="P1117" s="114"/>
      <c r="Q1117" s="42"/>
      <c r="R1117" s="42"/>
      <c r="S1117" s="244"/>
    </row>
    <row r="1118" spans="2:19" x14ac:dyDescent="0.2">
      <c r="B1118" s="67">
        <f t="shared" si="146"/>
        <v>357</v>
      </c>
      <c r="C1118" s="11"/>
      <c r="D1118" s="11"/>
      <c r="E1118" s="11"/>
      <c r="F1118" s="45" t="s">
        <v>125</v>
      </c>
      <c r="G1118" s="11">
        <v>710</v>
      </c>
      <c r="H1118" s="11" t="s">
        <v>183</v>
      </c>
      <c r="I1118" s="42">
        <f>I1122</f>
        <v>0</v>
      </c>
      <c r="J1118" s="42">
        <f>J1122</f>
        <v>0</v>
      </c>
      <c r="K1118" s="225"/>
      <c r="L1118" s="114"/>
      <c r="M1118" s="42">
        <f>M1122+M1119</f>
        <v>83000</v>
      </c>
      <c r="N1118" s="42">
        <f>N1122+N1119</f>
        <v>0</v>
      </c>
      <c r="O1118" s="225">
        <f t="shared" si="138"/>
        <v>0</v>
      </c>
      <c r="P1118" s="114"/>
      <c r="Q1118" s="42">
        <f t="shared" si="133"/>
        <v>83000</v>
      </c>
      <c r="R1118" s="42">
        <f t="shared" ref="R1118" si="150">N1118+J1118</f>
        <v>0</v>
      </c>
      <c r="S1118" s="244">
        <f t="shared" si="140"/>
        <v>0</v>
      </c>
    </row>
    <row r="1119" spans="2:19" x14ac:dyDescent="0.2">
      <c r="B1119" s="67">
        <f t="shared" si="146"/>
        <v>358</v>
      </c>
      <c r="C1119" s="11"/>
      <c r="D1119" s="11"/>
      <c r="E1119" s="11"/>
      <c r="F1119" s="77" t="s">
        <v>125</v>
      </c>
      <c r="G1119" s="78">
        <v>716</v>
      </c>
      <c r="H1119" s="78" t="s">
        <v>0</v>
      </c>
      <c r="I1119" s="79"/>
      <c r="J1119" s="79"/>
      <c r="K1119" s="225"/>
      <c r="L1119" s="68"/>
      <c r="M1119" s="79">
        <f>M1120+M1121</f>
        <v>7600</v>
      </c>
      <c r="N1119" s="79">
        <f>N1120+N1121</f>
        <v>0</v>
      </c>
      <c r="O1119" s="225">
        <f t="shared" si="138"/>
        <v>0</v>
      </c>
      <c r="P1119" s="68"/>
      <c r="Q1119" s="79">
        <f t="shared" ref="Q1119:Q1121" si="151">I1119+M1119</f>
        <v>7600</v>
      </c>
      <c r="R1119" s="79">
        <f t="shared" ref="R1119:R1121" si="152">J1119+N1119</f>
        <v>0</v>
      </c>
      <c r="S1119" s="244">
        <f t="shared" si="140"/>
        <v>0</v>
      </c>
    </row>
    <row r="1120" spans="2:19" x14ac:dyDescent="0.2">
      <c r="B1120" s="67">
        <f t="shared" si="146"/>
        <v>359</v>
      </c>
      <c r="C1120" s="11"/>
      <c r="D1120" s="11"/>
      <c r="E1120" s="11"/>
      <c r="F1120" s="46"/>
      <c r="G1120" s="2"/>
      <c r="H1120" s="2" t="s">
        <v>593</v>
      </c>
      <c r="I1120" s="22"/>
      <c r="J1120" s="22"/>
      <c r="K1120" s="225"/>
      <c r="L1120" s="68"/>
      <c r="M1120" s="22">
        <v>6600</v>
      </c>
      <c r="N1120" s="22"/>
      <c r="O1120" s="225">
        <f t="shared" si="138"/>
        <v>0</v>
      </c>
      <c r="P1120" s="68"/>
      <c r="Q1120" s="22">
        <f t="shared" si="151"/>
        <v>6600</v>
      </c>
      <c r="R1120" s="22">
        <f t="shared" si="152"/>
        <v>0</v>
      </c>
      <c r="S1120" s="244">
        <f t="shared" si="140"/>
        <v>0</v>
      </c>
    </row>
    <row r="1121" spans="2:19" x14ac:dyDescent="0.2">
      <c r="B1121" s="67">
        <f t="shared" si="146"/>
        <v>360</v>
      </c>
      <c r="C1121" s="11"/>
      <c r="D1121" s="11"/>
      <c r="E1121" s="11"/>
      <c r="F1121" s="46"/>
      <c r="G1121" s="2"/>
      <c r="H1121" s="2" t="s">
        <v>662</v>
      </c>
      <c r="I1121" s="22"/>
      <c r="J1121" s="22"/>
      <c r="K1121" s="225"/>
      <c r="L1121" s="68"/>
      <c r="M1121" s="22">
        <v>1000</v>
      </c>
      <c r="N1121" s="22"/>
      <c r="O1121" s="225">
        <f t="shared" si="138"/>
        <v>0</v>
      </c>
      <c r="P1121" s="68"/>
      <c r="Q1121" s="22">
        <f t="shared" si="151"/>
        <v>1000</v>
      </c>
      <c r="R1121" s="22">
        <f t="shared" si="152"/>
        <v>0</v>
      </c>
      <c r="S1121" s="244">
        <f t="shared" si="140"/>
        <v>0</v>
      </c>
    </row>
    <row r="1122" spans="2:19" x14ac:dyDescent="0.2">
      <c r="B1122" s="67">
        <f t="shared" si="146"/>
        <v>361</v>
      </c>
      <c r="C1122" s="2"/>
      <c r="D1122" s="2"/>
      <c r="E1122" s="2"/>
      <c r="F1122" s="77" t="s">
        <v>125</v>
      </c>
      <c r="G1122" s="78">
        <v>717</v>
      </c>
      <c r="H1122" s="78" t="s">
        <v>193</v>
      </c>
      <c r="I1122" s="79"/>
      <c r="J1122" s="79"/>
      <c r="K1122" s="225"/>
      <c r="L1122" s="68"/>
      <c r="M1122" s="79">
        <f>SUM(M1123:M1124)</f>
        <v>75400</v>
      </c>
      <c r="N1122" s="79">
        <f>SUM(N1123:N1124)</f>
        <v>0</v>
      </c>
      <c r="O1122" s="225">
        <f t="shared" si="138"/>
        <v>0</v>
      </c>
      <c r="P1122" s="68"/>
      <c r="Q1122" s="79">
        <f t="shared" si="133"/>
        <v>75400</v>
      </c>
      <c r="R1122" s="79">
        <f t="shared" ref="R1122:R1146" si="153">N1122+J1122</f>
        <v>0</v>
      </c>
      <c r="S1122" s="244">
        <f t="shared" si="140"/>
        <v>0</v>
      </c>
    </row>
    <row r="1123" spans="2:19" x14ac:dyDescent="0.2">
      <c r="B1123" s="67">
        <f t="shared" si="146"/>
        <v>362</v>
      </c>
      <c r="C1123" s="2"/>
      <c r="D1123" s="2"/>
      <c r="E1123" s="2"/>
      <c r="F1123" s="57"/>
      <c r="G1123" s="53"/>
      <c r="H1123" s="53" t="s">
        <v>501</v>
      </c>
      <c r="I1123" s="51"/>
      <c r="J1123" s="51"/>
      <c r="K1123" s="225"/>
      <c r="L1123" s="68"/>
      <c r="M1123" s="51">
        <f>70000-6600</f>
        <v>63400</v>
      </c>
      <c r="N1123" s="51"/>
      <c r="O1123" s="225">
        <f t="shared" si="138"/>
        <v>0</v>
      </c>
      <c r="P1123" s="68"/>
      <c r="Q1123" s="22">
        <f t="shared" si="133"/>
        <v>63400</v>
      </c>
      <c r="R1123" s="22">
        <f t="shared" si="153"/>
        <v>0</v>
      </c>
      <c r="S1123" s="244">
        <f t="shared" si="140"/>
        <v>0</v>
      </c>
    </row>
    <row r="1124" spans="2:19" x14ac:dyDescent="0.2">
      <c r="B1124" s="67">
        <f t="shared" si="146"/>
        <v>363</v>
      </c>
      <c r="C1124" s="2"/>
      <c r="D1124" s="2"/>
      <c r="E1124" s="2"/>
      <c r="F1124" s="57"/>
      <c r="G1124" s="53"/>
      <c r="H1124" s="53" t="s">
        <v>502</v>
      </c>
      <c r="I1124" s="51"/>
      <c r="J1124" s="51"/>
      <c r="K1124" s="225"/>
      <c r="L1124" s="68"/>
      <c r="M1124" s="51">
        <f>13000-1000</f>
        <v>12000</v>
      </c>
      <c r="N1124" s="51"/>
      <c r="O1124" s="225">
        <f t="shared" si="138"/>
        <v>0</v>
      </c>
      <c r="P1124" s="68"/>
      <c r="Q1124" s="22">
        <f t="shared" si="133"/>
        <v>12000</v>
      </c>
      <c r="R1124" s="22">
        <f t="shared" si="153"/>
        <v>0</v>
      </c>
      <c r="S1124" s="244">
        <f t="shared" si="140"/>
        <v>0</v>
      </c>
    </row>
    <row r="1125" spans="2:19" ht="15" x14ac:dyDescent="0.25">
      <c r="B1125" s="67">
        <f t="shared" si="146"/>
        <v>364</v>
      </c>
      <c r="C1125" s="14"/>
      <c r="D1125" s="14"/>
      <c r="E1125" s="14">
        <v>11</v>
      </c>
      <c r="F1125" s="43"/>
      <c r="G1125" s="14"/>
      <c r="H1125" s="14" t="s">
        <v>271</v>
      </c>
      <c r="I1125" s="40">
        <f>I1126+I1127+I1128+I1135+I1136+I1137+I1138+I1145+I1148+I1146</f>
        <v>1203129</v>
      </c>
      <c r="J1125" s="40">
        <f>J1126+J1127+J1128+J1135+J1136+J1137+J1138+J1145+J1148+J1146</f>
        <v>500075</v>
      </c>
      <c r="K1125" s="225">
        <f t="shared" si="147"/>
        <v>41.564537136084326</v>
      </c>
      <c r="L1125" s="175"/>
      <c r="M1125" s="40">
        <f>M1126+M1127+M1128+M1135+M1136+M1137+M1138+M1145+M1150</f>
        <v>74000</v>
      </c>
      <c r="N1125" s="40">
        <f>N1126+N1127+N1128+N1135+N1136+N1137+N1138+N1145+N1150</f>
        <v>0</v>
      </c>
      <c r="O1125" s="225">
        <f t="shared" si="138"/>
        <v>0</v>
      </c>
      <c r="P1125" s="175"/>
      <c r="Q1125" s="40">
        <f t="shared" si="133"/>
        <v>1277129</v>
      </c>
      <c r="R1125" s="40">
        <f t="shared" si="153"/>
        <v>500075</v>
      </c>
      <c r="S1125" s="244">
        <f t="shared" si="140"/>
        <v>39.156185475390501</v>
      </c>
    </row>
    <row r="1126" spans="2:19" x14ac:dyDescent="0.2">
      <c r="B1126" s="67">
        <f t="shared" si="146"/>
        <v>365</v>
      </c>
      <c r="C1126" s="11"/>
      <c r="D1126" s="11"/>
      <c r="E1126" s="11"/>
      <c r="F1126" s="45" t="s">
        <v>125</v>
      </c>
      <c r="G1126" s="11">
        <v>610</v>
      </c>
      <c r="H1126" s="11" t="s">
        <v>135</v>
      </c>
      <c r="I1126" s="42">
        <v>258332</v>
      </c>
      <c r="J1126" s="42">
        <v>92880</v>
      </c>
      <c r="K1126" s="225">
        <f t="shared" si="147"/>
        <v>35.953733954755897</v>
      </c>
      <c r="L1126" s="114"/>
      <c r="M1126" s="42"/>
      <c r="N1126" s="42"/>
      <c r="O1126" s="225"/>
      <c r="P1126" s="114"/>
      <c r="Q1126" s="42">
        <f t="shared" si="133"/>
        <v>258332</v>
      </c>
      <c r="R1126" s="42">
        <f t="shared" si="153"/>
        <v>92880</v>
      </c>
      <c r="S1126" s="244">
        <f t="shared" si="140"/>
        <v>35.953733954755897</v>
      </c>
    </row>
    <row r="1127" spans="2:19" x14ac:dyDescent="0.2">
      <c r="B1127" s="67">
        <f t="shared" si="146"/>
        <v>366</v>
      </c>
      <c r="C1127" s="11"/>
      <c r="D1127" s="11"/>
      <c r="E1127" s="11"/>
      <c r="F1127" s="45" t="s">
        <v>125</v>
      </c>
      <c r="G1127" s="11">
        <v>620</v>
      </c>
      <c r="H1127" s="11" t="s">
        <v>130</v>
      </c>
      <c r="I1127" s="42">
        <v>90407</v>
      </c>
      <c r="J1127" s="42">
        <v>31706</v>
      </c>
      <c r="K1127" s="225">
        <f t="shared" si="147"/>
        <v>35.070293229506568</v>
      </c>
      <c r="L1127" s="114"/>
      <c r="M1127" s="42"/>
      <c r="N1127" s="42"/>
      <c r="O1127" s="225"/>
      <c r="P1127" s="114"/>
      <c r="Q1127" s="42">
        <f t="shared" si="133"/>
        <v>90407</v>
      </c>
      <c r="R1127" s="42">
        <f t="shared" si="153"/>
        <v>31706</v>
      </c>
      <c r="S1127" s="244">
        <f t="shared" si="140"/>
        <v>35.070293229506568</v>
      </c>
    </row>
    <row r="1128" spans="2:19" x14ac:dyDescent="0.2">
      <c r="B1128" s="67">
        <f t="shared" si="146"/>
        <v>367</v>
      </c>
      <c r="C1128" s="11"/>
      <c r="D1128" s="11"/>
      <c r="E1128" s="11"/>
      <c r="F1128" s="45" t="s">
        <v>125</v>
      </c>
      <c r="G1128" s="11">
        <v>630</v>
      </c>
      <c r="H1128" s="11" t="s">
        <v>127</v>
      </c>
      <c r="I1128" s="42">
        <f>I1134+I1133+I1132+I1131+I1130+I1129</f>
        <v>71110</v>
      </c>
      <c r="J1128" s="42">
        <f>J1134+J1133+J1132+J1131+J1130+J1129</f>
        <v>35070</v>
      </c>
      <c r="K1128" s="225">
        <f t="shared" si="147"/>
        <v>49.317958093095207</v>
      </c>
      <c r="L1128" s="114"/>
      <c r="M1128" s="42">
        <v>0</v>
      </c>
      <c r="N1128" s="42"/>
      <c r="O1128" s="225"/>
      <c r="P1128" s="114"/>
      <c r="Q1128" s="42">
        <f t="shared" si="133"/>
        <v>71110</v>
      </c>
      <c r="R1128" s="42">
        <f t="shared" si="153"/>
        <v>35070</v>
      </c>
      <c r="S1128" s="244">
        <f t="shared" si="140"/>
        <v>49.317958093095207</v>
      </c>
    </row>
    <row r="1129" spans="2:19" x14ac:dyDescent="0.2">
      <c r="B1129" s="67">
        <f t="shared" si="146"/>
        <v>368</v>
      </c>
      <c r="C1129" s="2"/>
      <c r="D1129" s="2"/>
      <c r="E1129" s="2"/>
      <c r="F1129" s="46" t="s">
        <v>125</v>
      </c>
      <c r="G1129" s="2">
        <v>631</v>
      </c>
      <c r="H1129" s="2" t="s">
        <v>133</v>
      </c>
      <c r="I1129" s="22">
        <v>16</v>
      </c>
      <c r="J1129" s="22">
        <v>6</v>
      </c>
      <c r="K1129" s="225">
        <f t="shared" si="147"/>
        <v>37.5</v>
      </c>
      <c r="L1129" s="68"/>
      <c r="M1129" s="22"/>
      <c r="N1129" s="22"/>
      <c r="O1129" s="225"/>
      <c r="P1129" s="68"/>
      <c r="Q1129" s="22">
        <f t="shared" si="133"/>
        <v>16</v>
      </c>
      <c r="R1129" s="22">
        <f t="shared" si="153"/>
        <v>6</v>
      </c>
      <c r="S1129" s="244">
        <f t="shared" si="140"/>
        <v>37.5</v>
      </c>
    </row>
    <row r="1130" spans="2:19" x14ac:dyDescent="0.2">
      <c r="B1130" s="67">
        <f t="shared" si="146"/>
        <v>369</v>
      </c>
      <c r="C1130" s="2"/>
      <c r="D1130" s="2"/>
      <c r="E1130" s="2"/>
      <c r="F1130" s="46" t="s">
        <v>125</v>
      </c>
      <c r="G1130" s="2">
        <v>632</v>
      </c>
      <c r="H1130" s="2" t="s">
        <v>138</v>
      </c>
      <c r="I1130" s="22">
        <v>44888</v>
      </c>
      <c r="J1130" s="22">
        <v>19035</v>
      </c>
      <c r="K1130" s="225">
        <f t="shared" si="147"/>
        <v>42.405542684013547</v>
      </c>
      <c r="L1130" s="68"/>
      <c r="M1130" s="22"/>
      <c r="N1130" s="22"/>
      <c r="O1130" s="225"/>
      <c r="P1130" s="68"/>
      <c r="Q1130" s="22">
        <f t="shared" si="133"/>
        <v>44888</v>
      </c>
      <c r="R1130" s="22">
        <f t="shared" si="153"/>
        <v>19035</v>
      </c>
      <c r="S1130" s="244">
        <f t="shared" si="140"/>
        <v>42.405542684013547</v>
      </c>
    </row>
    <row r="1131" spans="2:19" x14ac:dyDescent="0.2">
      <c r="B1131" s="67">
        <f t="shared" si="146"/>
        <v>370</v>
      </c>
      <c r="C1131" s="2"/>
      <c r="D1131" s="2"/>
      <c r="E1131" s="2"/>
      <c r="F1131" s="46" t="s">
        <v>125</v>
      </c>
      <c r="G1131" s="2">
        <v>633</v>
      </c>
      <c r="H1131" s="2" t="s">
        <v>131</v>
      </c>
      <c r="I1131" s="22">
        <v>11589</v>
      </c>
      <c r="J1131" s="22">
        <v>6882</v>
      </c>
      <c r="K1131" s="225">
        <f t="shared" si="147"/>
        <v>59.38389852446285</v>
      </c>
      <c r="L1131" s="68"/>
      <c r="M1131" s="22"/>
      <c r="N1131" s="22"/>
      <c r="O1131" s="225"/>
      <c r="P1131" s="68"/>
      <c r="Q1131" s="22">
        <f t="shared" ref="Q1131:Q1214" si="154">M1131+I1131</f>
        <v>11589</v>
      </c>
      <c r="R1131" s="22">
        <f t="shared" si="153"/>
        <v>6882</v>
      </c>
      <c r="S1131" s="244">
        <f t="shared" si="140"/>
        <v>59.38389852446285</v>
      </c>
    </row>
    <row r="1132" spans="2:19" x14ac:dyDescent="0.2">
      <c r="B1132" s="67">
        <f t="shared" si="146"/>
        <v>371</v>
      </c>
      <c r="C1132" s="2"/>
      <c r="D1132" s="2"/>
      <c r="E1132" s="2"/>
      <c r="F1132" s="46" t="s">
        <v>125</v>
      </c>
      <c r="G1132" s="2">
        <v>634</v>
      </c>
      <c r="H1132" s="2" t="s">
        <v>136</v>
      </c>
      <c r="I1132" s="22">
        <v>10</v>
      </c>
      <c r="J1132" s="22">
        <v>0</v>
      </c>
      <c r="K1132" s="225">
        <f t="shared" si="147"/>
        <v>0</v>
      </c>
      <c r="L1132" s="68"/>
      <c r="M1132" s="22"/>
      <c r="N1132" s="22"/>
      <c r="O1132" s="225"/>
      <c r="P1132" s="68"/>
      <c r="Q1132" s="22">
        <f t="shared" si="154"/>
        <v>10</v>
      </c>
      <c r="R1132" s="22">
        <f t="shared" si="153"/>
        <v>0</v>
      </c>
      <c r="S1132" s="244">
        <f t="shared" si="140"/>
        <v>0</v>
      </c>
    </row>
    <row r="1133" spans="2:19" x14ac:dyDescent="0.2">
      <c r="B1133" s="67">
        <f t="shared" si="146"/>
        <v>372</v>
      </c>
      <c r="C1133" s="2"/>
      <c r="D1133" s="2"/>
      <c r="E1133" s="2"/>
      <c r="F1133" s="46" t="s">
        <v>125</v>
      </c>
      <c r="G1133" s="2">
        <v>635</v>
      </c>
      <c r="H1133" s="2" t="s">
        <v>137</v>
      </c>
      <c r="I1133" s="22">
        <v>5953</v>
      </c>
      <c r="J1133" s="22">
        <v>3831</v>
      </c>
      <c r="K1133" s="225">
        <f t="shared" si="147"/>
        <v>64.354107172854029</v>
      </c>
      <c r="L1133" s="68"/>
      <c r="M1133" s="22"/>
      <c r="N1133" s="22"/>
      <c r="O1133" s="225"/>
      <c r="P1133" s="68"/>
      <c r="Q1133" s="22">
        <f t="shared" si="154"/>
        <v>5953</v>
      </c>
      <c r="R1133" s="22">
        <f t="shared" si="153"/>
        <v>3831</v>
      </c>
      <c r="S1133" s="244">
        <f t="shared" si="140"/>
        <v>64.354107172854029</v>
      </c>
    </row>
    <row r="1134" spans="2:19" x14ac:dyDescent="0.2">
      <c r="B1134" s="67">
        <f t="shared" si="146"/>
        <v>373</v>
      </c>
      <c r="C1134" s="2"/>
      <c r="D1134" s="2"/>
      <c r="E1134" s="2"/>
      <c r="F1134" s="46" t="s">
        <v>125</v>
      </c>
      <c r="G1134" s="2">
        <v>637</v>
      </c>
      <c r="H1134" s="2" t="s">
        <v>128</v>
      </c>
      <c r="I1134" s="22">
        <v>8654</v>
      </c>
      <c r="J1134" s="22">
        <v>5316</v>
      </c>
      <c r="K1134" s="225">
        <f t="shared" si="147"/>
        <v>61.428241275710647</v>
      </c>
      <c r="L1134" s="68"/>
      <c r="M1134" s="22"/>
      <c r="N1134" s="22"/>
      <c r="O1134" s="225"/>
      <c r="P1134" s="68"/>
      <c r="Q1134" s="22">
        <f t="shared" si="154"/>
        <v>8654</v>
      </c>
      <c r="R1134" s="22">
        <f t="shared" si="153"/>
        <v>5316</v>
      </c>
      <c r="S1134" s="244">
        <f t="shared" si="140"/>
        <v>61.428241275710647</v>
      </c>
    </row>
    <row r="1135" spans="2:19" x14ac:dyDescent="0.2">
      <c r="B1135" s="67">
        <f t="shared" si="146"/>
        <v>374</v>
      </c>
      <c r="C1135" s="11"/>
      <c r="D1135" s="11"/>
      <c r="E1135" s="11"/>
      <c r="F1135" s="45" t="s">
        <v>125</v>
      </c>
      <c r="G1135" s="11">
        <v>640</v>
      </c>
      <c r="H1135" s="11" t="s">
        <v>134</v>
      </c>
      <c r="I1135" s="42">
        <v>3682</v>
      </c>
      <c r="J1135" s="42">
        <v>1130</v>
      </c>
      <c r="K1135" s="225">
        <f t="shared" si="147"/>
        <v>30.68984247691472</v>
      </c>
      <c r="L1135" s="114"/>
      <c r="M1135" s="42"/>
      <c r="N1135" s="42"/>
      <c r="O1135" s="225"/>
      <c r="P1135" s="114"/>
      <c r="Q1135" s="42">
        <f t="shared" si="154"/>
        <v>3682</v>
      </c>
      <c r="R1135" s="42">
        <f t="shared" si="153"/>
        <v>1130</v>
      </c>
      <c r="S1135" s="244">
        <f t="shared" si="140"/>
        <v>30.68984247691472</v>
      </c>
    </row>
    <row r="1136" spans="2:19" x14ac:dyDescent="0.2">
      <c r="B1136" s="67">
        <f t="shared" si="146"/>
        <v>375</v>
      </c>
      <c r="C1136" s="11"/>
      <c r="D1136" s="11"/>
      <c r="E1136" s="11"/>
      <c r="F1136" s="45" t="s">
        <v>268</v>
      </c>
      <c r="G1136" s="11">
        <v>610</v>
      </c>
      <c r="H1136" s="11" t="s">
        <v>135</v>
      </c>
      <c r="I1136" s="42">
        <v>409993</v>
      </c>
      <c r="J1136" s="42">
        <v>176558</v>
      </c>
      <c r="K1136" s="225">
        <f t="shared" si="147"/>
        <v>43.063662062523015</v>
      </c>
      <c r="L1136" s="114"/>
      <c r="M1136" s="42"/>
      <c r="N1136" s="42"/>
      <c r="O1136" s="225"/>
      <c r="P1136" s="114"/>
      <c r="Q1136" s="42">
        <f t="shared" si="154"/>
        <v>409993</v>
      </c>
      <c r="R1136" s="42">
        <f t="shared" si="153"/>
        <v>176558</v>
      </c>
      <c r="S1136" s="244">
        <f t="shared" si="140"/>
        <v>43.063662062523015</v>
      </c>
    </row>
    <row r="1137" spans="2:19" x14ac:dyDescent="0.2">
      <c r="B1137" s="67">
        <f t="shared" si="146"/>
        <v>376</v>
      </c>
      <c r="C1137" s="11"/>
      <c r="D1137" s="11"/>
      <c r="E1137" s="11"/>
      <c r="F1137" s="45" t="s">
        <v>268</v>
      </c>
      <c r="G1137" s="11">
        <v>620</v>
      </c>
      <c r="H1137" s="11" t="s">
        <v>130</v>
      </c>
      <c r="I1137" s="42">
        <v>143470</v>
      </c>
      <c r="J1137" s="42">
        <v>62441</v>
      </c>
      <c r="K1137" s="225">
        <f t="shared" si="147"/>
        <v>43.521990660068305</v>
      </c>
      <c r="L1137" s="114"/>
      <c r="M1137" s="42"/>
      <c r="N1137" s="42"/>
      <c r="O1137" s="225"/>
      <c r="P1137" s="114"/>
      <c r="Q1137" s="42">
        <f t="shared" si="154"/>
        <v>143470</v>
      </c>
      <c r="R1137" s="42">
        <f t="shared" si="153"/>
        <v>62441</v>
      </c>
      <c r="S1137" s="244">
        <f t="shared" si="140"/>
        <v>43.521990660068305</v>
      </c>
    </row>
    <row r="1138" spans="2:19" x14ac:dyDescent="0.2">
      <c r="B1138" s="67">
        <f t="shared" si="146"/>
        <v>377</v>
      </c>
      <c r="C1138" s="11"/>
      <c r="D1138" s="11"/>
      <c r="E1138" s="11"/>
      <c r="F1138" s="45" t="s">
        <v>268</v>
      </c>
      <c r="G1138" s="11">
        <v>630</v>
      </c>
      <c r="H1138" s="11" t="s">
        <v>127</v>
      </c>
      <c r="I1138" s="42">
        <f>I1144+I1143+I1142+I1141+I1140+I1139</f>
        <v>201684</v>
      </c>
      <c r="J1138" s="42">
        <f>J1144+J1143+J1142+J1141+J1140+J1139</f>
        <v>80259</v>
      </c>
      <c r="K1138" s="225">
        <f t="shared" si="147"/>
        <v>39.794430891890279</v>
      </c>
      <c r="L1138" s="114"/>
      <c r="M1138" s="42">
        <f>M1144+M1143+M1142+M1141+M1140+M1139</f>
        <v>0</v>
      </c>
      <c r="N1138" s="42">
        <f>N1144+N1143+N1142+N1141+N1140+N1139</f>
        <v>0</v>
      </c>
      <c r="O1138" s="225"/>
      <c r="P1138" s="114"/>
      <c r="Q1138" s="42">
        <f t="shared" si="154"/>
        <v>201684</v>
      </c>
      <c r="R1138" s="42">
        <f t="shared" si="153"/>
        <v>80259</v>
      </c>
      <c r="S1138" s="244">
        <f t="shared" si="140"/>
        <v>39.794430891890279</v>
      </c>
    </row>
    <row r="1139" spans="2:19" x14ac:dyDescent="0.2">
      <c r="B1139" s="67">
        <f t="shared" si="146"/>
        <v>378</v>
      </c>
      <c r="C1139" s="2"/>
      <c r="D1139" s="2"/>
      <c r="E1139" s="2"/>
      <c r="F1139" s="46" t="s">
        <v>268</v>
      </c>
      <c r="G1139" s="2">
        <v>631</v>
      </c>
      <c r="H1139" s="2" t="s">
        <v>133</v>
      </c>
      <c r="I1139" s="22">
        <v>24</v>
      </c>
      <c r="J1139" s="22">
        <v>8</v>
      </c>
      <c r="K1139" s="225">
        <f t="shared" si="147"/>
        <v>33.333333333333329</v>
      </c>
      <c r="L1139" s="68"/>
      <c r="M1139" s="22"/>
      <c r="N1139" s="22"/>
      <c r="O1139" s="225"/>
      <c r="P1139" s="68"/>
      <c r="Q1139" s="22">
        <f t="shared" si="154"/>
        <v>24</v>
      </c>
      <c r="R1139" s="22">
        <f t="shared" si="153"/>
        <v>8</v>
      </c>
      <c r="S1139" s="244">
        <f t="shared" si="140"/>
        <v>33.333333333333329</v>
      </c>
    </row>
    <row r="1140" spans="2:19" x14ac:dyDescent="0.2">
      <c r="B1140" s="67">
        <f t="shared" si="146"/>
        <v>379</v>
      </c>
      <c r="C1140" s="2"/>
      <c r="D1140" s="2"/>
      <c r="E1140" s="2"/>
      <c r="F1140" s="46" t="s">
        <v>268</v>
      </c>
      <c r="G1140" s="2">
        <v>632</v>
      </c>
      <c r="H1140" s="2" t="s">
        <v>138</v>
      </c>
      <c r="I1140" s="22">
        <v>123407</v>
      </c>
      <c r="J1140" s="22">
        <v>39175</v>
      </c>
      <c r="K1140" s="225">
        <f t="shared" si="147"/>
        <v>31.74455257805473</v>
      </c>
      <c r="L1140" s="68"/>
      <c r="M1140" s="22"/>
      <c r="N1140" s="22"/>
      <c r="O1140" s="225"/>
      <c r="P1140" s="68"/>
      <c r="Q1140" s="22">
        <f t="shared" si="154"/>
        <v>123407</v>
      </c>
      <c r="R1140" s="22">
        <f t="shared" si="153"/>
        <v>39175</v>
      </c>
      <c r="S1140" s="244">
        <f t="shared" si="140"/>
        <v>31.74455257805473</v>
      </c>
    </row>
    <row r="1141" spans="2:19" x14ac:dyDescent="0.2">
      <c r="B1141" s="67">
        <f t="shared" si="146"/>
        <v>380</v>
      </c>
      <c r="C1141" s="2"/>
      <c r="D1141" s="2"/>
      <c r="E1141" s="2"/>
      <c r="F1141" s="46" t="s">
        <v>268</v>
      </c>
      <c r="G1141" s="2">
        <v>633</v>
      </c>
      <c r="H1141" s="2" t="s">
        <v>131</v>
      </c>
      <c r="I1141" s="22">
        <v>28935</v>
      </c>
      <c r="J1141" s="22">
        <v>10459</v>
      </c>
      <c r="K1141" s="225">
        <f t="shared" si="147"/>
        <v>36.146535337826165</v>
      </c>
      <c r="L1141" s="68"/>
      <c r="M1141" s="22"/>
      <c r="N1141" s="22"/>
      <c r="O1141" s="225"/>
      <c r="P1141" s="68"/>
      <c r="Q1141" s="22">
        <f t="shared" si="154"/>
        <v>28935</v>
      </c>
      <c r="R1141" s="22">
        <f t="shared" si="153"/>
        <v>10459</v>
      </c>
      <c r="S1141" s="244">
        <f t="shared" si="140"/>
        <v>36.146535337826165</v>
      </c>
    </row>
    <row r="1142" spans="2:19" x14ac:dyDescent="0.2">
      <c r="B1142" s="67">
        <f t="shared" si="146"/>
        <v>381</v>
      </c>
      <c r="C1142" s="2"/>
      <c r="D1142" s="2"/>
      <c r="E1142" s="2"/>
      <c r="F1142" s="46" t="s">
        <v>268</v>
      </c>
      <c r="G1142" s="2">
        <v>634</v>
      </c>
      <c r="H1142" s="2" t="s">
        <v>136</v>
      </c>
      <c r="I1142" s="22">
        <v>15</v>
      </c>
      <c r="J1142" s="22">
        <v>0</v>
      </c>
      <c r="K1142" s="225">
        <f t="shared" si="147"/>
        <v>0</v>
      </c>
      <c r="L1142" s="68"/>
      <c r="M1142" s="22"/>
      <c r="N1142" s="22"/>
      <c r="O1142" s="225"/>
      <c r="P1142" s="68"/>
      <c r="Q1142" s="22">
        <f t="shared" si="154"/>
        <v>15</v>
      </c>
      <c r="R1142" s="22">
        <f t="shared" si="153"/>
        <v>0</v>
      </c>
      <c r="S1142" s="244">
        <f t="shared" si="140"/>
        <v>0</v>
      </c>
    </row>
    <row r="1143" spans="2:19" x14ac:dyDescent="0.2">
      <c r="B1143" s="67">
        <f t="shared" si="146"/>
        <v>382</v>
      </c>
      <c r="C1143" s="2"/>
      <c r="D1143" s="2"/>
      <c r="E1143" s="2"/>
      <c r="F1143" s="46" t="s">
        <v>268</v>
      </c>
      <c r="G1143" s="2">
        <v>635</v>
      </c>
      <c r="H1143" s="2" t="s">
        <v>137</v>
      </c>
      <c r="I1143" s="22">
        <v>11128</v>
      </c>
      <c r="J1143" s="22">
        <v>9746</v>
      </c>
      <c r="K1143" s="225">
        <f t="shared" si="147"/>
        <v>87.580877066858378</v>
      </c>
      <c r="L1143" s="68"/>
      <c r="M1143" s="22"/>
      <c r="N1143" s="22"/>
      <c r="O1143" s="225"/>
      <c r="P1143" s="68"/>
      <c r="Q1143" s="22">
        <f t="shared" si="154"/>
        <v>11128</v>
      </c>
      <c r="R1143" s="22">
        <f t="shared" si="153"/>
        <v>9746</v>
      </c>
      <c r="S1143" s="244">
        <f t="shared" si="140"/>
        <v>87.580877066858378</v>
      </c>
    </row>
    <row r="1144" spans="2:19" x14ac:dyDescent="0.2">
      <c r="B1144" s="67">
        <f t="shared" si="146"/>
        <v>383</v>
      </c>
      <c r="C1144" s="2"/>
      <c r="D1144" s="2"/>
      <c r="E1144" s="2"/>
      <c r="F1144" s="46" t="s">
        <v>268</v>
      </c>
      <c r="G1144" s="2">
        <v>637</v>
      </c>
      <c r="H1144" s="2" t="s">
        <v>128</v>
      </c>
      <c r="I1144" s="22">
        <f>29925+8250</f>
        <v>38175</v>
      </c>
      <c r="J1144" s="22">
        <v>20871</v>
      </c>
      <c r="K1144" s="225">
        <f t="shared" si="147"/>
        <v>54.671905697445979</v>
      </c>
      <c r="L1144" s="68"/>
      <c r="M1144" s="22"/>
      <c r="N1144" s="22"/>
      <c r="O1144" s="225"/>
      <c r="P1144" s="68"/>
      <c r="Q1144" s="22">
        <f t="shared" si="154"/>
        <v>38175</v>
      </c>
      <c r="R1144" s="22">
        <f t="shared" si="153"/>
        <v>20871</v>
      </c>
      <c r="S1144" s="244">
        <f t="shared" si="140"/>
        <v>54.671905697445979</v>
      </c>
    </row>
    <row r="1145" spans="2:19" x14ac:dyDescent="0.2">
      <c r="B1145" s="67">
        <f t="shared" si="146"/>
        <v>384</v>
      </c>
      <c r="C1145" s="11"/>
      <c r="D1145" s="11"/>
      <c r="E1145" s="11"/>
      <c r="F1145" s="45" t="s">
        <v>268</v>
      </c>
      <c r="G1145" s="11">
        <v>640</v>
      </c>
      <c r="H1145" s="11" t="s">
        <v>134</v>
      </c>
      <c r="I1145" s="42">
        <v>5523</v>
      </c>
      <c r="J1145" s="42">
        <v>839</v>
      </c>
      <c r="K1145" s="225">
        <f t="shared" si="147"/>
        <v>15.19101937352888</v>
      </c>
      <c r="L1145" s="114"/>
      <c r="M1145" s="42"/>
      <c r="N1145" s="42"/>
      <c r="O1145" s="225"/>
      <c r="P1145" s="114"/>
      <c r="Q1145" s="42">
        <f t="shared" si="154"/>
        <v>5523</v>
      </c>
      <c r="R1145" s="42">
        <f t="shared" si="153"/>
        <v>839</v>
      </c>
      <c r="S1145" s="244">
        <f t="shared" si="140"/>
        <v>15.19101937352888</v>
      </c>
    </row>
    <row r="1146" spans="2:19" x14ac:dyDescent="0.2">
      <c r="B1146" s="67">
        <f t="shared" si="146"/>
        <v>385</v>
      </c>
      <c r="C1146" s="11"/>
      <c r="D1146" s="11"/>
      <c r="E1146" s="11"/>
      <c r="F1146" s="45" t="s">
        <v>75</v>
      </c>
      <c r="G1146" s="11">
        <v>630</v>
      </c>
      <c r="H1146" s="11" t="s">
        <v>660</v>
      </c>
      <c r="I1146" s="42">
        <v>428</v>
      </c>
      <c r="J1146" s="42">
        <v>692</v>
      </c>
      <c r="K1146" s="225">
        <f t="shared" si="147"/>
        <v>161.6822429906542</v>
      </c>
      <c r="L1146" s="114"/>
      <c r="M1146" s="42"/>
      <c r="N1146" s="42"/>
      <c r="O1146" s="225"/>
      <c r="P1146" s="114"/>
      <c r="Q1146" s="42">
        <f t="shared" si="154"/>
        <v>428</v>
      </c>
      <c r="R1146" s="42">
        <f t="shared" si="153"/>
        <v>692</v>
      </c>
      <c r="S1146" s="244">
        <f t="shared" si="140"/>
        <v>161.6822429906542</v>
      </c>
    </row>
    <row r="1147" spans="2:19" x14ac:dyDescent="0.2">
      <c r="B1147" s="67">
        <f t="shared" si="146"/>
        <v>386</v>
      </c>
      <c r="C1147" s="11"/>
      <c r="D1147" s="11"/>
      <c r="E1147" s="11"/>
      <c r="F1147" s="45"/>
      <c r="G1147" s="11"/>
      <c r="H1147" s="11"/>
      <c r="I1147" s="42"/>
      <c r="J1147" s="42"/>
      <c r="K1147" s="225"/>
      <c r="L1147" s="114"/>
      <c r="M1147" s="42"/>
      <c r="N1147" s="42"/>
      <c r="O1147" s="225"/>
      <c r="P1147" s="114"/>
      <c r="Q1147" s="42"/>
      <c r="R1147" s="42"/>
      <c r="S1147" s="244"/>
    </row>
    <row r="1148" spans="2:19" x14ac:dyDescent="0.2">
      <c r="B1148" s="67">
        <f t="shared" si="146"/>
        <v>387</v>
      </c>
      <c r="C1148" s="11"/>
      <c r="D1148" s="11"/>
      <c r="E1148" s="11"/>
      <c r="F1148" s="45"/>
      <c r="G1148" s="11">
        <v>630</v>
      </c>
      <c r="H1148" s="11" t="s">
        <v>610</v>
      </c>
      <c r="I1148" s="42">
        <v>18500</v>
      </c>
      <c r="J1148" s="42">
        <v>18500</v>
      </c>
      <c r="K1148" s="225">
        <f t="shared" si="147"/>
        <v>100</v>
      </c>
      <c r="L1148" s="114"/>
      <c r="M1148" s="42"/>
      <c r="N1148" s="42"/>
      <c r="O1148" s="225"/>
      <c r="P1148" s="114"/>
      <c r="Q1148" s="42">
        <f t="shared" ref="Q1148:Q1151" si="155">M1148+I1148</f>
        <v>18500</v>
      </c>
      <c r="R1148" s="42">
        <f t="shared" ref="R1148" si="156">N1148+J1148</f>
        <v>18500</v>
      </c>
      <c r="S1148" s="244">
        <f t="shared" si="140"/>
        <v>100</v>
      </c>
    </row>
    <row r="1149" spans="2:19" x14ac:dyDescent="0.2">
      <c r="B1149" s="67">
        <f t="shared" si="146"/>
        <v>388</v>
      </c>
      <c r="C1149" s="11"/>
      <c r="D1149" s="11"/>
      <c r="E1149" s="11"/>
      <c r="F1149" s="45"/>
      <c r="G1149" s="11"/>
      <c r="H1149" s="11"/>
      <c r="I1149" s="42"/>
      <c r="J1149" s="42"/>
      <c r="K1149" s="225"/>
      <c r="L1149" s="114"/>
      <c r="M1149" s="42"/>
      <c r="N1149" s="42"/>
      <c r="O1149" s="225"/>
      <c r="P1149" s="114"/>
      <c r="Q1149" s="42"/>
      <c r="R1149" s="42"/>
      <c r="S1149" s="244"/>
    </row>
    <row r="1150" spans="2:19" x14ac:dyDescent="0.2">
      <c r="B1150" s="67">
        <f t="shared" si="146"/>
        <v>389</v>
      </c>
      <c r="C1150" s="11"/>
      <c r="D1150" s="11"/>
      <c r="E1150" s="11"/>
      <c r="F1150" s="77" t="s">
        <v>268</v>
      </c>
      <c r="G1150" s="78">
        <v>717</v>
      </c>
      <c r="H1150" s="78" t="s">
        <v>193</v>
      </c>
      <c r="I1150" s="79"/>
      <c r="J1150" s="79"/>
      <c r="K1150" s="225"/>
      <c r="L1150" s="68"/>
      <c r="M1150" s="79">
        <f>SUM(M1151:M1152)</f>
        <v>74000</v>
      </c>
      <c r="N1150" s="79">
        <f>SUM(N1151:N1152)</f>
        <v>0</v>
      </c>
      <c r="O1150" s="225">
        <f t="shared" si="138"/>
        <v>0</v>
      </c>
      <c r="P1150" s="68"/>
      <c r="Q1150" s="79">
        <f t="shared" si="155"/>
        <v>74000</v>
      </c>
      <c r="R1150" s="79">
        <f t="shared" ref="R1150:R1151" si="157">N1150+J1150</f>
        <v>0</v>
      </c>
      <c r="S1150" s="244">
        <f t="shared" si="140"/>
        <v>0</v>
      </c>
    </row>
    <row r="1151" spans="2:19" x14ac:dyDescent="0.2">
      <c r="B1151" s="67">
        <f t="shared" si="146"/>
        <v>390</v>
      </c>
      <c r="C1151" s="11"/>
      <c r="D1151" s="11"/>
      <c r="E1151" s="11"/>
      <c r="F1151" s="46"/>
      <c r="G1151" s="2"/>
      <c r="H1151" s="2" t="s">
        <v>668</v>
      </c>
      <c r="I1151" s="22"/>
      <c r="J1151" s="22"/>
      <c r="K1151" s="225"/>
      <c r="L1151" s="68"/>
      <c r="M1151" s="22">
        <v>44000</v>
      </c>
      <c r="N1151" s="22"/>
      <c r="O1151" s="225">
        <f t="shared" si="138"/>
        <v>0</v>
      </c>
      <c r="P1151" s="68"/>
      <c r="Q1151" s="22">
        <f t="shared" si="155"/>
        <v>44000</v>
      </c>
      <c r="R1151" s="22">
        <f t="shared" si="157"/>
        <v>0</v>
      </c>
      <c r="S1151" s="244">
        <f t="shared" si="140"/>
        <v>0</v>
      </c>
    </row>
    <row r="1152" spans="2:19" x14ac:dyDescent="0.2">
      <c r="B1152" s="67">
        <f t="shared" si="146"/>
        <v>391</v>
      </c>
      <c r="C1152" s="11"/>
      <c r="D1152" s="11"/>
      <c r="E1152" s="11"/>
      <c r="F1152" s="46"/>
      <c r="G1152" s="2"/>
      <c r="H1152" s="116" t="s">
        <v>677</v>
      </c>
      <c r="I1152" s="115"/>
      <c r="J1152" s="115"/>
      <c r="K1152" s="225"/>
      <c r="L1152" s="68"/>
      <c r="M1152" s="115">
        <v>30000</v>
      </c>
      <c r="N1152" s="115"/>
      <c r="O1152" s="225">
        <f t="shared" ref="O1152:O1211" si="158">N1152/M1152*100</f>
        <v>0</v>
      </c>
      <c r="P1152" s="68"/>
      <c r="Q1152" s="115">
        <f t="shared" ref="Q1152" si="159">I1152+M1152</f>
        <v>30000</v>
      </c>
      <c r="R1152" s="115">
        <f t="shared" ref="R1152" si="160">J1152+N1152</f>
        <v>0</v>
      </c>
      <c r="S1152" s="244">
        <f t="shared" ref="S1152:S1215" si="161">R1152/Q1152*100</f>
        <v>0</v>
      </c>
    </row>
    <row r="1153" spans="2:19" ht="15" x14ac:dyDescent="0.25">
      <c r="B1153" s="67">
        <f t="shared" si="146"/>
        <v>392</v>
      </c>
      <c r="C1153" s="14"/>
      <c r="D1153" s="14"/>
      <c r="E1153" s="14">
        <v>12</v>
      </c>
      <c r="F1153" s="43"/>
      <c r="G1153" s="14"/>
      <c r="H1153" s="14" t="s">
        <v>270</v>
      </c>
      <c r="I1153" s="40">
        <f>I1154+I1155+I1156+I1164+I1165+I1166+I1167+I1175+I1178+I1176</f>
        <v>1028050</v>
      </c>
      <c r="J1153" s="40">
        <f>J1154+J1155+J1156+J1164+J1165+J1166+J1167+J1175+J1178+J1176</f>
        <v>431811</v>
      </c>
      <c r="K1153" s="225">
        <f t="shared" ref="K1153:K1215" si="162">J1153/I1153*100</f>
        <v>42.002918146004568</v>
      </c>
      <c r="L1153" s="175"/>
      <c r="M1153" s="40">
        <f>M1154+M1155+M1156+M1164+M1165+M1166+M1167+M1175</f>
        <v>0</v>
      </c>
      <c r="N1153" s="40">
        <f>N1154+N1155+N1156+N1164+N1165+N1166+N1167+N1175</f>
        <v>0</v>
      </c>
      <c r="O1153" s="225"/>
      <c r="P1153" s="175"/>
      <c r="Q1153" s="40">
        <f t="shared" si="154"/>
        <v>1028050</v>
      </c>
      <c r="R1153" s="40">
        <f t="shared" ref="R1153:R1176" si="163">N1153+J1153</f>
        <v>431811</v>
      </c>
      <c r="S1153" s="244">
        <f t="shared" si="161"/>
        <v>42.002918146004568</v>
      </c>
    </row>
    <row r="1154" spans="2:19" x14ac:dyDescent="0.2">
      <c r="B1154" s="67">
        <f t="shared" si="146"/>
        <v>393</v>
      </c>
      <c r="C1154" s="11"/>
      <c r="D1154" s="11"/>
      <c r="E1154" s="11"/>
      <c r="F1154" s="45" t="s">
        <v>125</v>
      </c>
      <c r="G1154" s="11">
        <v>610</v>
      </c>
      <c r="H1154" s="11" t="s">
        <v>135</v>
      </c>
      <c r="I1154" s="42">
        <v>264569</v>
      </c>
      <c r="J1154" s="42">
        <v>192556</v>
      </c>
      <c r="K1154" s="225">
        <f t="shared" si="162"/>
        <v>72.781013648613396</v>
      </c>
      <c r="L1154" s="114"/>
      <c r="M1154" s="42"/>
      <c r="N1154" s="42"/>
      <c r="O1154" s="225"/>
      <c r="P1154" s="114"/>
      <c r="Q1154" s="42">
        <f t="shared" si="154"/>
        <v>264569</v>
      </c>
      <c r="R1154" s="42">
        <f t="shared" si="163"/>
        <v>192556</v>
      </c>
      <c r="S1154" s="244">
        <f t="shared" si="161"/>
        <v>72.781013648613396</v>
      </c>
    </row>
    <row r="1155" spans="2:19" x14ac:dyDescent="0.2">
      <c r="B1155" s="67">
        <f t="shared" si="146"/>
        <v>394</v>
      </c>
      <c r="C1155" s="11"/>
      <c r="D1155" s="11"/>
      <c r="E1155" s="11"/>
      <c r="F1155" s="45" t="s">
        <v>125</v>
      </c>
      <c r="G1155" s="11">
        <v>620</v>
      </c>
      <c r="H1155" s="11" t="s">
        <v>130</v>
      </c>
      <c r="I1155" s="42">
        <v>97360</v>
      </c>
      <c r="J1155" s="42">
        <v>68871</v>
      </c>
      <c r="K1155" s="225">
        <f t="shared" si="162"/>
        <v>70.738496302382913</v>
      </c>
      <c r="L1155" s="114"/>
      <c r="M1155" s="42"/>
      <c r="N1155" s="42"/>
      <c r="O1155" s="225"/>
      <c r="P1155" s="114"/>
      <c r="Q1155" s="42">
        <f t="shared" si="154"/>
        <v>97360</v>
      </c>
      <c r="R1155" s="42">
        <f t="shared" si="163"/>
        <v>68871</v>
      </c>
      <c r="S1155" s="244">
        <f t="shared" si="161"/>
        <v>70.738496302382913</v>
      </c>
    </row>
    <row r="1156" spans="2:19" x14ac:dyDescent="0.2">
      <c r="B1156" s="67">
        <f t="shared" ref="B1156:B1219" si="164">B1155+1</f>
        <v>395</v>
      </c>
      <c r="C1156" s="11"/>
      <c r="D1156" s="11"/>
      <c r="E1156" s="11"/>
      <c r="F1156" s="45" t="s">
        <v>125</v>
      </c>
      <c r="G1156" s="11">
        <v>630</v>
      </c>
      <c r="H1156" s="11" t="s">
        <v>127</v>
      </c>
      <c r="I1156" s="42">
        <f>I1163+I1162+I1161+I1160+I1159+I1158+I1157</f>
        <v>75345</v>
      </c>
      <c r="J1156" s="42">
        <f>J1163+J1162+J1161+J1160+J1159+J1158+J1157</f>
        <v>59327</v>
      </c>
      <c r="K1156" s="225">
        <f t="shared" si="162"/>
        <v>78.740460548145194</v>
      </c>
      <c r="L1156" s="114"/>
      <c r="M1156" s="42">
        <v>0</v>
      </c>
      <c r="N1156" s="42"/>
      <c r="O1156" s="225"/>
      <c r="P1156" s="114"/>
      <c r="Q1156" s="42">
        <f t="shared" si="154"/>
        <v>75345</v>
      </c>
      <c r="R1156" s="42">
        <f t="shared" si="163"/>
        <v>59327</v>
      </c>
      <c r="S1156" s="244">
        <f t="shared" si="161"/>
        <v>78.740460548145194</v>
      </c>
    </row>
    <row r="1157" spans="2:19" x14ac:dyDescent="0.2">
      <c r="B1157" s="67">
        <f t="shared" si="164"/>
        <v>396</v>
      </c>
      <c r="C1157" s="2"/>
      <c r="D1157" s="2"/>
      <c r="E1157" s="2"/>
      <c r="F1157" s="46" t="s">
        <v>125</v>
      </c>
      <c r="G1157" s="2">
        <v>631</v>
      </c>
      <c r="H1157" s="2" t="s">
        <v>133</v>
      </c>
      <c r="I1157" s="22">
        <v>275</v>
      </c>
      <c r="J1157" s="22">
        <v>259</v>
      </c>
      <c r="K1157" s="225">
        <f t="shared" si="162"/>
        <v>94.181818181818173</v>
      </c>
      <c r="L1157" s="68"/>
      <c r="M1157" s="22"/>
      <c r="N1157" s="22"/>
      <c r="O1157" s="225"/>
      <c r="P1157" s="68"/>
      <c r="Q1157" s="22">
        <f t="shared" si="154"/>
        <v>275</v>
      </c>
      <c r="R1157" s="22">
        <f t="shared" si="163"/>
        <v>259</v>
      </c>
      <c r="S1157" s="244">
        <f t="shared" si="161"/>
        <v>94.181818181818173</v>
      </c>
    </row>
    <row r="1158" spans="2:19" x14ac:dyDescent="0.2">
      <c r="B1158" s="67">
        <f t="shared" si="164"/>
        <v>397</v>
      </c>
      <c r="C1158" s="2"/>
      <c r="D1158" s="2"/>
      <c r="E1158" s="2"/>
      <c r="F1158" s="46" t="s">
        <v>125</v>
      </c>
      <c r="G1158" s="2">
        <v>632</v>
      </c>
      <c r="H1158" s="2" t="s">
        <v>138</v>
      </c>
      <c r="I1158" s="22">
        <v>25934</v>
      </c>
      <c r="J1158" s="51">
        <v>23774</v>
      </c>
      <c r="K1158" s="225">
        <f t="shared" si="162"/>
        <v>91.671165265674404</v>
      </c>
      <c r="L1158" s="68"/>
      <c r="M1158" s="22"/>
      <c r="N1158" s="22"/>
      <c r="O1158" s="225"/>
      <c r="P1158" s="68"/>
      <c r="Q1158" s="22">
        <f t="shared" si="154"/>
        <v>25934</v>
      </c>
      <c r="R1158" s="22">
        <f t="shared" si="163"/>
        <v>23774</v>
      </c>
      <c r="S1158" s="244">
        <f t="shared" si="161"/>
        <v>91.671165265674404</v>
      </c>
    </row>
    <row r="1159" spans="2:19" x14ac:dyDescent="0.2">
      <c r="B1159" s="67">
        <f t="shared" si="164"/>
        <v>398</v>
      </c>
      <c r="C1159" s="2"/>
      <c r="D1159" s="2"/>
      <c r="E1159" s="2"/>
      <c r="F1159" s="46" t="s">
        <v>125</v>
      </c>
      <c r="G1159" s="2">
        <v>633</v>
      </c>
      <c r="H1159" s="2" t="s">
        <v>131</v>
      </c>
      <c r="I1159" s="22">
        <v>13589</v>
      </c>
      <c r="J1159" s="51">
        <v>5993</v>
      </c>
      <c r="K1159" s="225">
        <f t="shared" si="162"/>
        <v>44.101847082198837</v>
      </c>
      <c r="L1159" s="68"/>
      <c r="M1159" s="22"/>
      <c r="N1159" s="22"/>
      <c r="O1159" s="225"/>
      <c r="P1159" s="68"/>
      <c r="Q1159" s="22">
        <f t="shared" si="154"/>
        <v>13589</v>
      </c>
      <c r="R1159" s="22">
        <f t="shared" si="163"/>
        <v>5993</v>
      </c>
      <c r="S1159" s="244">
        <f t="shared" si="161"/>
        <v>44.101847082198837</v>
      </c>
    </row>
    <row r="1160" spans="2:19" x14ac:dyDescent="0.2">
      <c r="B1160" s="67">
        <f t="shared" si="164"/>
        <v>399</v>
      </c>
      <c r="C1160" s="2"/>
      <c r="D1160" s="2"/>
      <c r="E1160" s="2"/>
      <c r="F1160" s="46" t="s">
        <v>125</v>
      </c>
      <c r="G1160" s="2">
        <v>634</v>
      </c>
      <c r="H1160" s="2" t="s">
        <v>136</v>
      </c>
      <c r="I1160" s="22">
        <v>112</v>
      </c>
      <c r="J1160" s="51">
        <v>0</v>
      </c>
      <c r="K1160" s="225">
        <f t="shared" si="162"/>
        <v>0</v>
      </c>
      <c r="L1160" s="68"/>
      <c r="M1160" s="22"/>
      <c r="N1160" s="22"/>
      <c r="O1160" s="225"/>
      <c r="P1160" s="68"/>
      <c r="Q1160" s="22">
        <f t="shared" si="154"/>
        <v>112</v>
      </c>
      <c r="R1160" s="22">
        <f t="shared" si="163"/>
        <v>0</v>
      </c>
      <c r="S1160" s="244">
        <f t="shared" si="161"/>
        <v>0</v>
      </c>
    </row>
    <row r="1161" spans="2:19" x14ac:dyDescent="0.2">
      <c r="B1161" s="67">
        <f t="shared" si="164"/>
        <v>400</v>
      </c>
      <c r="C1161" s="2"/>
      <c r="D1161" s="2"/>
      <c r="E1161" s="2"/>
      <c r="F1161" s="46" t="s">
        <v>125</v>
      </c>
      <c r="G1161" s="2">
        <v>635</v>
      </c>
      <c r="H1161" s="2" t="s">
        <v>137</v>
      </c>
      <c r="I1161" s="22">
        <v>19655</v>
      </c>
      <c r="J1161" s="51">
        <v>12376</v>
      </c>
      <c r="K1161" s="225">
        <f t="shared" si="162"/>
        <v>62.96616636988044</v>
      </c>
      <c r="L1161" s="68"/>
      <c r="M1161" s="22"/>
      <c r="N1161" s="22"/>
      <c r="O1161" s="225"/>
      <c r="P1161" s="68"/>
      <c r="Q1161" s="22">
        <f t="shared" si="154"/>
        <v>19655</v>
      </c>
      <c r="R1161" s="22">
        <f t="shared" si="163"/>
        <v>12376</v>
      </c>
      <c r="S1161" s="244">
        <f t="shared" si="161"/>
        <v>62.96616636988044</v>
      </c>
    </row>
    <row r="1162" spans="2:19" x14ac:dyDescent="0.2">
      <c r="B1162" s="67">
        <f t="shared" si="164"/>
        <v>401</v>
      </c>
      <c r="C1162" s="2"/>
      <c r="D1162" s="2"/>
      <c r="E1162" s="2"/>
      <c r="F1162" s="46" t="s">
        <v>125</v>
      </c>
      <c r="G1162" s="2">
        <v>636</v>
      </c>
      <c r="H1162" s="2" t="s">
        <v>132</v>
      </c>
      <c r="I1162" s="22">
        <v>1056</v>
      </c>
      <c r="J1162" s="51">
        <v>1070</v>
      </c>
      <c r="K1162" s="225">
        <f t="shared" si="162"/>
        <v>101.32575757575756</v>
      </c>
      <c r="L1162" s="68"/>
      <c r="M1162" s="22"/>
      <c r="N1162" s="22"/>
      <c r="O1162" s="225"/>
      <c r="P1162" s="68"/>
      <c r="Q1162" s="22">
        <f t="shared" si="154"/>
        <v>1056</v>
      </c>
      <c r="R1162" s="22">
        <f t="shared" si="163"/>
        <v>1070</v>
      </c>
      <c r="S1162" s="244">
        <f t="shared" si="161"/>
        <v>101.32575757575756</v>
      </c>
    </row>
    <row r="1163" spans="2:19" x14ac:dyDescent="0.2">
      <c r="B1163" s="67">
        <f t="shared" si="164"/>
        <v>402</v>
      </c>
      <c r="C1163" s="2"/>
      <c r="D1163" s="2"/>
      <c r="E1163" s="2"/>
      <c r="F1163" s="46" t="s">
        <v>125</v>
      </c>
      <c r="G1163" s="2">
        <v>637</v>
      </c>
      <c r="H1163" s="2" t="s">
        <v>128</v>
      </c>
      <c r="I1163" s="22">
        <v>14724</v>
      </c>
      <c r="J1163" s="51">
        <v>15855</v>
      </c>
      <c r="K1163" s="225">
        <f t="shared" si="162"/>
        <v>107.68133659331703</v>
      </c>
      <c r="L1163" s="68"/>
      <c r="M1163" s="22"/>
      <c r="N1163" s="22"/>
      <c r="O1163" s="225"/>
      <c r="P1163" s="68"/>
      <c r="Q1163" s="22">
        <f t="shared" si="154"/>
        <v>14724</v>
      </c>
      <c r="R1163" s="22">
        <f t="shared" si="163"/>
        <v>15855</v>
      </c>
      <c r="S1163" s="244">
        <f t="shared" si="161"/>
        <v>107.68133659331703</v>
      </c>
    </row>
    <row r="1164" spans="2:19" x14ac:dyDescent="0.2">
      <c r="B1164" s="67">
        <f t="shared" si="164"/>
        <v>403</v>
      </c>
      <c r="C1164" s="11"/>
      <c r="D1164" s="11"/>
      <c r="E1164" s="11"/>
      <c r="F1164" s="45" t="s">
        <v>125</v>
      </c>
      <c r="G1164" s="11">
        <v>640</v>
      </c>
      <c r="H1164" s="11" t="s">
        <v>134</v>
      </c>
      <c r="I1164" s="42">
        <v>9319</v>
      </c>
      <c r="J1164" s="42">
        <v>6899</v>
      </c>
      <c r="K1164" s="225">
        <f t="shared" si="162"/>
        <v>74.03154844940444</v>
      </c>
      <c r="L1164" s="114"/>
      <c r="M1164" s="42"/>
      <c r="N1164" s="42"/>
      <c r="O1164" s="225"/>
      <c r="P1164" s="114"/>
      <c r="Q1164" s="42">
        <f t="shared" si="154"/>
        <v>9319</v>
      </c>
      <c r="R1164" s="42">
        <f t="shared" si="163"/>
        <v>6899</v>
      </c>
      <c r="S1164" s="244">
        <f t="shared" si="161"/>
        <v>74.03154844940444</v>
      </c>
    </row>
    <row r="1165" spans="2:19" x14ac:dyDescent="0.2">
      <c r="B1165" s="67">
        <f t="shared" si="164"/>
        <v>404</v>
      </c>
      <c r="C1165" s="11"/>
      <c r="D1165" s="11"/>
      <c r="E1165" s="11"/>
      <c r="F1165" s="45" t="s">
        <v>268</v>
      </c>
      <c r="G1165" s="11">
        <v>610</v>
      </c>
      <c r="H1165" s="11" t="s">
        <v>135</v>
      </c>
      <c r="I1165" s="42">
        <v>330163</v>
      </c>
      <c r="J1165" s="42">
        <v>49368</v>
      </c>
      <c r="K1165" s="225">
        <f t="shared" si="162"/>
        <v>14.952614314747564</v>
      </c>
      <c r="L1165" s="114"/>
      <c r="M1165" s="42"/>
      <c r="N1165" s="42"/>
      <c r="O1165" s="225"/>
      <c r="P1165" s="114"/>
      <c r="Q1165" s="42">
        <f t="shared" si="154"/>
        <v>330163</v>
      </c>
      <c r="R1165" s="42">
        <f t="shared" si="163"/>
        <v>49368</v>
      </c>
      <c r="S1165" s="244">
        <f t="shared" si="161"/>
        <v>14.952614314747564</v>
      </c>
    </row>
    <row r="1166" spans="2:19" x14ac:dyDescent="0.2">
      <c r="B1166" s="67">
        <f t="shared" si="164"/>
        <v>405</v>
      </c>
      <c r="C1166" s="11"/>
      <c r="D1166" s="11"/>
      <c r="E1166" s="11"/>
      <c r="F1166" s="45" t="s">
        <v>268</v>
      </c>
      <c r="G1166" s="11">
        <v>620</v>
      </c>
      <c r="H1166" s="11" t="s">
        <v>130</v>
      </c>
      <c r="I1166" s="42">
        <v>121006</v>
      </c>
      <c r="J1166" s="42">
        <v>18195</v>
      </c>
      <c r="K1166" s="225">
        <f t="shared" si="162"/>
        <v>15.036444473827745</v>
      </c>
      <c r="L1166" s="114"/>
      <c r="M1166" s="42"/>
      <c r="N1166" s="42"/>
      <c r="O1166" s="225"/>
      <c r="P1166" s="114"/>
      <c r="Q1166" s="42">
        <f t="shared" si="154"/>
        <v>121006</v>
      </c>
      <c r="R1166" s="42">
        <f t="shared" si="163"/>
        <v>18195</v>
      </c>
      <c r="S1166" s="244">
        <f t="shared" si="161"/>
        <v>15.036444473827745</v>
      </c>
    </row>
    <row r="1167" spans="2:19" x14ac:dyDescent="0.2">
      <c r="B1167" s="67">
        <f t="shared" si="164"/>
        <v>406</v>
      </c>
      <c r="C1167" s="11"/>
      <c r="D1167" s="11"/>
      <c r="E1167" s="11"/>
      <c r="F1167" s="45" t="s">
        <v>268</v>
      </c>
      <c r="G1167" s="11">
        <v>630</v>
      </c>
      <c r="H1167" s="11" t="s">
        <v>127</v>
      </c>
      <c r="I1167" s="42">
        <f>I1174+I1173+I1172+I1171+I1170+I1169+I1168</f>
        <v>117274</v>
      </c>
      <c r="J1167" s="42">
        <f>J1174+J1173+J1172+J1171+J1170+J1169+J1168</f>
        <v>24742</v>
      </c>
      <c r="K1167" s="225">
        <f t="shared" si="162"/>
        <v>21.097600491157461</v>
      </c>
      <c r="L1167" s="114"/>
      <c r="M1167" s="42">
        <f>M1174+M1173+M1172+M1171+M1170+M1169+M1168</f>
        <v>0</v>
      </c>
      <c r="N1167" s="42">
        <f>N1174+N1173+N1172+N1171+N1170+N1169+N1168</f>
        <v>0</v>
      </c>
      <c r="O1167" s="225"/>
      <c r="P1167" s="114"/>
      <c r="Q1167" s="42">
        <f t="shared" si="154"/>
        <v>117274</v>
      </c>
      <c r="R1167" s="42">
        <f t="shared" si="163"/>
        <v>24742</v>
      </c>
      <c r="S1167" s="244">
        <f t="shared" si="161"/>
        <v>21.097600491157461</v>
      </c>
    </row>
    <row r="1168" spans="2:19" x14ac:dyDescent="0.2">
      <c r="B1168" s="67">
        <f t="shared" si="164"/>
        <v>407</v>
      </c>
      <c r="C1168" s="2"/>
      <c r="D1168" s="2"/>
      <c r="E1168" s="2"/>
      <c r="F1168" s="46" t="s">
        <v>268</v>
      </c>
      <c r="G1168" s="2">
        <v>631</v>
      </c>
      <c r="H1168" s="2" t="s">
        <v>133</v>
      </c>
      <c r="I1168" s="22">
        <v>337</v>
      </c>
      <c r="J1168" s="51">
        <v>277</v>
      </c>
      <c r="K1168" s="225">
        <f t="shared" si="162"/>
        <v>82.195845697329375</v>
      </c>
      <c r="L1168" s="68"/>
      <c r="M1168" s="22"/>
      <c r="N1168" s="22"/>
      <c r="O1168" s="225"/>
      <c r="P1168" s="68"/>
      <c r="Q1168" s="22">
        <f t="shared" si="154"/>
        <v>337</v>
      </c>
      <c r="R1168" s="22">
        <f t="shared" si="163"/>
        <v>277</v>
      </c>
      <c r="S1168" s="244">
        <f t="shared" si="161"/>
        <v>82.195845697329375</v>
      </c>
    </row>
    <row r="1169" spans="2:19" x14ac:dyDescent="0.2">
      <c r="B1169" s="67">
        <f t="shared" si="164"/>
        <v>408</v>
      </c>
      <c r="C1169" s="2"/>
      <c r="D1169" s="2"/>
      <c r="E1169" s="2"/>
      <c r="F1169" s="46" t="s">
        <v>268</v>
      </c>
      <c r="G1169" s="2">
        <v>632</v>
      </c>
      <c r="H1169" s="2" t="s">
        <v>138</v>
      </c>
      <c r="I1169" s="22">
        <v>31697</v>
      </c>
      <c r="J1169" s="51">
        <v>13199</v>
      </c>
      <c r="K1169" s="225">
        <f t="shared" si="162"/>
        <v>41.641164779001166</v>
      </c>
      <c r="L1169" s="68"/>
      <c r="M1169" s="22"/>
      <c r="N1169" s="22"/>
      <c r="O1169" s="225"/>
      <c r="P1169" s="68"/>
      <c r="Q1169" s="22">
        <f t="shared" si="154"/>
        <v>31697</v>
      </c>
      <c r="R1169" s="22">
        <f t="shared" si="163"/>
        <v>13199</v>
      </c>
      <c r="S1169" s="244">
        <f t="shared" si="161"/>
        <v>41.641164779001166</v>
      </c>
    </row>
    <row r="1170" spans="2:19" x14ac:dyDescent="0.2">
      <c r="B1170" s="67">
        <f t="shared" si="164"/>
        <v>409</v>
      </c>
      <c r="C1170" s="2"/>
      <c r="D1170" s="2"/>
      <c r="E1170" s="2"/>
      <c r="F1170" s="46" t="s">
        <v>268</v>
      </c>
      <c r="G1170" s="2">
        <v>633</v>
      </c>
      <c r="H1170" s="2" t="s">
        <v>131</v>
      </c>
      <c r="I1170" s="22">
        <v>28831</v>
      </c>
      <c r="J1170" s="51">
        <v>4347</v>
      </c>
      <c r="K1170" s="225">
        <f t="shared" si="162"/>
        <v>15.077520724220458</v>
      </c>
      <c r="L1170" s="68"/>
      <c r="M1170" s="22"/>
      <c r="N1170" s="22"/>
      <c r="O1170" s="225"/>
      <c r="P1170" s="68"/>
      <c r="Q1170" s="22">
        <f t="shared" si="154"/>
        <v>28831</v>
      </c>
      <c r="R1170" s="22">
        <f t="shared" si="163"/>
        <v>4347</v>
      </c>
      <c r="S1170" s="244">
        <f t="shared" si="161"/>
        <v>15.077520724220458</v>
      </c>
    </row>
    <row r="1171" spans="2:19" x14ac:dyDescent="0.2">
      <c r="B1171" s="67">
        <f t="shared" si="164"/>
        <v>410</v>
      </c>
      <c r="C1171" s="2"/>
      <c r="D1171" s="2"/>
      <c r="E1171" s="2"/>
      <c r="F1171" s="46" t="s">
        <v>268</v>
      </c>
      <c r="G1171" s="2">
        <v>634</v>
      </c>
      <c r="H1171" s="2" t="s">
        <v>136</v>
      </c>
      <c r="I1171" s="22">
        <v>143</v>
      </c>
      <c r="J1171" s="51">
        <v>0</v>
      </c>
      <c r="K1171" s="225">
        <f t="shared" si="162"/>
        <v>0</v>
      </c>
      <c r="L1171" s="68"/>
      <c r="M1171" s="22"/>
      <c r="N1171" s="22"/>
      <c r="O1171" s="225"/>
      <c r="P1171" s="68"/>
      <c r="Q1171" s="22">
        <f t="shared" si="154"/>
        <v>143</v>
      </c>
      <c r="R1171" s="22">
        <f t="shared" si="163"/>
        <v>0</v>
      </c>
      <c r="S1171" s="244">
        <f t="shared" si="161"/>
        <v>0</v>
      </c>
    </row>
    <row r="1172" spans="2:19" x14ac:dyDescent="0.2">
      <c r="B1172" s="67">
        <f t="shared" si="164"/>
        <v>411</v>
      </c>
      <c r="C1172" s="2"/>
      <c r="D1172" s="2"/>
      <c r="E1172" s="2"/>
      <c r="F1172" s="46" t="s">
        <v>268</v>
      </c>
      <c r="G1172" s="2">
        <v>635</v>
      </c>
      <c r="H1172" s="2" t="s">
        <v>137</v>
      </c>
      <c r="I1172" s="22">
        <v>26282</v>
      </c>
      <c r="J1172" s="51">
        <v>1112</v>
      </c>
      <c r="K1172" s="225">
        <f t="shared" si="162"/>
        <v>4.2310326459173577</v>
      </c>
      <c r="L1172" s="68"/>
      <c r="M1172" s="22"/>
      <c r="N1172" s="22"/>
      <c r="O1172" s="225"/>
      <c r="P1172" s="68"/>
      <c r="Q1172" s="22">
        <f t="shared" si="154"/>
        <v>26282</v>
      </c>
      <c r="R1172" s="22">
        <f t="shared" si="163"/>
        <v>1112</v>
      </c>
      <c r="S1172" s="244">
        <f t="shared" si="161"/>
        <v>4.2310326459173577</v>
      </c>
    </row>
    <row r="1173" spans="2:19" x14ac:dyDescent="0.2">
      <c r="B1173" s="67">
        <f t="shared" si="164"/>
        <v>412</v>
      </c>
      <c r="C1173" s="2"/>
      <c r="D1173" s="2"/>
      <c r="E1173" s="2"/>
      <c r="F1173" s="46" t="s">
        <v>268</v>
      </c>
      <c r="G1173" s="2">
        <v>636</v>
      </c>
      <c r="H1173" s="2" t="s">
        <v>132</v>
      </c>
      <c r="I1173" s="22">
        <v>1290</v>
      </c>
      <c r="J1173" s="51">
        <v>1391</v>
      </c>
      <c r="K1173" s="225">
        <f t="shared" si="162"/>
        <v>107.82945736434108</v>
      </c>
      <c r="L1173" s="68"/>
      <c r="M1173" s="22"/>
      <c r="N1173" s="22"/>
      <c r="O1173" s="225"/>
      <c r="P1173" s="68"/>
      <c r="Q1173" s="22">
        <f t="shared" si="154"/>
        <v>1290</v>
      </c>
      <c r="R1173" s="22">
        <f t="shared" si="163"/>
        <v>1391</v>
      </c>
      <c r="S1173" s="244">
        <f t="shared" si="161"/>
        <v>107.82945736434108</v>
      </c>
    </row>
    <row r="1174" spans="2:19" x14ac:dyDescent="0.2">
      <c r="B1174" s="67">
        <f t="shared" si="164"/>
        <v>413</v>
      </c>
      <c r="C1174" s="2"/>
      <c r="D1174" s="2"/>
      <c r="E1174" s="2"/>
      <c r="F1174" s="46" t="s">
        <v>268</v>
      </c>
      <c r="G1174" s="2">
        <v>637</v>
      </c>
      <c r="H1174" s="2" t="s">
        <v>128</v>
      </c>
      <c r="I1174" s="22">
        <f>20574+8120</f>
        <v>28694</v>
      </c>
      <c r="J1174" s="51">
        <v>4416</v>
      </c>
      <c r="K1174" s="225">
        <f t="shared" si="162"/>
        <v>15.389976998675682</v>
      </c>
      <c r="L1174" s="68"/>
      <c r="M1174" s="22"/>
      <c r="N1174" s="22"/>
      <c r="O1174" s="225"/>
      <c r="P1174" s="68"/>
      <c r="Q1174" s="22">
        <f t="shared" si="154"/>
        <v>28694</v>
      </c>
      <c r="R1174" s="22">
        <f t="shared" si="163"/>
        <v>4416</v>
      </c>
      <c r="S1174" s="244">
        <f t="shared" si="161"/>
        <v>15.389976998675682</v>
      </c>
    </row>
    <row r="1175" spans="2:19" x14ac:dyDescent="0.2">
      <c r="B1175" s="67">
        <f t="shared" si="164"/>
        <v>414</v>
      </c>
      <c r="C1175" s="11"/>
      <c r="D1175" s="11"/>
      <c r="E1175" s="11"/>
      <c r="F1175" s="45" t="s">
        <v>268</v>
      </c>
      <c r="G1175" s="11">
        <v>640</v>
      </c>
      <c r="H1175" s="11" t="s">
        <v>134</v>
      </c>
      <c r="I1175" s="42">
        <v>11447</v>
      </c>
      <c r="J1175" s="42">
        <v>10222</v>
      </c>
      <c r="K1175" s="225">
        <f t="shared" si="162"/>
        <v>89.298506158818896</v>
      </c>
      <c r="L1175" s="114"/>
      <c r="M1175" s="42"/>
      <c r="N1175" s="42"/>
      <c r="O1175" s="225"/>
      <c r="P1175" s="114"/>
      <c r="Q1175" s="42">
        <f t="shared" si="154"/>
        <v>11447</v>
      </c>
      <c r="R1175" s="42">
        <f t="shared" si="163"/>
        <v>10222</v>
      </c>
      <c r="S1175" s="244">
        <f t="shared" si="161"/>
        <v>89.298506158818896</v>
      </c>
    </row>
    <row r="1176" spans="2:19" x14ac:dyDescent="0.2">
      <c r="B1176" s="67">
        <f t="shared" si="164"/>
        <v>415</v>
      </c>
      <c r="C1176" s="11"/>
      <c r="D1176" s="11"/>
      <c r="E1176" s="11"/>
      <c r="F1176" s="45" t="s">
        <v>75</v>
      </c>
      <c r="G1176" s="11">
        <v>630</v>
      </c>
      <c r="H1176" s="11" t="s">
        <v>660</v>
      </c>
      <c r="I1176" s="42">
        <v>400</v>
      </c>
      <c r="J1176" s="42">
        <v>464</v>
      </c>
      <c r="K1176" s="225">
        <f t="shared" si="162"/>
        <v>115.99999999999999</v>
      </c>
      <c r="L1176" s="114"/>
      <c r="M1176" s="42"/>
      <c r="N1176" s="42"/>
      <c r="O1176" s="225"/>
      <c r="P1176" s="114"/>
      <c r="Q1176" s="42">
        <f t="shared" si="154"/>
        <v>400</v>
      </c>
      <c r="R1176" s="42">
        <f t="shared" si="163"/>
        <v>464</v>
      </c>
      <c r="S1176" s="244">
        <f t="shared" si="161"/>
        <v>115.99999999999999</v>
      </c>
    </row>
    <row r="1177" spans="2:19" x14ac:dyDescent="0.2">
      <c r="B1177" s="67">
        <f t="shared" si="164"/>
        <v>416</v>
      </c>
      <c r="C1177" s="11"/>
      <c r="D1177" s="11"/>
      <c r="E1177" s="11"/>
      <c r="F1177" s="45"/>
      <c r="G1177" s="11"/>
      <c r="H1177" s="11"/>
      <c r="I1177" s="42"/>
      <c r="J1177" s="42"/>
      <c r="K1177" s="225"/>
      <c r="L1177" s="114"/>
      <c r="M1177" s="42"/>
      <c r="N1177" s="42"/>
      <c r="O1177" s="225"/>
      <c r="P1177" s="114"/>
      <c r="Q1177" s="42"/>
      <c r="R1177" s="42"/>
      <c r="S1177" s="244"/>
    </row>
    <row r="1178" spans="2:19" x14ac:dyDescent="0.2">
      <c r="B1178" s="67">
        <f t="shared" si="164"/>
        <v>417</v>
      </c>
      <c r="C1178" s="11"/>
      <c r="D1178" s="11"/>
      <c r="E1178" s="11"/>
      <c r="F1178" s="45"/>
      <c r="G1178" s="11">
        <v>630</v>
      </c>
      <c r="H1178" s="11" t="s">
        <v>610</v>
      </c>
      <c r="I1178" s="42">
        <v>1167</v>
      </c>
      <c r="J1178" s="42">
        <v>1167</v>
      </c>
      <c r="K1178" s="225">
        <f t="shared" si="162"/>
        <v>100</v>
      </c>
      <c r="L1178" s="114"/>
      <c r="M1178" s="42"/>
      <c r="N1178" s="42"/>
      <c r="O1178" s="225"/>
      <c r="P1178" s="114"/>
      <c r="Q1178" s="42">
        <f t="shared" ref="Q1178" si="165">M1178+I1178</f>
        <v>1167</v>
      </c>
      <c r="R1178" s="42">
        <f t="shared" ref="R1178:R1202" si="166">N1178+J1178</f>
        <v>1167</v>
      </c>
      <c r="S1178" s="244">
        <f t="shared" si="161"/>
        <v>100</v>
      </c>
    </row>
    <row r="1179" spans="2:19" ht="15" x14ac:dyDescent="0.25">
      <c r="B1179" s="67">
        <f t="shared" si="164"/>
        <v>418</v>
      </c>
      <c r="C1179" s="14"/>
      <c r="D1179" s="14"/>
      <c r="E1179" s="14">
        <v>13</v>
      </c>
      <c r="F1179" s="43"/>
      <c r="G1179" s="14"/>
      <c r="H1179" s="14" t="s">
        <v>253</v>
      </c>
      <c r="I1179" s="40">
        <f>I1180+I1181+I1182+I1188+I1192+I1193+I1194+I1201+I1204+I1202</f>
        <v>406388</v>
      </c>
      <c r="J1179" s="40">
        <f>J1180+J1181+J1182+J1188+J1192+J1193+J1194+J1201+J1204+J1202</f>
        <v>167898</v>
      </c>
      <c r="K1179" s="225">
        <f t="shared" si="162"/>
        <v>41.314704174335859</v>
      </c>
      <c r="L1179" s="175"/>
      <c r="M1179" s="40">
        <f>M1189+M1208+M1206</f>
        <v>130000</v>
      </c>
      <c r="N1179" s="40">
        <f>N1189+N1208+N1206</f>
        <v>0</v>
      </c>
      <c r="O1179" s="225">
        <f t="shared" si="158"/>
        <v>0</v>
      </c>
      <c r="P1179" s="175"/>
      <c r="Q1179" s="40">
        <f t="shared" si="154"/>
        <v>536388</v>
      </c>
      <c r="R1179" s="40">
        <f t="shared" si="166"/>
        <v>167898</v>
      </c>
      <c r="S1179" s="244">
        <f t="shared" si="161"/>
        <v>31.301595113984654</v>
      </c>
    </row>
    <row r="1180" spans="2:19" x14ac:dyDescent="0.2">
      <c r="B1180" s="67">
        <f t="shared" si="164"/>
        <v>419</v>
      </c>
      <c r="C1180" s="11"/>
      <c r="D1180" s="11"/>
      <c r="E1180" s="11"/>
      <c r="F1180" s="45" t="s">
        <v>125</v>
      </c>
      <c r="G1180" s="11">
        <v>610</v>
      </c>
      <c r="H1180" s="11" t="s">
        <v>135</v>
      </c>
      <c r="I1180" s="42">
        <v>90412</v>
      </c>
      <c r="J1180" s="42">
        <v>27130</v>
      </c>
      <c r="K1180" s="225">
        <f t="shared" si="162"/>
        <v>30.007078706366414</v>
      </c>
      <c r="L1180" s="114"/>
      <c r="M1180" s="42"/>
      <c r="N1180" s="42"/>
      <c r="O1180" s="225"/>
      <c r="P1180" s="114"/>
      <c r="Q1180" s="42">
        <f t="shared" si="154"/>
        <v>90412</v>
      </c>
      <c r="R1180" s="42">
        <f t="shared" si="166"/>
        <v>27130</v>
      </c>
      <c r="S1180" s="244">
        <f t="shared" si="161"/>
        <v>30.007078706366414</v>
      </c>
    </row>
    <row r="1181" spans="2:19" x14ac:dyDescent="0.2">
      <c r="B1181" s="67">
        <f t="shared" si="164"/>
        <v>420</v>
      </c>
      <c r="C1181" s="11"/>
      <c r="D1181" s="11"/>
      <c r="E1181" s="11"/>
      <c r="F1181" s="45" t="s">
        <v>125</v>
      </c>
      <c r="G1181" s="11">
        <v>620</v>
      </c>
      <c r="H1181" s="11" t="s">
        <v>130</v>
      </c>
      <c r="I1181" s="42">
        <v>31593</v>
      </c>
      <c r="J1181" s="42">
        <v>9435</v>
      </c>
      <c r="K1181" s="225">
        <f t="shared" si="162"/>
        <v>29.864210426360273</v>
      </c>
      <c r="L1181" s="114"/>
      <c r="M1181" s="42"/>
      <c r="N1181" s="42"/>
      <c r="O1181" s="225"/>
      <c r="P1181" s="114"/>
      <c r="Q1181" s="42">
        <f t="shared" si="154"/>
        <v>31593</v>
      </c>
      <c r="R1181" s="42">
        <f t="shared" si="166"/>
        <v>9435</v>
      </c>
      <c r="S1181" s="244">
        <f t="shared" si="161"/>
        <v>29.864210426360273</v>
      </c>
    </row>
    <row r="1182" spans="2:19" x14ac:dyDescent="0.2">
      <c r="B1182" s="67">
        <f t="shared" si="164"/>
        <v>421</v>
      </c>
      <c r="C1182" s="11"/>
      <c r="D1182" s="11"/>
      <c r="E1182" s="11"/>
      <c r="F1182" s="45" t="s">
        <v>125</v>
      </c>
      <c r="G1182" s="11">
        <v>630</v>
      </c>
      <c r="H1182" s="11" t="s">
        <v>127</v>
      </c>
      <c r="I1182" s="42">
        <f>I1187+I1186+I1185+I1184+I1183</f>
        <v>28402</v>
      </c>
      <c r="J1182" s="42">
        <f>J1187+J1186+J1185+J1184+J1183</f>
        <v>18749</v>
      </c>
      <c r="K1182" s="225">
        <f t="shared" si="162"/>
        <v>66.012956834025772</v>
      </c>
      <c r="L1182" s="114"/>
      <c r="M1182" s="42">
        <v>0</v>
      </c>
      <c r="N1182" s="42"/>
      <c r="O1182" s="225"/>
      <c r="P1182" s="114"/>
      <c r="Q1182" s="42">
        <f t="shared" si="154"/>
        <v>28402</v>
      </c>
      <c r="R1182" s="42">
        <f t="shared" si="166"/>
        <v>18749</v>
      </c>
      <c r="S1182" s="244">
        <f t="shared" si="161"/>
        <v>66.012956834025772</v>
      </c>
    </row>
    <row r="1183" spans="2:19" x14ac:dyDescent="0.2">
      <c r="B1183" s="67">
        <f t="shared" si="164"/>
        <v>422</v>
      </c>
      <c r="C1183" s="2"/>
      <c r="D1183" s="2"/>
      <c r="E1183" s="2"/>
      <c r="F1183" s="46" t="s">
        <v>125</v>
      </c>
      <c r="G1183" s="2">
        <v>631</v>
      </c>
      <c r="H1183" s="2" t="s">
        <v>133</v>
      </c>
      <c r="I1183" s="22">
        <v>15</v>
      </c>
      <c r="J1183" s="22">
        <v>0</v>
      </c>
      <c r="K1183" s="225">
        <f t="shared" si="162"/>
        <v>0</v>
      </c>
      <c r="L1183" s="68"/>
      <c r="M1183" s="22"/>
      <c r="N1183" s="22"/>
      <c r="O1183" s="225"/>
      <c r="P1183" s="68"/>
      <c r="Q1183" s="22">
        <f t="shared" si="154"/>
        <v>15</v>
      </c>
      <c r="R1183" s="22">
        <f t="shared" si="166"/>
        <v>0</v>
      </c>
      <c r="S1183" s="244">
        <f t="shared" si="161"/>
        <v>0</v>
      </c>
    </row>
    <row r="1184" spans="2:19" x14ac:dyDescent="0.2">
      <c r="B1184" s="67">
        <f t="shared" si="164"/>
        <v>423</v>
      </c>
      <c r="C1184" s="2"/>
      <c r="D1184" s="2"/>
      <c r="E1184" s="2"/>
      <c r="F1184" s="46" t="s">
        <v>125</v>
      </c>
      <c r="G1184" s="2">
        <v>632</v>
      </c>
      <c r="H1184" s="2" t="s">
        <v>138</v>
      </c>
      <c r="I1184" s="22">
        <f>19996+1000</f>
        <v>20996</v>
      </c>
      <c r="J1184" s="22">
        <v>16243</v>
      </c>
      <c r="K1184" s="225">
        <f t="shared" si="162"/>
        <v>77.362354734235097</v>
      </c>
      <c r="L1184" s="68"/>
      <c r="M1184" s="22"/>
      <c r="N1184" s="22"/>
      <c r="O1184" s="225"/>
      <c r="P1184" s="68"/>
      <c r="Q1184" s="22">
        <f t="shared" si="154"/>
        <v>20996</v>
      </c>
      <c r="R1184" s="22">
        <f t="shared" si="166"/>
        <v>16243</v>
      </c>
      <c r="S1184" s="244">
        <f t="shared" si="161"/>
        <v>77.362354734235097</v>
      </c>
    </row>
    <row r="1185" spans="2:19" x14ac:dyDescent="0.2">
      <c r="B1185" s="67">
        <f t="shared" si="164"/>
        <v>424</v>
      </c>
      <c r="C1185" s="2"/>
      <c r="D1185" s="2"/>
      <c r="E1185" s="2"/>
      <c r="F1185" s="46" t="s">
        <v>125</v>
      </c>
      <c r="G1185" s="2">
        <v>633</v>
      </c>
      <c r="H1185" s="2" t="s">
        <v>131</v>
      </c>
      <c r="I1185" s="22">
        <v>2173</v>
      </c>
      <c r="J1185" s="22">
        <v>995</v>
      </c>
      <c r="K1185" s="225">
        <f t="shared" si="162"/>
        <v>45.789231477220433</v>
      </c>
      <c r="L1185" s="68"/>
      <c r="M1185" s="22"/>
      <c r="N1185" s="22"/>
      <c r="O1185" s="225"/>
      <c r="P1185" s="68"/>
      <c r="Q1185" s="22">
        <f t="shared" si="154"/>
        <v>2173</v>
      </c>
      <c r="R1185" s="22">
        <f t="shared" si="166"/>
        <v>995</v>
      </c>
      <c r="S1185" s="244">
        <f t="shared" si="161"/>
        <v>45.789231477220433</v>
      </c>
    </row>
    <row r="1186" spans="2:19" x14ac:dyDescent="0.2">
      <c r="B1186" s="67">
        <f t="shared" si="164"/>
        <v>425</v>
      </c>
      <c r="C1186" s="2"/>
      <c r="D1186" s="2"/>
      <c r="E1186" s="2"/>
      <c r="F1186" s="46" t="s">
        <v>125</v>
      </c>
      <c r="G1186" s="2">
        <v>635</v>
      </c>
      <c r="H1186" s="2" t="s">
        <v>137</v>
      </c>
      <c r="I1186" s="22">
        <v>566</v>
      </c>
      <c r="J1186" s="22">
        <v>0</v>
      </c>
      <c r="K1186" s="225">
        <f t="shared" si="162"/>
        <v>0</v>
      </c>
      <c r="L1186" s="68"/>
      <c r="M1186" s="22"/>
      <c r="N1186" s="22"/>
      <c r="O1186" s="225"/>
      <c r="P1186" s="68"/>
      <c r="Q1186" s="22">
        <f t="shared" si="154"/>
        <v>566</v>
      </c>
      <c r="R1186" s="22">
        <f t="shared" si="166"/>
        <v>0</v>
      </c>
      <c r="S1186" s="244">
        <f t="shared" si="161"/>
        <v>0</v>
      </c>
    </row>
    <row r="1187" spans="2:19" x14ac:dyDescent="0.2">
      <c r="B1187" s="67">
        <f t="shared" si="164"/>
        <v>426</v>
      </c>
      <c r="C1187" s="2"/>
      <c r="D1187" s="2"/>
      <c r="E1187" s="2"/>
      <c r="F1187" s="46" t="s">
        <v>125</v>
      </c>
      <c r="G1187" s="2">
        <v>637</v>
      </c>
      <c r="H1187" s="2" t="s">
        <v>128</v>
      </c>
      <c r="I1187" s="22">
        <v>4652</v>
      </c>
      <c r="J1187" s="22">
        <v>1511</v>
      </c>
      <c r="K1187" s="225">
        <f t="shared" si="162"/>
        <v>32.480653482373171</v>
      </c>
      <c r="L1187" s="68"/>
      <c r="M1187" s="22"/>
      <c r="N1187" s="22"/>
      <c r="O1187" s="225"/>
      <c r="P1187" s="68"/>
      <c r="Q1187" s="22">
        <f t="shared" si="154"/>
        <v>4652</v>
      </c>
      <c r="R1187" s="22">
        <f t="shared" si="166"/>
        <v>1511</v>
      </c>
      <c r="S1187" s="244">
        <f t="shared" si="161"/>
        <v>32.480653482373171</v>
      </c>
    </row>
    <row r="1188" spans="2:19" x14ac:dyDescent="0.2">
      <c r="B1188" s="67">
        <f t="shared" si="164"/>
        <v>427</v>
      </c>
      <c r="C1188" s="11"/>
      <c r="D1188" s="11"/>
      <c r="E1188" s="11"/>
      <c r="F1188" s="45" t="s">
        <v>125</v>
      </c>
      <c r="G1188" s="11">
        <v>640</v>
      </c>
      <c r="H1188" s="11" t="s">
        <v>134</v>
      </c>
      <c r="I1188" s="42">
        <v>160</v>
      </c>
      <c r="J1188" s="42">
        <v>155</v>
      </c>
      <c r="K1188" s="225">
        <f t="shared" si="162"/>
        <v>96.875</v>
      </c>
      <c r="L1188" s="114"/>
      <c r="M1188" s="42"/>
      <c r="N1188" s="42"/>
      <c r="O1188" s="225"/>
      <c r="P1188" s="114"/>
      <c r="Q1188" s="42">
        <f t="shared" si="154"/>
        <v>160</v>
      </c>
      <c r="R1188" s="42">
        <f t="shared" si="166"/>
        <v>155</v>
      </c>
      <c r="S1188" s="244">
        <f t="shared" si="161"/>
        <v>96.875</v>
      </c>
    </row>
    <row r="1189" spans="2:19" x14ac:dyDescent="0.2">
      <c r="B1189" s="67">
        <f t="shared" si="164"/>
        <v>428</v>
      </c>
      <c r="C1189" s="11"/>
      <c r="D1189" s="11"/>
      <c r="E1189" s="11"/>
      <c r="F1189" s="45" t="s">
        <v>125</v>
      </c>
      <c r="G1189" s="11">
        <v>710</v>
      </c>
      <c r="H1189" s="11" t="s">
        <v>183</v>
      </c>
      <c r="I1189" s="42">
        <f>I1190</f>
        <v>0</v>
      </c>
      <c r="J1189" s="42">
        <f>J1190</f>
        <v>0</v>
      </c>
      <c r="K1189" s="225"/>
      <c r="L1189" s="114"/>
      <c r="M1189" s="42">
        <f>M1190</f>
        <v>10000</v>
      </c>
      <c r="N1189" s="42">
        <f>N1190</f>
        <v>0</v>
      </c>
      <c r="O1189" s="225">
        <f t="shared" si="158"/>
        <v>0</v>
      </c>
      <c r="P1189" s="114"/>
      <c r="Q1189" s="42">
        <f t="shared" si="154"/>
        <v>10000</v>
      </c>
      <c r="R1189" s="42">
        <f t="shared" si="166"/>
        <v>0</v>
      </c>
      <c r="S1189" s="244">
        <f t="shared" si="161"/>
        <v>0</v>
      </c>
    </row>
    <row r="1190" spans="2:19" x14ac:dyDescent="0.2">
      <c r="B1190" s="67">
        <f t="shared" si="164"/>
        <v>429</v>
      </c>
      <c r="C1190" s="11"/>
      <c r="D1190" s="11"/>
      <c r="E1190" s="11"/>
      <c r="F1190" s="77" t="s">
        <v>125</v>
      </c>
      <c r="G1190" s="78">
        <v>717</v>
      </c>
      <c r="H1190" s="78" t="s">
        <v>193</v>
      </c>
      <c r="I1190" s="79"/>
      <c r="J1190" s="79"/>
      <c r="K1190" s="225"/>
      <c r="L1190" s="68"/>
      <c r="M1190" s="79">
        <f>SUM(M1191:M1192)</f>
        <v>10000</v>
      </c>
      <c r="N1190" s="79">
        <f>SUM(N1191:N1192)</f>
        <v>0</v>
      </c>
      <c r="O1190" s="225">
        <f t="shared" si="158"/>
        <v>0</v>
      </c>
      <c r="P1190" s="68"/>
      <c r="Q1190" s="79">
        <f t="shared" si="154"/>
        <v>10000</v>
      </c>
      <c r="R1190" s="79">
        <f t="shared" si="166"/>
        <v>0</v>
      </c>
      <c r="S1190" s="244">
        <f t="shared" si="161"/>
        <v>0</v>
      </c>
    </row>
    <row r="1191" spans="2:19" x14ac:dyDescent="0.2">
      <c r="B1191" s="67">
        <f t="shared" si="164"/>
        <v>430</v>
      </c>
      <c r="C1191" s="11"/>
      <c r="D1191" s="11"/>
      <c r="E1191" s="11"/>
      <c r="F1191" s="57"/>
      <c r="G1191" s="53"/>
      <c r="H1191" s="116" t="s">
        <v>541</v>
      </c>
      <c r="I1191" s="115"/>
      <c r="J1191" s="115"/>
      <c r="K1191" s="225"/>
      <c r="L1191" s="68"/>
      <c r="M1191" s="115">
        <v>10000</v>
      </c>
      <c r="N1191" s="115"/>
      <c r="O1191" s="225">
        <f t="shared" si="158"/>
        <v>0</v>
      </c>
      <c r="P1191" s="68"/>
      <c r="Q1191" s="115">
        <f t="shared" si="154"/>
        <v>10000</v>
      </c>
      <c r="R1191" s="115">
        <f t="shared" si="166"/>
        <v>0</v>
      </c>
      <c r="S1191" s="244">
        <f t="shared" si="161"/>
        <v>0</v>
      </c>
    </row>
    <row r="1192" spans="2:19" x14ac:dyDescent="0.2">
      <c r="B1192" s="67">
        <f t="shared" si="164"/>
        <v>431</v>
      </c>
      <c r="C1192" s="11"/>
      <c r="D1192" s="11"/>
      <c r="E1192" s="11"/>
      <c r="F1192" s="45" t="s">
        <v>268</v>
      </c>
      <c r="G1192" s="11">
        <v>610</v>
      </c>
      <c r="H1192" s="11" t="s">
        <v>135</v>
      </c>
      <c r="I1192" s="42">
        <v>139144</v>
      </c>
      <c r="J1192" s="42">
        <v>66997</v>
      </c>
      <c r="K1192" s="225">
        <f t="shared" si="162"/>
        <v>48.149399183579597</v>
      </c>
      <c r="L1192" s="114"/>
      <c r="M1192" s="42"/>
      <c r="N1192" s="42"/>
      <c r="O1192" s="225"/>
      <c r="P1192" s="114"/>
      <c r="Q1192" s="42">
        <f t="shared" si="154"/>
        <v>139144</v>
      </c>
      <c r="R1192" s="42">
        <f t="shared" si="166"/>
        <v>66997</v>
      </c>
      <c r="S1192" s="244">
        <f t="shared" si="161"/>
        <v>48.149399183579597</v>
      </c>
    </row>
    <row r="1193" spans="2:19" x14ac:dyDescent="0.2">
      <c r="B1193" s="67">
        <f t="shared" si="164"/>
        <v>432</v>
      </c>
      <c r="C1193" s="11"/>
      <c r="D1193" s="11"/>
      <c r="E1193" s="11"/>
      <c r="F1193" s="45" t="s">
        <v>268</v>
      </c>
      <c r="G1193" s="11">
        <v>620</v>
      </c>
      <c r="H1193" s="11" t="s">
        <v>130</v>
      </c>
      <c r="I1193" s="42">
        <v>48638</v>
      </c>
      <c r="J1193" s="42">
        <v>22457</v>
      </c>
      <c r="K1193" s="225">
        <f t="shared" si="162"/>
        <v>46.171717587071839</v>
      </c>
      <c r="L1193" s="114"/>
      <c r="M1193" s="42"/>
      <c r="N1193" s="42"/>
      <c r="O1193" s="225"/>
      <c r="P1193" s="114"/>
      <c r="Q1193" s="42">
        <f t="shared" si="154"/>
        <v>48638</v>
      </c>
      <c r="R1193" s="42">
        <f t="shared" si="166"/>
        <v>22457</v>
      </c>
      <c r="S1193" s="244">
        <f t="shared" si="161"/>
        <v>46.171717587071839</v>
      </c>
    </row>
    <row r="1194" spans="2:19" x14ac:dyDescent="0.2">
      <c r="B1194" s="67">
        <f t="shared" si="164"/>
        <v>433</v>
      </c>
      <c r="C1194" s="11"/>
      <c r="D1194" s="11"/>
      <c r="E1194" s="11"/>
      <c r="F1194" s="45" t="s">
        <v>268</v>
      </c>
      <c r="G1194" s="11">
        <v>630</v>
      </c>
      <c r="H1194" s="11" t="s">
        <v>127</v>
      </c>
      <c r="I1194" s="42">
        <f>I1200+I1199+I1197+I1196+I1195+I1198</f>
        <v>67545</v>
      </c>
      <c r="J1194" s="42">
        <f>J1200+J1199+J1197+J1196+J1195+J1198</f>
        <v>22566</v>
      </c>
      <c r="K1194" s="225">
        <f t="shared" si="162"/>
        <v>33.408838552076389</v>
      </c>
      <c r="L1194" s="114"/>
      <c r="M1194" s="42">
        <f>M1200+M1199+M1197+M1196+M1195</f>
        <v>0</v>
      </c>
      <c r="N1194" s="42">
        <f>N1200+N1199+N1197+N1196+N1195</f>
        <v>0</v>
      </c>
      <c r="O1194" s="225"/>
      <c r="P1194" s="114"/>
      <c r="Q1194" s="42">
        <f t="shared" si="154"/>
        <v>67545</v>
      </c>
      <c r="R1194" s="42">
        <f t="shared" si="166"/>
        <v>22566</v>
      </c>
      <c r="S1194" s="244">
        <f t="shared" si="161"/>
        <v>33.408838552076389</v>
      </c>
    </row>
    <row r="1195" spans="2:19" x14ac:dyDescent="0.2">
      <c r="B1195" s="67">
        <f t="shared" si="164"/>
        <v>434</v>
      </c>
      <c r="C1195" s="2"/>
      <c r="D1195" s="2"/>
      <c r="E1195" s="2"/>
      <c r="F1195" s="46" t="s">
        <v>268</v>
      </c>
      <c r="G1195" s="2">
        <v>631</v>
      </c>
      <c r="H1195" s="2" t="s">
        <v>133</v>
      </c>
      <c r="I1195" s="22">
        <v>15</v>
      </c>
      <c r="J1195" s="22">
        <v>0</v>
      </c>
      <c r="K1195" s="225">
        <f t="shared" si="162"/>
        <v>0</v>
      </c>
      <c r="L1195" s="68"/>
      <c r="M1195" s="22"/>
      <c r="N1195" s="22"/>
      <c r="O1195" s="225"/>
      <c r="P1195" s="68"/>
      <c r="Q1195" s="22">
        <f t="shared" si="154"/>
        <v>15</v>
      </c>
      <c r="R1195" s="22">
        <f t="shared" si="166"/>
        <v>0</v>
      </c>
      <c r="S1195" s="244">
        <f t="shared" si="161"/>
        <v>0</v>
      </c>
    </row>
    <row r="1196" spans="2:19" x14ac:dyDescent="0.2">
      <c r="B1196" s="67">
        <f t="shared" si="164"/>
        <v>435</v>
      </c>
      <c r="C1196" s="2"/>
      <c r="D1196" s="2"/>
      <c r="E1196" s="2"/>
      <c r="F1196" s="46" t="s">
        <v>268</v>
      </c>
      <c r="G1196" s="2">
        <v>632</v>
      </c>
      <c r="H1196" s="2" t="s">
        <v>138</v>
      </c>
      <c r="I1196" s="22">
        <f>24642+1000+2000</f>
        <v>27642</v>
      </c>
      <c r="J1196" s="22">
        <v>11271</v>
      </c>
      <c r="K1196" s="225">
        <f t="shared" si="162"/>
        <v>40.774907749077485</v>
      </c>
      <c r="L1196" s="68"/>
      <c r="M1196" s="22"/>
      <c r="N1196" s="22"/>
      <c r="O1196" s="225"/>
      <c r="P1196" s="68"/>
      <c r="Q1196" s="22">
        <f t="shared" si="154"/>
        <v>27642</v>
      </c>
      <c r="R1196" s="22">
        <f t="shared" si="166"/>
        <v>11271</v>
      </c>
      <c r="S1196" s="244">
        <f t="shared" si="161"/>
        <v>40.774907749077485</v>
      </c>
    </row>
    <row r="1197" spans="2:19" x14ac:dyDescent="0.2">
      <c r="B1197" s="67">
        <f t="shared" si="164"/>
        <v>436</v>
      </c>
      <c r="C1197" s="2"/>
      <c r="D1197" s="2"/>
      <c r="E1197" s="2"/>
      <c r="F1197" s="46" t="s">
        <v>268</v>
      </c>
      <c r="G1197" s="2">
        <v>633</v>
      </c>
      <c r="H1197" s="2" t="s">
        <v>131</v>
      </c>
      <c r="I1197" s="22">
        <f>5336+326</f>
        <v>5662</v>
      </c>
      <c r="J1197" s="22">
        <v>2129</v>
      </c>
      <c r="K1197" s="225">
        <f t="shared" si="162"/>
        <v>37.60155422112328</v>
      </c>
      <c r="L1197" s="68"/>
      <c r="M1197" s="22"/>
      <c r="N1197" s="22"/>
      <c r="O1197" s="225"/>
      <c r="P1197" s="68"/>
      <c r="Q1197" s="22">
        <f t="shared" si="154"/>
        <v>5662</v>
      </c>
      <c r="R1197" s="22">
        <f t="shared" si="166"/>
        <v>2129</v>
      </c>
      <c r="S1197" s="244">
        <f t="shared" si="161"/>
        <v>37.60155422112328</v>
      </c>
    </row>
    <row r="1198" spans="2:19" x14ac:dyDescent="0.2">
      <c r="B1198" s="67">
        <f t="shared" si="164"/>
        <v>437</v>
      </c>
      <c r="C1198" s="2"/>
      <c r="D1198" s="2"/>
      <c r="E1198" s="2"/>
      <c r="F1198" s="46" t="s">
        <v>268</v>
      </c>
      <c r="G1198" s="2">
        <v>634</v>
      </c>
      <c r="H1198" s="2" t="s">
        <v>136</v>
      </c>
      <c r="I1198" s="22">
        <v>840</v>
      </c>
      <c r="J1198" s="22">
        <v>840</v>
      </c>
      <c r="K1198" s="225">
        <f t="shared" si="162"/>
        <v>100</v>
      </c>
      <c r="L1198" s="68"/>
      <c r="M1198" s="22"/>
      <c r="N1198" s="22"/>
      <c r="O1198" s="225"/>
      <c r="P1198" s="68"/>
      <c r="Q1198" s="22">
        <f t="shared" si="154"/>
        <v>840</v>
      </c>
      <c r="R1198" s="22">
        <f t="shared" si="166"/>
        <v>840</v>
      </c>
      <c r="S1198" s="244">
        <f t="shared" si="161"/>
        <v>100</v>
      </c>
    </row>
    <row r="1199" spans="2:19" x14ac:dyDescent="0.2">
      <c r="B1199" s="67">
        <f t="shared" si="164"/>
        <v>438</v>
      </c>
      <c r="C1199" s="2"/>
      <c r="D1199" s="2"/>
      <c r="E1199" s="2"/>
      <c r="F1199" s="46" t="s">
        <v>268</v>
      </c>
      <c r="G1199" s="2">
        <v>635</v>
      </c>
      <c r="H1199" s="2" t="s">
        <v>137</v>
      </c>
      <c r="I1199" s="22">
        <v>23766</v>
      </c>
      <c r="J1199" s="22">
        <v>17</v>
      </c>
      <c r="K1199" s="225">
        <f t="shared" si="162"/>
        <v>7.1530758226037189E-2</v>
      </c>
      <c r="L1199" s="68"/>
      <c r="M1199" s="22"/>
      <c r="N1199" s="22"/>
      <c r="O1199" s="225"/>
      <c r="P1199" s="68"/>
      <c r="Q1199" s="22">
        <f t="shared" si="154"/>
        <v>23766</v>
      </c>
      <c r="R1199" s="22">
        <f t="shared" si="166"/>
        <v>17</v>
      </c>
      <c r="S1199" s="244">
        <f t="shared" si="161"/>
        <v>7.1530758226037189E-2</v>
      </c>
    </row>
    <row r="1200" spans="2:19" x14ac:dyDescent="0.2">
      <c r="B1200" s="67">
        <f t="shared" si="164"/>
        <v>439</v>
      </c>
      <c r="C1200" s="2"/>
      <c r="D1200" s="2"/>
      <c r="E1200" s="2"/>
      <c r="F1200" s="46" t="s">
        <v>268</v>
      </c>
      <c r="G1200" s="2">
        <v>637</v>
      </c>
      <c r="H1200" s="2" t="s">
        <v>128</v>
      </c>
      <c r="I1200" s="22">
        <f>6160+550+2910</f>
        <v>9620</v>
      </c>
      <c r="J1200" s="22">
        <v>8309</v>
      </c>
      <c r="K1200" s="225">
        <f t="shared" si="162"/>
        <v>86.372141372141371</v>
      </c>
      <c r="L1200" s="68"/>
      <c r="M1200" s="22"/>
      <c r="N1200" s="22"/>
      <c r="O1200" s="225"/>
      <c r="P1200" s="68"/>
      <c r="Q1200" s="22">
        <f t="shared" si="154"/>
        <v>9620</v>
      </c>
      <c r="R1200" s="22">
        <f t="shared" si="166"/>
        <v>8309</v>
      </c>
      <c r="S1200" s="244">
        <f t="shared" si="161"/>
        <v>86.372141372141371</v>
      </c>
    </row>
    <row r="1201" spans="2:19" x14ac:dyDescent="0.2">
      <c r="B1201" s="67">
        <f t="shared" si="164"/>
        <v>440</v>
      </c>
      <c r="C1201" s="11"/>
      <c r="D1201" s="11"/>
      <c r="E1201" s="11"/>
      <c r="F1201" s="45" t="s">
        <v>268</v>
      </c>
      <c r="G1201" s="11">
        <v>640</v>
      </c>
      <c r="H1201" s="11" t="s">
        <v>134</v>
      </c>
      <c r="I1201" s="42">
        <v>240</v>
      </c>
      <c r="J1201" s="42">
        <v>74</v>
      </c>
      <c r="K1201" s="225">
        <f t="shared" si="162"/>
        <v>30.833333333333336</v>
      </c>
      <c r="L1201" s="114"/>
      <c r="M1201" s="42"/>
      <c r="N1201" s="42"/>
      <c r="O1201" s="225"/>
      <c r="P1201" s="114"/>
      <c r="Q1201" s="42">
        <f t="shared" si="154"/>
        <v>240</v>
      </c>
      <c r="R1201" s="42">
        <f t="shared" si="166"/>
        <v>74</v>
      </c>
      <c r="S1201" s="244">
        <f t="shared" si="161"/>
        <v>30.833333333333336</v>
      </c>
    </row>
    <row r="1202" spans="2:19" x14ac:dyDescent="0.2">
      <c r="B1202" s="67">
        <f t="shared" si="164"/>
        <v>441</v>
      </c>
      <c r="C1202" s="11"/>
      <c r="D1202" s="11"/>
      <c r="E1202" s="11"/>
      <c r="F1202" s="45" t="s">
        <v>75</v>
      </c>
      <c r="G1202" s="11">
        <v>630</v>
      </c>
      <c r="H1202" s="11" t="s">
        <v>663</v>
      </c>
      <c r="I1202" s="42">
        <v>166</v>
      </c>
      <c r="J1202" s="42">
        <v>247</v>
      </c>
      <c r="K1202" s="225">
        <f t="shared" si="162"/>
        <v>148.79518072289159</v>
      </c>
      <c r="L1202" s="114"/>
      <c r="M1202" s="42"/>
      <c r="N1202" s="42"/>
      <c r="O1202" s="225"/>
      <c r="P1202" s="114"/>
      <c r="Q1202" s="42">
        <f t="shared" si="154"/>
        <v>166</v>
      </c>
      <c r="R1202" s="42">
        <f t="shared" si="166"/>
        <v>247</v>
      </c>
      <c r="S1202" s="244">
        <f t="shared" si="161"/>
        <v>148.79518072289159</v>
      </c>
    </row>
    <row r="1203" spans="2:19" x14ac:dyDescent="0.2">
      <c r="B1203" s="67">
        <f t="shared" si="164"/>
        <v>442</v>
      </c>
      <c r="C1203" s="11"/>
      <c r="D1203" s="11"/>
      <c r="E1203" s="11"/>
      <c r="F1203" s="45"/>
      <c r="G1203" s="11"/>
      <c r="H1203" s="11"/>
      <c r="I1203" s="42"/>
      <c r="J1203" s="42"/>
      <c r="K1203" s="225"/>
      <c r="L1203" s="114"/>
      <c r="M1203" s="42"/>
      <c r="N1203" s="42"/>
      <c r="O1203" s="225"/>
      <c r="P1203" s="114"/>
      <c r="Q1203" s="42"/>
      <c r="R1203" s="42"/>
      <c r="S1203" s="244"/>
    </row>
    <row r="1204" spans="2:19" x14ac:dyDescent="0.2">
      <c r="B1204" s="67">
        <f t="shared" si="164"/>
        <v>443</v>
      </c>
      <c r="C1204" s="11"/>
      <c r="D1204" s="11"/>
      <c r="E1204" s="11"/>
      <c r="F1204" s="45"/>
      <c r="G1204" s="11">
        <v>630</v>
      </c>
      <c r="H1204" s="11" t="s">
        <v>610</v>
      </c>
      <c r="I1204" s="42">
        <v>88</v>
      </c>
      <c r="J1204" s="42">
        <v>88</v>
      </c>
      <c r="K1204" s="225">
        <f t="shared" si="162"/>
        <v>100</v>
      </c>
      <c r="L1204" s="114"/>
      <c r="M1204" s="42"/>
      <c r="N1204" s="42"/>
      <c r="O1204" s="225"/>
      <c r="P1204" s="114"/>
      <c r="Q1204" s="42">
        <f t="shared" ref="Q1204" si="167">M1204+I1204</f>
        <v>88</v>
      </c>
      <c r="R1204" s="42">
        <f t="shared" ref="R1204" si="168">N1204+J1204</f>
        <v>88</v>
      </c>
      <c r="S1204" s="244">
        <f t="shared" si="161"/>
        <v>100</v>
      </c>
    </row>
    <row r="1205" spans="2:19" x14ac:dyDescent="0.2">
      <c r="B1205" s="67">
        <f t="shared" si="164"/>
        <v>444</v>
      </c>
      <c r="C1205" s="11"/>
      <c r="D1205" s="11"/>
      <c r="E1205" s="11"/>
      <c r="F1205" s="45"/>
      <c r="G1205" s="155"/>
      <c r="H1205" s="156"/>
      <c r="I1205" s="42"/>
      <c r="J1205" s="42"/>
      <c r="K1205" s="225"/>
      <c r="L1205" s="114"/>
      <c r="M1205" s="42"/>
      <c r="N1205" s="42"/>
      <c r="O1205" s="225"/>
      <c r="P1205" s="114"/>
      <c r="Q1205" s="42"/>
      <c r="R1205" s="42"/>
      <c r="S1205" s="244"/>
    </row>
    <row r="1206" spans="2:19" x14ac:dyDescent="0.2">
      <c r="B1206" s="67"/>
      <c r="C1206" s="11"/>
      <c r="D1206" s="11"/>
      <c r="E1206" s="11"/>
      <c r="F1206" s="77" t="s">
        <v>268</v>
      </c>
      <c r="G1206" s="78">
        <v>716</v>
      </c>
      <c r="H1206" s="78" t="s">
        <v>0</v>
      </c>
      <c r="I1206" s="79"/>
      <c r="J1206" s="79"/>
      <c r="K1206" s="225"/>
      <c r="L1206" s="68"/>
      <c r="M1206" s="79">
        <f>M1207</f>
        <v>2500</v>
      </c>
      <c r="N1206" s="79">
        <f>N1207</f>
        <v>0</v>
      </c>
      <c r="O1206" s="225">
        <f t="shared" si="158"/>
        <v>0</v>
      </c>
      <c r="P1206" s="68"/>
      <c r="Q1206" s="79">
        <f t="shared" ref="Q1206:Q1207" si="169">I1206+M1206</f>
        <v>2500</v>
      </c>
      <c r="R1206" s="79">
        <f t="shared" ref="R1206:R1207" si="170">J1206+N1206</f>
        <v>0</v>
      </c>
      <c r="S1206" s="244">
        <f t="shared" si="161"/>
        <v>0</v>
      </c>
    </row>
    <row r="1207" spans="2:19" x14ac:dyDescent="0.2">
      <c r="B1207" s="67"/>
      <c r="C1207" s="11"/>
      <c r="D1207" s="11"/>
      <c r="E1207" s="11"/>
      <c r="F1207" s="46"/>
      <c r="G1207" s="2"/>
      <c r="H1207" s="116" t="s">
        <v>675</v>
      </c>
      <c r="I1207" s="115"/>
      <c r="J1207" s="115"/>
      <c r="K1207" s="225"/>
      <c r="L1207" s="68"/>
      <c r="M1207" s="115">
        <v>2500</v>
      </c>
      <c r="N1207" s="115"/>
      <c r="O1207" s="225">
        <f t="shared" si="158"/>
        <v>0</v>
      </c>
      <c r="P1207" s="68"/>
      <c r="Q1207" s="115">
        <f t="shared" si="169"/>
        <v>2500</v>
      </c>
      <c r="R1207" s="115">
        <f t="shared" si="170"/>
        <v>0</v>
      </c>
      <c r="S1207" s="244">
        <f t="shared" si="161"/>
        <v>0</v>
      </c>
    </row>
    <row r="1208" spans="2:19" x14ac:dyDescent="0.2">
      <c r="B1208" s="67">
        <f>B1205+1</f>
        <v>445</v>
      </c>
      <c r="C1208" s="11"/>
      <c r="D1208" s="11"/>
      <c r="E1208" s="11"/>
      <c r="F1208" s="77" t="s">
        <v>268</v>
      </c>
      <c r="G1208" s="78">
        <v>717</v>
      </c>
      <c r="H1208" s="78" t="s">
        <v>193</v>
      </c>
      <c r="I1208" s="79"/>
      <c r="J1208" s="79"/>
      <c r="K1208" s="225"/>
      <c r="L1208" s="68"/>
      <c r="M1208" s="79">
        <f>SUM(M1209:M1210)</f>
        <v>117500</v>
      </c>
      <c r="N1208" s="79">
        <f>SUM(N1209:N1210)</f>
        <v>0</v>
      </c>
      <c r="O1208" s="225">
        <f t="shared" si="158"/>
        <v>0</v>
      </c>
      <c r="P1208" s="68"/>
      <c r="Q1208" s="79">
        <f t="shared" ref="Q1208:Q1209" si="171">M1208+I1208</f>
        <v>117500</v>
      </c>
      <c r="R1208" s="79">
        <f t="shared" ref="R1208:R1209" si="172">N1208+J1208</f>
        <v>0</v>
      </c>
      <c r="S1208" s="244">
        <f t="shared" si="161"/>
        <v>0</v>
      </c>
    </row>
    <row r="1209" spans="2:19" x14ac:dyDescent="0.2">
      <c r="B1209" s="67">
        <f t="shared" si="164"/>
        <v>446</v>
      </c>
      <c r="C1209" s="11"/>
      <c r="D1209" s="11"/>
      <c r="E1209" s="11"/>
      <c r="F1209" s="46"/>
      <c r="G1209" s="2"/>
      <c r="H1209" s="2" t="s">
        <v>668</v>
      </c>
      <c r="I1209" s="22"/>
      <c r="J1209" s="22"/>
      <c r="K1209" s="225"/>
      <c r="L1209" s="68"/>
      <c r="M1209" s="22">
        <v>60000</v>
      </c>
      <c r="N1209" s="22"/>
      <c r="O1209" s="225">
        <f t="shared" si="158"/>
        <v>0</v>
      </c>
      <c r="P1209" s="68"/>
      <c r="Q1209" s="22">
        <f t="shared" si="171"/>
        <v>60000</v>
      </c>
      <c r="R1209" s="22">
        <f t="shared" si="172"/>
        <v>0</v>
      </c>
      <c r="S1209" s="244">
        <f t="shared" si="161"/>
        <v>0</v>
      </c>
    </row>
    <row r="1210" spans="2:19" x14ac:dyDescent="0.2">
      <c r="B1210" s="67"/>
      <c r="C1210" s="11"/>
      <c r="D1210" s="50"/>
      <c r="E1210" s="155"/>
      <c r="F1210" s="158"/>
      <c r="G1210" s="159"/>
      <c r="H1210" s="116" t="s">
        <v>676</v>
      </c>
      <c r="I1210" s="115"/>
      <c r="J1210" s="115"/>
      <c r="K1210" s="225"/>
      <c r="L1210" s="68"/>
      <c r="M1210" s="115">
        <v>57500</v>
      </c>
      <c r="N1210" s="115"/>
      <c r="O1210" s="225">
        <f t="shared" si="158"/>
        <v>0</v>
      </c>
      <c r="P1210" s="68"/>
      <c r="Q1210" s="115">
        <f t="shared" ref="Q1210" si="173">I1210+M1210</f>
        <v>57500</v>
      </c>
      <c r="R1210" s="115">
        <f t="shared" ref="R1210" si="174">J1210+N1210</f>
        <v>0</v>
      </c>
      <c r="S1210" s="244">
        <f t="shared" si="161"/>
        <v>0</v>
      </c>
    </row>
    <row r="1211" spans="2:19" ht="15" x14ac:dyDescent="0.2">
      <c r="B1211" s="67">
        <f>B1209+1</f>
        <v>447</v>
      </c>
      <c r="C1211" s="166">
        <v>3</v>
      </c>
      <c r="D1211" s="325" t="s">
        <v>164</v>
      </c>
      <c r="E1211" s="326"/>
      <c r="F1211" s="326"/>
      <c r="G1211" s="326"/>
      <c r="H1211" s="327"/>
      <c r="I1211" s="38">
        <f>I1212+I1220+I1231+I1238+I1246+I1254+I1262+I1269+I1277+I1293+I1301+I1285</f>
        <v>2000232</v>
      </c>
      <c r="J1211" s="38">
        <f>J1212+J1220+J1231+J1238+J1246+J1254+J1262+J1269+J1277+J1293+J1301+J1285</f>
        <v>936612</v>
      </c>
      <c r="K1211" s="225">
        <f t="shared" si="162"/>
        <v>46.82516828047946</v>
      </c>
      <c r="L1211" s="173"/>
      <c r="M1211" s="38">
        <f>M1212+M1220+M1231+M1238+M1246+M1254+M1262+M1269+M1277+M1293+M1301+M1285</f>
        <v>4000</v>
      </c>
      <c r="N1211" s="38">
        <f>N1212+N1220+N1231+N1238+N1246+N1254+N1262+N1269+N1277+N1293+N1301+N1285</f>
        <v>0</v>
      </c>
      <c r="O1211" s="225">
        <f t="shared" si="158"/>
        <v>0</v>
      </c>
      <c r="P1211" s="173"/>
      <c r="Q1211" s="38">
        <f t="shared" si="154"/>
        <v>2004232</v>
      </c>
      <c r="R1211" s="38">
        <f t="shared" ref="R1211:R1295" si="175">N1211+J1211</f>
        <v>936612</v>
      </c>
      <c r="S1211" s="244">
        <f t="shared" si="161"/>
        <v>46.731715689600804</v>
      </c>
    </row>
    <row r="1212" spans="2:19" x14ac:dyDescent="0.2">
      <c r="B1212" s="67">
        <f t="shared" si="164"/>
        <v>448</v>
      </c>
      <c r="C1212" s="11"/>
      <c r="D1212" s="11"/>
      <c r="E1212" s="11"/>
      <c r="F1212" s="45" t="s">
        <v>163</v>
      </c>
      <c r="G1212" s="11">
        <v>640</v>
      </c>
      <c r="H1212" s="11" t="s">
        <v>134</v>
      </c>
      <c r="I1212" s="42">
        <f>SUM(I1213:I1219)</f>
        <v>396065</v>
      </c>
      <c r="J1212" s="42">
        <f>SUM(J1213:J1219)</f>
        <v>198024</v>
      </c>
      <c r="K1212" s="225">
        <f t="shared" si="162"/>
        <v>49.997853887619456</v>
      </c>
      <c r="L1212" s="114"/>
      <c r="M1212" s="42"/>
      <c r="N1212" s="42"/>
      <c r="O1212" s="225"/>
      <c r="P1212" s="114"/>
      <c r="Q1212" s="42">
        <f t="shared" si="154"/>
        <v>396065</v>
      </c>
      <c r="R1212" s="42">
        <f t="shared" si="175"/>
        <v>198024</v>
      </c>
      <c r="S1212" s="244">
        <f t="shared" si="161"/>
        <v>49.997853887619456</v>
      </c>
    </row>
    <row r="1213" spans="2:19" x14ac:dyDescent="0.2">
      <c r="B1213" s="67">
        <f t="shared" si="164"/>
        <v>449</v>
      </c>
      <c r="C1213" s="11"/>
      <c r="D1213" s="11"/>
      <c r="E1213" s="11"/>
      <c r="F1213" s="45"/>
      <c r="G1213" s="11"/>
      <c r="H1213" s="53" t="s">
        <v>376</v>
      </c>
      <c r="I1213" s="51">
        <v>11056</v>
      </c>
      <c r="J1213" s="51">
        <v>5526</v>
      </c>
      <c r="K1213" s="225">
        <f t="shared" si="162"/>
        <v>49.981910274963823</v>
      </c>
      <c r="L1213" s="68"/>
      <c r="M1213" s="51"/>
      <c r="N1213" s="51"/>
      <c r="O1213" s="225"/>
      <c r="P1213" s="68"/>
      <c r="Q1213" s="51">
        <f t="shared" si="154"/>
        <v>11056</v>
      </c>
      <c r="R1213" s="51">
        <f t="shared" si="175"/>
        <v>5526</v>
      </c>
      <c r="S1213" s="244">
        <f t="shared" si="161"/>
        <v>49.981910274963823</v>
      </c>
    </row>
    <row r="1214" spans="2:19" x14ac:dyDescent="0.2">
      <c r="B1214" s="67">
        <f t="shared" si="164"/>
        <v>450</v>
      </c>
      <c r="C1214" s="11"/>
      <c r="D1214" s="11"/>
      <c r="E1214" s="11"/>
      <c r="F1214" s="45"/>
      <c r="G1214" s="11"/>
      <c r="H1214" s="53" t="s">
        <v>167</v>
      </c>
      <c r="I1214" s="51">
        <v>9852</v>
      </c>
      <c r="J1214" s="51">
        <v>4926</v>
      </c>
      <c r="K1214" s="225">
        <f t="shared" si="162"/>
        <v>50</v>
      </c>
      <c r="L1214" s="68"/>
      <c r="M1214" s="51"/>
      <c r="N1214" s="51"/>
      <c r="O1214" s="225"/>
      <c r="P1214" s="68"/>
      <c r="Q1214" s="51">
        <f t="shared" si="154"/>
        <v>9852</v>
      </c>
      <c r="R1214" s="51">
        <f t="shared" si="175"/>
        <v>4926</v>
      </c>
      <c r="S1214" s="244">
        <f t="shared" si="161"/>
        <v>50</v>
      </c>
    </row>
    <row r="1215" spans="2:19" x14ac:dyDescent="0.2">
      <c r="B1215" s="67">
        <f t="shared" si="164"/>
        <v>451</v>
      </c>
      <c r="C1215" s="11"/>
      <c r="D1215" s="11"/>
      <c r="E1215" s="11"/>
      <c r="F1215" s="45"/>
      <c r="G1215" s="11"/>
      <c r="H1215" s="53" t="s">
        <v>377</v>
      </c>
      <c r="I1215" s="51">
        <v>16092</v>
      </c>
      <c r="J1215" s="51">
        <v>8046</v>
      </c>
      <c r="K1215" s="225">
        <f t="shared" si="162"/>
        <v>50</v>
      </c>
      <c r="L1215" s="68"/>
      <c r="M1215" s="51"/>
      <c r="N1215" s="51"/>
      <c r="O1215" s="225"/>
      <c r="P1215" s="68"/>
      <c r="Q1215" s="51">
        <f t="shared" ref="Q1215:Q1289" si="176">M1215+I1215</f>
        <v>16092</v>
      </c>
      <c r="R1215" s="51">
        <f t="shared" si="175"/>
        <v>8046</v>
      </c>
      <c r="S1215" s="244">
        <f t="shared" si="161"/>
        <v>50</v>
      </c>
    </row>
    <row r="1216" spans="2:19" x14ac:dyDescent="0.2">
      <c r="B1216" s="67">
        <f t="shared" si="164"/>
        <v>452</v>
      </c>
      <c r="C1216" s="11"/>
      <c r="D1216" s="11"/>
      <c r="E1216" s="11"/>
      <c r="F1216" s="45"/>
      <c r="G1216" s="11"/>
      <c r="H1216" s="53" t="s">
        <v>378</v>
      </c>
      <c r="I1216" s="51">
        <v>11990</v>
      </c>
      <c r="J1216" s="51">
        <v>5994</v>
      </c>
      <c r="K1216" s="225">
        <f t="shared" ref="K1216:K1280" si="177">J1216/I1216*100</f>
        <v>49.991659716430362</v>
      </c>
      <c r="L1216" s="68"/>
      <c r="M1216" s="51"/>
      <c r="N1216" s="51"/>
      <c r="O1216" s="225"/>
      <c r="P1216" s="68"/>
      <c r="Q1216" s="51">
        <f t="shared" si="176"/>
        <v>11990</v>
      </c>
      <c r="R1216" s="51">
        <f t="shared" si="175"/>
        <v>5994</v>
      </c>
      <c r="S1216" s="244">
        <f t="shared" ref="S1216:S1280" si="178">R1216/Q1216*100</f>
        <v>49.991659716430362</v>
      </c>
    </row>
    <row r="1217" spans="2:19" x14ac:dyDescent="0.2">
      <c r="B1217" s="67">
        <f t="shared" si="164"/>
        <v>453</v>
      </c>
      <c r="C1217" s="11"/>
      <c r="D1217" s="11"/>
      <c r="E1217" s="11"/>
      <c r="F1217" s="45"/>
      <c r="G1217" s="11"/>
      <c r="H1217" s="53" t="s">
        <v>379</v>
      </c>
      <c r="I1217" s="51">
        <v>150500</v>
      </c>
      <c r="J1217" s="51">
        <v>75246</v>
      </c>
      <c r="K1217" s="225">
        <f t="shared" si="177"/>
        <v>49.997342192691029</v>
      </c>
      <c r="L1217" s="68"/>
      <c r="M1217" s="51"/>
      <c r="N1217" s="51"/>
      <c r="O1217" s="225"/>
      <c r="P1217" s="68"/>
      <c r="Q1217" s="51">
        <f t="shared" si="176"/>
        <v>150500</v>
      </c>
      <c r="R1217" s="51">
        <f t="shared" si="175"/>
        <v>75246</v>
      </c>
      <c r="S1217" s="244">
        <f t="shared" si="178"/>
        <v>49.997342192691029</v>
      </c>
    </row>
    <row r="1218" spans="2:19" x14ac:dyDescent="0.2">
      <c r="B1218" s="67">
        <f t="shared" si="164"/>
        <v>454</v>
      </c>
      <c r="C1218" s="11"/>
      <c r="D1218" s="11"/>
      <c r="E1218" s="11"/>
      <c r="F1218" s="45"/>
      <c r="G1218" s="11"/>
      <c r="H1218" s="53" t="s">
        <v>411</v>
      </c>
      <c r="I1218" s="51">
        <v>193291</v>
      </c>
      <c r="J1218" s="51">
        <v>96642</v>
      </c>
      <c r="K1218" s="225">
        <f t="shared" si="177"/>
        <v>49.998189258682508</v>
      </c>
      <c r="L1218" s="68"/>
      <c r="M1218" s="51"/>
      <c r="N1218" s="51"/>
      <c r="O1218" s="225"/>
      <c r="P1218" s="68"/>
      <c r="Q1218" s="51">
        <f t="shared" si="176"/>
        <v>193291</v>
      </c>
      <c r="R1218" s="51">
        <f t="shared" si="175"/>
        <v>96642</v>
      </c>
      <c r="S1218" s="244">
        <f t="shared" si="178"/>
        <v>49.998189258682508</v>
      </c>
    </row>
    <row r="1219" spans="2:19" x14ac:dyDescent="0.2">
      <c r="B1219" s="67">
        <f t="shared" si="164"/>
        <v>455</v>
      </c>
      <c r="C1219" s="11"/>
      <c r="D1219" s="11"/>
      <c r="E1219" s="11"/>
      <c r="F1219" s="45"/>
      <c r="G1219" s="11"/>
      <c r="H1219" s="53" t="s">
        <v>291</v>
      </c>
      <c r="I1219" s="51">
        <v>3284</v>
      </c>
      <c r="J1219" s="51">
        <v>1644</v>
      </c>
      <c r="K1219" s="225">
        <f t="shared" si="177"/>
        <v>50.060901339829478</v>
      </c>
      <c r="L1219" s="68"/>
      <c r="M1219" s="51"/>
      <c r="N1219" s="51"/>
      <c r="O1219" s="225"/>
      <c r="P1219" s="68"/>
      <c r="Q1219" s="51">
        <f t="shared" si="176"/>
        <v>3284</v>
      </c>
      <c r="R1219" s="51">
        <f t="shared" si="175"/>
        <v>1644</v>
      </c>
      <c r="S1219" s="244">
        <f t="shared" si="178"/>
        <v>50.060901339829478</v>
      </c>
    </row>
    <row r="1220" spans="2:19" ht="15" x14ac:dyDescent="0.25">
      <c r="B1220" s="67">
        <f t="shared" ref="B1220:B1284" si="179">B1219+1</f>
        <v>456</v>
      </c>
      <c r="C1220" s="14"/>
      <c r="D1220" s="14"/>
      <c r="E1220" s="14">
        <v>1</v>
      </c>
      <c r="F1220" s="43"/>
      <c r="G1220" s="14"/>
      <c r="H1220" s="14" t="s">
        <v>313</v>
      </c>
      <c r="I1220" s="40">
        <f>I1221+I1222+I1223+I1230</f>
        <v>106925</v>
      </c>
      <c r="J1220" s="40">
        <f>J1221+J1222+J1223+J1230</f>
        <v>56537</v>
      </c>
      <c r="K1220" s="225">
        <f t="shared" si="177"/>
        <v>52.875379939209722</v>
      </c>
      <c r="L1220" s="175"/>
      <c r="M1220" s="40">
        <v>0</v>
      </c>
      <c r="N1220" s="40"/>
      <c r="O1220" s="225"/>
      <c r="P1220" s="175"/>
      <c r="Q1220" s="40">
        <f t="shared" si="176"/>
        <v>106925</v>
      </c>
      <c r="R1220" s="40">
        <f t="shared" si="175"/>
        <v>56537</v>
      </c>
      <c r="S1220" s="244">
        <f t="shared" si="178"/>
        <v>52.875379939209722</v>
      </c>
    </row>
    <row r="1221" spans="2:19" x14ac:dyDescent="0.2">
      <c r="B1221" s="67">
        <f t="shared" si="179"/>
        <v>457</v>
      </c>
      <c r="C1221" s="11"/>
      <c r="D1221" s="11"/>
      <c r="E1221" s="11"/>
      <c r="F1221" s="45" t="s">
        <v>163</v>
      </c>
      <c r="G1221" s="11">
        <v>610</v>
      </c>
      <c r="H1221" s="11" t="s">
        <v>135</v>
      </c>
      <c r="I1221" s="42">
        <v>60321</v>
      </c>
      <c r="J1221" s="42">
        <v>28241</v>
      </c>
      <c r="K1221" s="225">
        <f t="shared" si="177"/>
        <v>46.817857794134717</v>
      </c>
      <c r="L1221" s="114"/>
      <c r="M1221" s="42"/>
      <c r="N1221" s="42"/>
      <c r="O1221" s="225"/>
      <c r="P1221" s="114"/>
      <c r="Q1221" s="42">
        <f t="shared" si="176"/>
        <v>60321</v>
      </c>
      <c r="R1221" s="42">
        <f t="shared" si="175"/>
        <v>28241</v>
      </c>
      <c r="S1221" s="244">
        <f t="shared" si="178"/>
        <v>46.817857794134717</v>
      </c>
    </row>
    <row r="1222" spans="2:19" x14ac:dyDescent="0.2">
      <c r="B1222" s="67">
        <f t="shared" si="179"/>
        <v>458</v>
      </c>
      <c r="C1222" s="11"/>
      <c r="D1222" s="11"/>
      <c r="E1222" s="11"/>
      <c r="F1222" s="45" t="s">
        <v>163</v>
      </c>
      <c r="G1222" s="11">
        <v>620</v>
      </c>
      <c r="H1222" s="11" t="s">
        <v>130</v>
      </c>
      <c r="I1222" s="42">
        <v>20947</v>
      </c>
      <c r="J1222" s="42">
        <v>10922</v>
      </c>
      <c r="K1222" s="225">
        <f t="shared" si="177"/>
        <v>52.141118059865377</v>
      </c>
      <c r="L1222" s="114"/>
      <c r="M1222" s="42"/>
      <c r="N1222" s="42"/>
      <c r="O1222" s="225"/>
      <c r="P1222" s="114"/>
      <c r="Q1222" s="42">
        <f t="shared" si="176"/>
        <v>20947</v>
      </c>
      <c r="R1222" s="42">
        <f t="shared" si="175"/>
        <v>10922</v>
      </c>
      <c r="S1222" s="244">
        <f t="shared" si="178"/>
        <v>52.141118059865377</v>
      </c>
    </row>
    <row r="1223" spans="2:19" x14ac:dyDescent="0.2">
      <c r="B1223" s="67">
        <f t="shared" si="179"/>
        <v>459</v>
      </c>
      <c r="C1223" s="11"/>
      <c r="D1223" s="11"/>
      <c r="E1223" s="11"/>
      <c r="F1223" s="45" t="s">
        <v>163</v>
      </c>
      <c r="G1223" s="11">
        <v>630</v>
      </c>
      <c r="H1223" s="11" t="s">
        <v>127</v>
      </c>
      <c r="I1223" s="42">
        <f>I1229+I1228+I1226+I1225+I1224+I1227</f>
        <v>25257</v>
      </c>
      <c r="J1223" s="42">
        <f>J1229+J1228+J1226+J1225+J1224+J1227</f>
        <v>17104</v>
      </c>
      <c r="K1223" s="225">
        <f t="shared" si="177"/>
        <v>67.719840044344139</v>
      </c>
      <c r="L1223" s="114"/>
      <c r="M1223" s="42">
        <f>M1229+M1228+M1226+M1225+M1224</f>
        <v>0</v>
      </c>
      <c r="N1223" s="42">
        <f>N1229+N1228+N1226+N1225+N1224</f>
        <v>0</v>
      </c>
      <c r="O1223" s="225"/>
      <c r="P1223" s="114"/>
      <c r="Q1223" s="42">
        <f t="shared" si="176"/>
        <v>25257</v>
      </c>
      <c r="R1223" s="42">
        <f t="shared" si="175"/>
        <v>17104</v>
      </c>
      <c r="S1223" s="244">
        <f t="shared" si="178"/>
        <v>67.719840044344139</v>
      </c>
    </row>
    <row r="1224" spans="2:19" x14ac:dyDescent="0.2">
      <c r="B1224" s="67">
        <f t="shared" si="179"/>
        <v>460</v>
      </c>
      <c r="C1224" s="2"/>
      <c r="D1224" s="2"/>
      <c r="E1224" s="2"/>
      <c r="F1224" s="46" t="s">
        <v>163</v>
      </c>
      <c r="G1224" s="2">
        <v>631</v>
      </c>
      <c r="H1224" s="2" t="s">
        <v>133</v>
      </c>
      <c r="I1224" s="22">
        <v>500</v>
      </c>
      <c r="J1224" s="22">
        <v>153</v>
      </c>
      <c r="K1224" s="225">
        <f t="shared" si="177"/>
        <v>30.599999999999998</v>
      </c>
      <c r="L1224" s="68"/>
      <c r="M1224" s="22"/>
      <c r="N1224" s="22"/>
      <c r="O1224" s="225"/>
      <c r="P1224" s="68"/>
      <c r="Q1224" s="22">
        <f t="shared" si="176"/>
        <v>500</v>
      </c>
      <c r="R1224" s="22">
        <f t="shared" si="175"/>
        <v>153</v>
      </c>
      <c r="S1224" s="244">
        <f t="shared" si="178"/>
        <v>30.599999999999998</v>
      </c>
    </row>
    <row r="1225" spans="2:19" x14ac:dyDescent="0.2">
      <c r="B1225" s="67">
        <f t="shared" si="179"/>
        <v>461</v>
      </c>
      <c r="C1225" s="2"/>
      <c r="D1225" s="2"/>
      <c r="E1225" s="2"/>
      <c r="F1225" s="46" t="s">
        <v>163</v>
      </c>
      <c r="G1225" s="2">
        <v>632</v>
      </c>
      <c r="H1225" s="2" t="s">
        <v>138</v>
      </c>
      <c r="I1225" s="22">
        <v>6300</v>
      </c>
      <c r="J1225" s="22">
        <v>4077</v>
      </c>
      <c r="K1225" s="225">
        <f t="shared" si="177"/>
        <v>64.714285714285708</v>
      </c>
      <c r="L1225" s="68"/>
      <c r="M1225" s="22"/>
      <c r="N1225" s="22"/>
      <c r="O1225" s="225"/>
      <c r="P1225" s="68"/>
      <c r="Q1225" s="22">
        <f t="shared" si="176"/>
        <v>6300</v>
      </c>
      <c r="R1225" s="22">
        <f t="shared" si="175"/>
        <v>4077</v>
      </c>
      <c r="S1225" s="244">
        <f t="shared" si="178"/>
        <v>64.714285714285708</v>
      </c>
    </row>
    <row r="1226" spans="2:19" x14ac:dyDescent="0.2">
      <c r="B1226" s="67">
        <f t="shared" si="179"/>
        <v>462</v>
      </c>
      <c r="C1226" s="2"/>
      <c r="D1226" s="2"/>
      <c r="E1226" s="2"/>
      <c r="F1226" s="46" t="s">
        <v>163</v>
      </c>
      <c r="G1226" s="2">
        <v>633</v>
      </c>
      <c r="H1226" s="2" t="s">
        <v>131</v>
      </c>
      <c r="I1226" s="22">
        <v>5243</v>
      </c>
      <c r="J1226" s="22">
        <v>1911</v>
      </c>
      <c r="K1226" s="225">
        <f t="shared" si="177"/>
        <v>36.44859813084112</v>
      </c>
      <c r="L1226" s="68"/>
      <c r="M1226" s="22"/>
      <c r="N1226" s="22"/>
      <c r="O1226" s="225"/>
      <c r="P1226" s="68"/>
      <c r="Q1226" s="22">
        <f t="shared" si="176"/>
        <v>5243</v>
      </c>
      <c r="R1226" s="22">
        <f t="shared" si="175"/>
        <v>1911</v>
      </c>
      <c r="S1226" s="244">
        <f t="shared" si="178"/>
        <v>36.44859813084112</v>
      </c>
    </row>
    <row r="1227" spans="2:19" x14ac:dyDescent="0.2">
      <c r="B1227" s="67">
        <f t="shared" si="179"/>
        <v>463</v>
      </c>
      <c r="C1227" s="2"/>
      <c r="D1227" s="2"/>
      <c r="E1227" s="2"/>
      <c r="F1227" s="46" t="s">
        <v>163</v>
      </c>
      <c r="G1227" s="2">
        <v>634</v>
      </c>
      <c r="H1227" s="2" t="s">
        <v>136</v>
      </c>
      <c r="I1227" s="22">
        <v>0</v>
      </c>
      <c r="J1227" s="51">
        <v>16</v>
      </c>
      <c r="K1227" s="225">
        <v>0</v>
      </c>
      <c r="L1227" s="68"/>
      <c r="M1227" s="22"/>
      <c r="N1227" s="22"/>
      <c r="O1227" s="225"/>
      <c r="P1227" s="68"/>
      <c r="Q1227" s="22">
        <f t="shared" si="176"/>
        <v>0</v>
      </c>
      <c r="R1227" s="22">
        <f t="shared" si="175"/>
        <v>16</v>
      </c>
      <c r="S1227" s="244">
        <v>0</v>
      </c>
    </row>
    <row r="1228" spans="2:19" x14ac:dyDescent="0.2">
      <c r="B1228" s="67">
        <f t="shared" si="179"/>
        <v>464</v>
      </c>
      <c r="C1228" s="2"/>
      <c r="D1228" s="2"/>
      <c r="E1228" s="2"/>
      <c r="F1228" s="46" t="s">
        <v>163</v>
      </c>
      <c r="G1228" s="2">
        <v>635</v>
      </c>
      <c r="H1228" s="2" t="s">
        <v>137</v>
      </c>
      <c r="I1228" s="22">
        <v>435</v>
      </c>
      <c r="J1228" s="22">
        <v>0</v>
      </c>
      <c r="K1228" s="225">
        <f t="shared" si="177"/>
        <v>0</v>
      </c>
      <c r="L1228" s="68"/>
      <c r="M1228" s="22"/>
      <c r="N1228" s="22"/>
      <c r="O1228" s="225"/>
      <c r="P1228" s="68"/>
      <c r="Q1228" s="22">
        <f t="shared" si="176"/>
        <v>435</v>
      </c>
      <c r="R1228" s="22">
        <f t="shared" si="175"/>
        <v>0</v>
      </c>
      <c r="S1228" s="244">
        <f t="shared" si="178"/>
        <v>0</v>
      </c>
    </row>
    <row r="1229" spans="2:19" x14ac:dyDescent="0.2">
      <c r="B1229" s="67">
        <f t="shared" si="179"/>
        <v>465</v>
      </c>
      <c r="C1229" s="2"/>
      <c r="D1229" s="2"/>
      <c r="E1229" s="2"/>
      <c r="F1229" s="46" t="s">
        <v>163</v>
      </c>
      <c r="G1229" s="2">
        <v>637</v>
      </c>
      <c r="H1229" s="2" t="s">
        <v>128</v>
      </c>
      <c r="I1229" s="22">
        <f>10279+2500</f>
        <v>12779</v>
      </c>
      <c r="J1229" s="22">
        <v>10947</v>
      </c>
      <c r="K1229" s="225">
        <f t="shared" si="177"/>
        <v>85.663979967133571</v>
      </c>
      <c r="L1229" s="68"/>
      <c r="M1229" s="22"/>
      <c r="N1229" s="22"/>
      <c r="O1229" s="225"/>
      <c r="P1229" s="68"/>
      <c r="Q1229" s="22">
        <f t="shared" si="176"/>
        <v>12779</v>
      </c>
      <c r="R1229" s="22">
        <f t="shared" si="175"/>
        <v>10947</v>
      </c>
      <c r="S1229" s="244">
        <f t="shared" si="178"/>
        <v>85.663979967133571</v>
      </c>
    </row>
    <row r="1230" spans="2:19" x14ac:dyDescent="0.2">
      <c r="B1230" s="67">
        <f t="shared" si="179"/>
        <v>466</v>
      </c>
      <c r="C1230" s="11"/>
      <c r="D1230" s="11"/>
      <c r="E1230" s="11"/>
      <c r="F1230" s="45" t="s">
        <v>163</v>
      </c>
      <c r="G1230" s="11">
        <v>640</v>
      </c>
      <c r="H1230" s="11" t="s">
        <v>134</v>
      </c>
      <c r="I1230" s="42">
        <v>400</v>
      </c>
      <c r="J1230" s="42">
        <v>270</v>
      </c>
      <c r="K1230" s="225">
        <f t="shared" si="177"/>
        <v>67.5</v>
      </c>
      <c r="L1230" s="114"/>
      <c r="M1230" s="42"/>
      <c r="N1230" s="42"/>
      <c r="O1230" s="225"/>
      <c r="P1230" s="114"/>
      <c r="Q1230" s="42">
        <f t="shared" si="176"/>
        <v>400</v>
      </c>
      <c r="R1230" s="42">
        <f t="shared" si="175"/>
        <v>270</v>
      </c>
      <c r="S1230" s="244">
        <f t="shared" si="178"/>
        <v>67.5</v>
      </c>
    </row>
    <row r="1231" spans="2:19" ht="15" x14ac:dyDescent="0.25">
      <c r="B1231" s="67">
        <f t="shared" si="179"/>
        <v>467</v>
      </c>
      <c r="C1231" s="14"/>
      <c r="D1231" s="14"/>
      <c r="E1231" s="14">
        <v>4</v>
      </c>
      <c r="F1231" s="43"/>
      <c r="G1231" s="14"/>
      <c r="H1231" s="14" t="s">
        <v>84</v>
      </c>
      <c r="I1231" s="40">
        <f>I1232+I1233+I1234</f>
        <v>12963</v>
      </c>
      <c r="J1231" s="40">
        <f>J1232+J1233+J1234</f>
        <v>4320</v>
      </c>
      <c r="K1231" s="225">
        <f t="shared" si="177"/>
        <v>33.325619069659801</v>
      </c>
      <c r="L1231" s="175"/>
      <c r="M1231" s="40">
        <f>M1232+M1233+M1234</f>
        <v>0</v>
      </c>
      <c r="N1231" s="40">
        <f>N1232+N1233+N1234</f>
        <v>0</v>
      </c>
      <c r="O1231" s="225"/>
      <c r="P1231" s="175"/>
      <c r="Q1231" s="40">
        <f t="shared" si="176"/>
        <v>12963</v>
      </c>
      <c r="R1231" s="40">
        <f t="shared" si="175"/>
        <v>4320</v>
      </c>
      <c r="S1231" s="244">
        <f t="shared" si="178"/>
        <v>33.325619069659801</v>
      </c>
    </row>
    <row r="1232" spans="2:19" x14ac:dyDescent="0.2">
      <c r="B1232" s="67">
        <f t="shared" si="179"/>
        <v>468</v>
      </c>
      <c r="C1232" s="11"/>
      <c r="D1232" s="11"/>
      <c r="E1232" s="11"/>
      <c r="F1232" s="45" t="s">
        <v>163</v>
      </c>
      <c r="G1232" s="11">
        <v>610</v>
      </c>
      <c r="H1232" s="11" t="s">
        <v>135</v>
      </c>
      <c r="I1232" s="42">
        <v>8671</v>
      </c>
      <c r="J1232" s="42">
        <v>3168</v>
      </c>
      <c r="K1232" s="225">
        <f t="shared" si="177"/>
        <v>36.53557836466382</v>
      </c>
      <c r="L1232" s="114"/>
      <c r="M1232" s="42"/>
      <c r="N1232" s="42"/>
      <c r="O1232" s="225"/>
      <c r="P1232" s="114"/>
      <c r="Q1232" s="42">
        <f t="shared" si="176"/>
        <v>8671</v>
      </c>
      <c r="R1232" s="42">
        <f t="shared" si="175"/>
        <v>3168</v>
      </c>
      <c r="S1232" s="244">
        <f t="shared" si="178"/>
        <v>36.53557836466382</v>
      </c>
    </row>
    <row r="1233" spans="2:19" x14ac:dyDescent="0.2">
      <c r="B1233" s="67">
        <f t="shared" si="179"/>
        <v>469</v>
      </c>
      <c r="C1233" s="11"/>
      <c r="D1233" s="11"/>
      <c r="E1233" s="11"/>
      <c r="F1233" s="45" t="s">
        <v>163</v>
      </c>
      <c r="G1233" s="11">
        <v>620</v>
      </c>
      <c r="H1233" s="11" t="s">
        <v>130</v>
      </c>
      <c r="I1233" s="42">
        <v>3222</v>
      </c>
      <c r="J1233" s="42">
        <v>1107</v>
      </c>
      <c r="K1233" s="225">
        <f t="shared" si="177"/>
        <v>34.357541899441344</v>
      </c>
      <c r="L1233" s="114"/>
      <c r="M1233" s="42"/>
      <c r="N1233" s="42"/>
      <c r="O1233" s="225"/>
      <c r="P1233" s="114"/>
      <c r="Q1233" s="42">
        <f t="shared" si="176"/>
        <v>3222</v>
      </c>
      <c r="R1233" s="42">
        <f t="shared" si="175"/>
        <v>1107</v>
      </c>
      <c r="S1233" s="244">
        <f t="shared" si="178"/>
        <v>34.357541899441344</v>
      </c>
    </row>
    <row r="1234" spans="2:19" x14ac:dyDescent="0.2">
      <c r="B1234" s="67">
        <f t="shared" si="179"/>
        <v>470</v>
      </c>
      <c r="C1234" s="11"/>
      <c r="D1234" s="11"/>
      <c r="E1234" s="11"/>
      <c r="F1234" s="45" t="s">
        <v>163</v>
      </c>
      <c r="G1234" s="11">
        <v>630</v>
      </c>
      <c r="H1234" s="11" t="s">
        <v>127</v>
      </c>
      <c r="I1234" s="42">
        <f>I1237+I1236+I1235</f>
        <v>1070</v>
      </c>
      <c r="J1234" s="42">
        <f>J1237+J1236+J1235</f>
        <v>45</v>
      </c>
      <c r="K1234" s="225">
        <f t="shared" si="177"/>
        <v>4.2056074766355138</v>
      </c>
      <c r="L1234" s="114"/>
      <c r="M1234" s="42">
        <f>M1237+M1236+M1235</f>
        <v>0</v>
      </c>
      <c r="N1234" s="42">
        <f>N1237+N1236+N1235</f>
        <v>0</v>
      </c>
      <c r="O1234" s="225"/>
      <c r="P1234" s="114"/>
      <c r="Q1234" s="42">
        <f t="shared" si="176"/>
        <v>1070</v>
      </c>
      <c r="R1234" s="42">
        <f t="shared" si="175"/>
        <v>45</v>
      </c>
      <c r="S1234" s="244">
        <f t="shared" si="178"/>
        <v>4.2056074766355138</v>
      </c>
    </row>
    <row r="1235" spans="2:19" x14ac:dyDescent="0.2">
      <c r="B1235" s="67">
        <f t="shared" si="179"/>
        <v>471</v>
      </c>
      <c r="C1235" s="2"/>
      <c r="D1235" s="2"/>
      <c r="E1235" s="2"/>
      <c r="F1235" s="46" t="s">
        <v>163</v>
      </c>
      <c r="G1235" s="2">
        <v>632</v>
      </c>
      <c r="H1235" s="2" t="s">
        <v>138</v>
      </c>
      <c r="I1235" s="22">
        <v>550</v>
      </c>
      <c r="J1235" s="22">
        <v>0</v>
      </c>
      <c r="K1235" s="225">
        <f t="shared" si="177"/>
        <v>0</v>
      </c>
      <c r="L1235" s="68"/>
      <c r="M1235" s="22"/>
      <c r="N1235" s="22"/>
      <c r="O1235" s="225"/>
      <c r="P1235" s="68"/>
      <c r="Q1235" s="22">
        <f t="shared" si="176"/>
        <v>550</v>
      </c>
      <c r="R1235" s="22">
        <f t="shared" si="175"/>
        <v>0</v>
      </c>
      <c r="S1235" s="244">
        <f t="shared" si="178"/>
        <v>0</v>
      </c>
    </row>
    <row r="1236" spans="2:19" x14ac:dyDescent="0.2">
      <c r="B1236" s="67">
        <f t="shared" si="179"/>
        <v>472</v>
      </c>
      <c r="C1236" s="2"/>
      <c r="D1236" s="2"/>
      <c r="E1236" s="2"/>
      <c r="F1236" s="46" t="s">
        <v>163</v>
      </c>
      <c r="G1236" s="2">
        <v>633</v>
      </c>
      <c r="H1236" s="2" t="s">
        <v>131</v>
      </c>
      <c r="I1236" s="22">
        <v>400</v>
      </c>
      <c r="J1236" s="22">
        <v>0</v>
      </c>
      <c r="K1236" s="225">
        <f t="shared" si="177"/>
        <v>0</v>
      </c>
      <c r="L1236" s="68"/>
      <c r="M1236" s="22"/>
      <c r="N1236" s="22"/>
      <c r="O1236" s="225"/>
      <c r="P1236" s="68"/>
      <c r="Q1236" s="22">
        <f t="shared" si="176"/>
        <v>400</v>
      </c>
      <c r="R1236" s="22">
        <f t="shared" si="175"/>
        <v>0</v>
      </c>
      <c r="S1236" s="244">
        <f t="shared" si="178"/>
        <v>0</v>
      </c>
    </row>
    <row r="1237" spans="2:19" x14ac:dyDescent="0.2">
      <c r="B1237" s="67">
        <f t="shared" si="179"/>
        <v>473</v>
      </c>
      <c r="C1237" s="2"/>
      <c r="D1237" s="2"/>
      <c r="E1237" s="2"/>
      <c r="F1237" s="46" t="s">
        <v>163</v>
      </c>
      <c r="G1237" s="2">
        <v>637</v>
      </c>
      <c r="H1237" s="2" t="s">
        <v>128</v>
      </c>
      <c r="I1237" s="22">
        <v>120</v>
      </c>
      <c r="J1237" s="22">
        <v>45</v>
      </c>
      <c r="K1237" s="225">
        <f t="shared" si="177"/>
        <v>37.5</v>
      </c>
      <c r="L1237" s="68"/>
      <c r="M1237" s="22"/>
      <c r="N1237" s="22"/>
      <c r="O1237" s="225"/>
      <c r="P1237" s="68"/>
      <c r="Q1237" s="22">
        <f t="shared" si="176"/>
        <v>120</v>
      </c>
      <c r="R1237" s="22">
        <f t="shared" si="175"/>
        <v>45</v>
      </c>
      <c r="S1237" s="244">
        <f t="shared" si="178"/>
        <v>37.5</v>
      </c>
    </row>
    <row r="1238" spans="2:19" ht="15" x14ac:dyDescent="0.25">
      <c r="B1238" s="67">
        <f t="shared" si="179"/>
        <v>474</v>
      </c>
      <c r="C1238" s="14"/>
      <c r="D1238" s="14"/>
      <c r="E1238" s="14">
        <v>6</v>
      </c>
      <c r="F1238" s="43"/>
      <c r="G1238" s="14"/>
      <c r="H1238" s="14" t="s">
        <v>81</v>
      </c>
      <c r="I1238" s="40">
        <f>I1239+I1240+I1241+I1245</f>
        <v>79322</v>
      </c>
      <c r="J1238" s="40">
        <f>J1239+J1240+J1241+J1245</f>
        <v>31652</v>
      </c>
      <c r="K1238" s="225">
        <f t="shared" si="177"/>
        <v>39.903179445803183</v>
      </c>
      <c r="L1238" s="175"/>
      <c r="M1238" s="40">
        <f>M1239+M1240+M1241+M1245</f>
        <v>0</v>
      </c>
      <c r="N1238" s="40">
        <f>N1239+N1240+N1241+N1245</f>
        <v>0</v>
      </c>
      <c r="O1238" s="225"/>
      <c r="P1238" s="175"/>
      <c r="Q1238" s="40">
        <f t="shared" si="176"/>
        <v>79322</v>
      </c>
      <c r="R1238" s="40">
        <f t="shared" si="175"/>
        <v>31652</v>
      </c>
      <c r="S1238" s="244">
        <f t="shared" si="178"/>
        <v>39.903179445803183</v>
      </c>
    </row>
    <row r="1239" spans="2:19" x14ac:dyDescent="0.2">
      <c r="B1239" s="67">
        <f t="shared" si="179"/>
        <v>475</v>
      </c>
      <c r="C1239" s="11"/>
      <c r="D1239" s="11"/>
      <c r="E1239" s="11"/>
      <c r="F1239" s="45" t="s">
        <v>163</v>
      </c>
      <c r="G1239" s="11">
        <v>610</v>
      </c>
      <c r="H1239" s="11" t="s">
        <v>135</v>
      </c>
      <c r="I1239" s="42">
        <v>51446</v>
      </c>
      <c r="J1239" s="42">
        <v>22830</v>
      </c>
      <c r="K1239" s="225">
        <f t="shared" si="177"/>
        <v>44.376627920538041</v>
      </c>
      <c r="L1239" s="114"/>
      <c r="M1239" s="42"/>
      <c r="N1239" s="42"/>
      <c r="O1239" s="225"/>
      <c r="P1239" s="114"/>
      <c r="Q1239" s="42">
        <f t="shared" si="176"/>
        <v>51446</v>
      </c>
      <c r="R1239" s="42">
        <f t="shared" si="175"/>
        <v>22830</v>
      </c>
      <c r="S1239" s="244">
        <f t="shared" si="178"/>
        <v>44.376627920538041</v>
      </c>
    </row>
    <row r="1240" spans="2:19" x14ac:dyDescent="0.2">
      <c r="B1240" s="67">
        <f t="shared" si="179"/>
        <v>476</v>
      </c>
      <c r="C1240" s="11"/>
      <c r="D1240" s="11"/>
      <c r="E1240" s="11"/>
      <c r="F1240" s="45" t="s">
        <v>163</v>
      </c>
      <c r="G1240" s="11">
        <v>620</v>
      </c>
      <c r="H1240" s="11" t="s">
        <v>130</v>
      </c>
      <c r="I1240" s="42">
        <v>19089</v>
      </c>
      <c r="J1240" s="42">
        <v>7935</v>
      </c>
      <c r="K1240" s="225">
        <f t="shared" si="177"/>
        <v>41.56844255854157</v>
      </c>
      <c r="L1240" s="114"/>
      <c r="M1240" s="42"/>
      <c r="N1240" s="42"/>
      <c r="O1240" s="225"/>
      <c r="P1240" s="114"/>
      <c r="Q1240" s="42">
        <f t="shared" si="176"/>
        <v>19089</v>
      </c>
      <c r="R1240" s="42">
        <f t="shared" si="175"/>
        <v>7935</v>
      </c>
      <c r="S1240" s="244">
        <f t="shared" si="178"/>
        <v>41.56844255854157</v>
      </c>
    </row>
    <row r="1241" spans="2:19" x14ac:dyDescent="0.2">
      <c r="B1241" s="67">
        <f t="shared" si="179"/>
        <v>477</v>
      </c>
      <c r="C1241" s="11"/>
      <c r="D1241" s="11"/>
      <c r="E1241" s="11"/>
      <c r="F1241" s="45" t="s">
        <v>163</v>
      </c>
      <c r="G1241" s="11">
        <v>630</v>
      </c>
      <c r="H1241" s="11" t="s">
        <v>127</v>
      </c>
      <c r="I1241" s="42">
        <f>I1244+I1243+I1242</f>
        <v>8466</v>
      </c>
      <c r="J1241" s="42">
        <f>J1244+J1243+J1242</f>
        <v>855</v>
      </c>
      <c r="K1241" s="225">
        <f t="shared" si="177"/>
        <v>10.099220411055988</v>
      </c>
      <c r="L1241" s="114"/>
      <c r="M1241" s="42">
        <f>M1244+M1243+M1242</f>
        <v>0</v>
      </c>
      <c r="N1241" s="42">
        <f>N1244+N1243+N1242</f>
        <v>0</v>
      </c>
      <c r="O1241" s="225"/>
      <c r="P1241" s="114"/>
      <c r="Q1241" s="42">
        <f t="shared" si="176"/>
        <v>8466</v>
      </c>
      <c r="R1241" s="42">
        <f t="shared" si="175"/>
        <v>855</v>
      </c>
      <c r="S1241" s="244">
        <f t="shared" si="178"/>
        <v>10.099220411055988</v>
      </c>
    </row>
    <row r="1242" spans="2:19" x14ac:dyDescent="0.2">
      <c r="B1242" s="67">
        <f t="shared" si="179"/>
        <v>478</v>
      </c>
      <c r="C1242" s="2"/>
      <c r="D1242" s="2"/>
      <c r="E1242" s="2"/>
      <c r="F1242" s="46" t="s">
        <v>163</v>
      </c>
      <c r="G1242" s="2">
        <v>632</v>
      </c>
      <c r="H1242" s="2" t="s">
        <v>138</v>
      </c>
      <c r="I1242" s="22">
        <v>6324</v>
      </c>
      <c r="J1242" s="22">
        <v>124</v>
      </c>
      <c r="K1242" s="225">
        <f t="shared" si="177"/>
        <v>1.9607843137254901</v>
      </c>
      <c r="L1242" s="68"/>
      <c r="M1242" s="22"/>
      <c r="N1242" s="22"/>
      <c r="O1242" s="225"/>
      <c r="P1242" s="68"/>
      <c r="Q1242" s="22">
        <f t="shared" si="176"/>
        <v>6324</v>
      </c>
      <c r="R1242" s="22">
        <f t="shared" si="175"/>
        <v>124</v>
      </c>
      <c r="S1242" s="244">
        <f t="shared" si="178"/>
        <v>1.9607843137254901</v>
      </c>
    </row>
    <row r="1243" spans="2:19" x14ac:dyDescent="0.2">
      <c r="B1243" s="67">
        <f t="shared" si="179"/>
        <v>479</v>
      </c>
      <c r="C1243" s="2"/>
      <c r="D1243" s="2"/>
      <c r="E1243" s="2"/>
      <c r="F1243" s="46" t="s">
        <v>163</v>
      </c>
      <c r="G1243" s="2">
        <v>633</v>
      </c>
      <c r="H1243" s="2" t="s">
        <v>131</v>
      </c>
      <c r="I1243" s="22">
        <v>969</v>
      </c>
      <c r="J1243" s="22">
        <v>11</v>
      </c>
      <c r="K1243" s="225">
        <f t="shared" si="177"/>
        <v>1.1351909184726523</v>
      </c>
      <c r="L1243" s="68"/>
      <c r="M1243" s="22"/>
      <c r="N1243" s="22"/>
      <c r="O1243" s="225"/>
      <c r="P1243" s="68"/>
      <c r="Q1243" s="22">
        <f t="shared" si="176"/>
        <v>969</v>
      </c>
      <c r="R1243" s="22">
        <f t="shared" si="175"/>
        <v>11</v>
      </c>
      <c r="S1243" s="244">
        <f t="shared" si="178"/>
        <v>1.1351909184726523</v>
      </c>
    </row>
    <row r="1244" spans="2:19" x14ac:dyDescent="0.2">
      <c r="B1244" s="67">
        <f t="shared" si="179"/>
        <v>480</v>
      </c>
      <c r="C1244" s="2"/>
      <c r="D1244" s="2"/>
      <c r="E1244" s="2"/>
      <c r="F1244" s="46" t="s">
        <v>163</v>
      </c>
      <c r="G1244" s="2">
        <v>637</v>
      </c>
      <c r="H1244" s="2" t="s">
        <v>128</v>
      </c>
      <c r="I1244" s="22">
        <v>1173</v>
      </c>
      <c r="J1244" s="22">
        <v>720</v>
      </c>
      <c r="K1244" s="225">
        <f t="shared" si="177"/>
        <v>61.381074168797959</v>
      </c>
      <c r="L1244" s="68"/>
      <c r="M1244" s="22"/>
      <c r="N1244" s="22"/>
      <c r="O1244" s="225"/>
      <c r="P1244" s="68"/>
      <c r="Q1244" s="22">
        <f t="shared" si="176"/>
        <v>1173</v>
      </c>
      <c r="R1244" s="22">
        <f t="shared" si="175"/>
        <v>720</v>
      </c>
      <c r="S1244" s="244">
        <f t="shared" si="178"/>
        <v>61.381074168797959</v>
      </c>
    </row>
    <row r="1245" spans="2:19" x14ac:dyDescent="0.2">
      <c r="B1245" s="67">
        <f t="shared" si="179"/>
        <v>481</v>
      </c>
      <c r="C1245" s="11"/>
      <c r="D1245" s="11"/>
      <c r="E1245" s="11"/>
      <c r="F1245" s="45" t="s">
        <v>163</v>
      </c>
      <c r="G1245" s="11">
        <v>640</v>
      </c>
      <c r="H1245" s="11" t="s">
        <v>134</v>
      </c>
      <c r="I1245" s="42">
        <v>321</v>
      </c>
      <c r="J1245" s="42">
        <v>32</v>
      </c>
      <c r="K1245" s="225">
        <f t="shared" si="177"/>
        <v>9.9688473520249214</v>
      </c>
      <c r="L1245" s="114"/>
      <c r="M1245" s="42"/>
      <c r="N1245" s="42"/>
      <c r="O1245" s="225"/>
      <c r="P1245" s="114"/>
      <c r="Q1245" s="42">
        <f t="shared" si="176"/>
        <v>321</v>
      </c>
      <c r="R1245" s="42">
        <f t="shared" si="175"/>
        <v>32</v>
      </c>
      <c r="S1245" s="244">
        <f t="shared" si="178"/>
        <v>9.9688473520249214</v>
      </c>
    </row>
    <row r="1246" spans="2:19" ht="15" x14ac:dyDescent="0.25">
      <c r="B1246" s="67">
        <f t="shared" si="179"/>
        <v>482</v>
      </c>
      <c r="C1246" s="14"/>
      <c r="D1246" s="14"/>
      <c r="E1246" s="14">
        <v>7</v>
      </c>
      <c r="F1246" s="43"/>
      <c r="G1246" s="14"/>
      <c r="H1246" s="14" t="s">
        <v>316</v>
      </c>
      <c r="I1246" s="40">
        <f>I1247+I1248+I1249+I1253</f>
        <v>100965</v>
      </c>
      <c r="J1246" s="40">
        <f>J1247+J1248+J1249+J1253</f>
        <v>43267</v>
      </c>
      <c r="K1246" s="225">
        <f t="shared" si="177"/>
        <v>42.853464071708018</v>
      </c>
      <c r="L1246" s="175"/>
      <c r="M1246" s="40">
        <f>M1247+M1248+M1249+M1253</f>
        <v>0</v>
      </c>
      <c r="N1246" s="40">
        <f>N1247+N1248+N1249+N1253</f>
        <v>0</v>
      </c>
      <c r="O1246" s="225"/>
      <c r="P1246" s="175"/>
      <c r="Q1246" s="40">
        <f t="shared" si="176"/>
        <v>100965</v>
      </c>
      <c r="R1246" s="40">
        <f t="shared" si="175"/>
        <v>43267</v>
      </c>
      <c r="S1246" s="244">
        <f t="shared" si="178"/>
        <v>42.853464071708018</v>
      </c>
    </row>
    <row r="1247" spans="2:19" x14ac:dyDescent="0.2">
      <c r="B1247" s="67">
        <f t="shared" si="179"/>
        <v>483</v>
      </c>
      <c r="C1247" s="11"/>
      <c r="D1247" s="11"/>
      <c r="E1247" s="11"/>
      <c r="F1247" s="45" t="s">
        <v>163</v>
      </c>
      <c r="G1247" s="11">
        <v>610</v>
      </c>
      <c r="H1247" s="11" t="s">
        <v>135</v>
      </c>
      <c r="I1247" s="42">
        <v>68905</v>
      </c>
      <c r="J1247" s="42">
        <v>30490</v>
      </c>
      <c r="K1247" s="225">
        <f t="shared" si="177"/>
        <v>44.24932878600972</v>
      </c>
      <c r="L1247" s="114"/>
      <c r="M1247" s="42"/>
      <c r="N1247" s="42"/>
      <c r="O1247" s="225"/>
      <c r="P1247" s="114"/>
      <c r="Q1247" s="42">
        <f t="shared" si="176"/>
        <v>68905</v>
      </c>
      <c r="R1247" s="42">
        <f t="shared" si="175"/>
        <v>30490</v>
      </c>
      <c r="S1247" s="244">
        <f t="shared" si="178"/>
        <v>44.24932878600972</v>
      </c>
    </row>
    <row r="1248" spans="2:19" x14ac:dyDescent="0.2">
      <c r="B1248" s="67">
        <f t="shared" si="179"/>
        <v>484</v>
      </c>
      <c r="C1248" s="11"/>
      <c r="D1248" s="11"/>
      <c r="E1248" s="11"/>
      <c r="F1248" s="45" t="s">
        <v>163</v>
      </c>
      <c r="G1248" s="11">
        <v>620</v>
      </c>
      <c r="H1248" s="11" t="s">
        <v>130</v>
      </c>
      <c r="I1248" s="42">
        <v>24250</v>
      </c>
      <c r="J1248" s="42">
        <v>11437</v>
      </c>
      <c r="K1248" s="225">
        <f t="shared" si="177"/>
        <v>47.16288659793814</v>
      </c>
      <c r="L1248" s="114"/>
      <c r="M1248" s="42"/>
      <c r="N1248" s="42"/>
      <c r="O1248" s="225"/>
      <c r="P1248" s="114"/>
      <c r="Q1248" s="42">
        <f t="shared" si="176"/>
        <v>24250</v>
      </c>
      <c r="R1248" s="42">
        <f t="shared" si="175"/>
        <v>11437</v>
      </c>
      <c r="S1248" s="244">
        <f t="shared" si="178"/>
        <v>47.16288659793814</v>
      </c>
    </row>
    <row r="1249" spans="2:19" x14ac:dyDescent="0.2">
      <c r="B1249" s="67">
        <f t="shared" si="179"/>
        <v>485</v>
      </c>
      <c r="C1249" s="11"/>
      <c r="D1249" s="11"/>
      <c r="E1249" s="11"/>
      <c r="F1249" s="45" t="s">
        <v>163</v>
      </c>
      <c r="G1249" s="11">
        <v>630</v>
      </c>
      <c r="H1249" s="11" t="s">
        <v>127</v>
      </c>
      <c r="I1249" s="42">
        <f>I1252+I1251+I1250</f>
        <v>5540</v>
      </c>
      <c r="J1249" s="42">
        <f>J1252+J1251+J1250</f>
        <v>634</v>
      </c>
      <c r="K1249" s="225">
        <f t="shared" si="177"/>
        <v>11.44404332129964</v>
      </c>
      <c r="L1249" s="114"/>
      <c r="M1249" s="42">
        <f>M1252+M1251+M1250</f>
        <v>0</v>
      </c>
      <c r="N1249" s="42">
        <f>N1252+N1251+N1250</f>
        <v>0</v>
      </c>
      <c r="O1249" s="225"/>
      <c r="P1249" s="114"/>
      <c r="Q1249" s="42">
        <f t="shared" si="176"/>
        <v>5540</v>
      </c>
      <c r="R1249" s="42">
        <f t="shared" si="175"/>
        <v>634</v>
      </c>
      <c r="S1249" s="244">
        <f t="shared" si="178"/>
        <v>11.44404332129964</v>
      </c>
    </row>
    <row r="1250" spans="2:19" x14ac:dyDescent="0.2">
      <c r="B1250" s="67">
        <f t="shared" si="179"/>
        <v>486</v>
      </c>
      <c r="C1250" s="2"/>
      <c r="D1250" s="2"/>
      <c r="E1250" s="2"/>
      <c r="F1250" s="46" t="s">
        <v>163</v>
      </c>
      <c r="G1250" s="2">
        <v>632</v>
      </c>
      <c r="H1250" s="2" t="s">
        <v>138</v>
      </c>
      <c r="I1250" s="22">
        <v>1000</v>
      </c>
      <c r="J1250" s="22">
        <v>0</v>
      </c>
      <c r="K1250" s="225">
        <f t="shared" si="177"/>
        <v>0</v>
      </c>
      <c r="L1250" s="68"/>
      <c r="M1250" s="22"/>
      <c r="N1250" s="22"/>
      <c r="O1250" s="225"/>
      <c r="P1250" s="68"/>
      <c r="Q1250" s="22">
        <f t="shared" si="176"/>
        <v>1000</v>
      </c>
      <c r="R1250" s="22">
        <f t="shared" si="175"/>
        <v>0</v>
      </c>
      <c r="S1250" s="244">
        <f t="shared" si="178"/>
        <v>0</v>
      </c>
    </row>
    <row r="1251" spans="2:19" x14ac:dyDescent="0.2">
      <c r="B1251" s="67">
        <f t="shared" si="179"/>
        <v>487</v>
      </c>
      <c r="C1251" s="2"/>
      <c r="D1251" s="2"/>
      <c r="E1251" s="2"/>
      <c r="F1251" s="46" t="s">
        <v>163</v>
      </c>
      <c r="G1251" s="2">
        <v>633</v>
      </c>
      <c r="H1251" s="2" t="s">
        <v>131</v>
      </c>
      <c r="I1251" s="22">
        <v>2040</v>
      </c>
      <c r="J1251" s="22">
        <v>0</v>
      </c>
      <c r="K1251" s="225">
        <f t="shared" si="177"/>
        <v>0</v>
      </c>
      <c r="L1251" s="68"/>
      <c r="M1251" s="22"/>
      <c r="N1251" s="22"/>
      <c r="O1251" s="225"/>
      <c r="P1251" s="68"/>
      <c r="Q1251" s="22">
        <f t="shared" si="176"/>
        <v>2040</v>
      </c>
      <c r="R1251" s="22">
        <f t="shared" si="175"/>
        <v>0</v>
      </c>
      <c r="S1251" s="244">
        <f t="shared" si="178"/>
        <v>0</v>
      </c>
    </row>
    <row r="1252" spans="2:19" x14ac:dyDescent="0.2">
      <c r="B1252" s="67">
        <f t="shared" si="179"/>
        <v>488</v>
      </c>
      <c r="C1252" s="2"/>
      <c r="D1252" s="2"/>
      <c r="E1252" s="2"/>
      <c r="F1252" s="46" t="s">
        <v>163</v>
      </c>
      <c r="G1252" s="2">
        <v>637</v>
      </c>
      <c r="H1252" s="2" t="s">
        <v>128</v>
      </c>
      <c r="I1252" s="22">
        <v>2500</v>
      </c>
      <c r="J1252" s="22">
        <v>634</v>
      </c>
      <c r="K1252" s="225">
        <f t="shared" si="177"/>
        <v>25.36</v>
      </c>
      <c r="L1252" s="68"/>
      <c r="M1252" s="22"/>
      <c r="N1252" s="22"/>
      <c r="O1252" s="225"/>
      <c r="P1252" s="68"/>
      <c r="Q1252" s="22">
        <f t="shared" si="176"/>
        <v>2500</v>
      </c>
      <c r="R1252" s="22">
        <f t="shared" si="175"/>
        <v>634</v>
      </c>
      <c r="S1252" s="244">
        <f t="shared" si="178"/>
        <v>25.36</v>
      </c>
    </row>
    <row r="1253" spans="2:19" x14ac:dyDescent="0.2">
      <c r="B1253" s="67">
        <f t="shared" si="179"/>
        <v>489</v>
      </c>
      <c r="C1253" s="11"/>
      <c r="D1253" s="11"/>
      <c r="E1253" s="11"/>
      <c r="F1253" s="45" t="s">
        <v>163</v>
      </c>
      <c r="G1253" s="11">
        <v>640</v>
      </c>
      <c r="H1253" s="11" t="s">
        <v>134</v>
      </c>
      <c r="I1253" s="42">
        <v>2270</v>
      </c>
      <c r="J1253" s="42">
        <v>706</v>
      </c>
      <c r="K1253" s="225">
        <f t="shared" si="177"/>
        <v>31.101321585903086</v>
      </c>
      <c r="L1253" s="114"/>
      <c r="M1253" s="42"/>
      <c r="N1253" s="42"/>
      <c r="O1253" s="225"/>
      <c r="P1253" s="114"/>
      <c r="Q1253" s="42">
        <f t="shared" si="176"/>
        <v>2270</v>
      </c>
      <c r="R1253" s="42">
        <f t="shared" si="175"/>
        <v>706</v>
      </c>
      <c r="S1253" s="244">
        <f t="shared" si="178"/>
        <v>31.101321585903086</v>
      </c>
    </row>
    <row r="1254" spans="2:19" ht="15" x14ac:dyDescent="0.25">
      <c r="B1254" s="67">
        <f t="shared" si="179"/>
        <v>490</v>
      </c>
      <c r="C1254" s="14"/>
      <c r="D1254" s="14"/>
      <c r="E1254" s="14">
        <v>8</v>
      </c>
      <c r="F1254" s="43"/>
      <c r="G1254" s="14"/>
      <c r="H1254" s="14" t="s">
        <v>314</v>
      </c>
      <c r="I1254" s="40">
        <f>I1255+I1256+I1257+I1261</f>
        <v>155095</v>
      </c>
      <c r="J1254" s="40">
        <f>J1255+J1256+J1257+J1261</f>
        <v>73032</v>
      </c>
      <c r="K1254" s="225">
        <f t="shared" si="177"/>
        <v>47.088558625358651</v>
      </c>
      <c r="L1254" s="175"/>
      <c r="M1254" s="40">
        <f>M1255+M1256+M1257+M1261</f>
        <v>0</v>
      </c>
      <c r="N1254" s="40">
        <f>N1255+N1256+N1257+N1261</f>
        <v>0</v>
      </c>
      <c r="O1254" s="225"/>
      <c r="P1254" s="175"/>
      <c r="Q1254" s="40">
        <f t="shared" si="176"/>
        <v>155095</v>
      </c>
      <c r="R1254" s="40">
        <f t="shared" si="175"/>
        <v>73032</v>
      </c>
      <c r="S1254" s="244">
        <f t="shared" si="178"/>
        <v>47.088558625358651</v>
      </c>
    </row>
    <row r="1255" spans="2:19" x14ac:dyDescent="0.2">
      <c r="B1255" s="67">
        <f t="shared" si="179"/>
        <v>491</v>
      </c>
      <c r="C1255" s="11"/>
      <c r="D1255" s="11"/>
      <c r="E1255" s="11"/>
      <c r="F1255" s="45" t="s">
        <v>163</v>
      </c>
      <c r="G1255" s="11">
        <v>610</v>
      </c>
      <c r="H1255" s="11" t="s">
        <v>135</v>
      </c>
      <c r="I1255" s="42">
        <v>106283</v>
      </c>
      <c r="J1255" s="42">
        <v>50053</v>
      </c>
      <c r="K1255" s="225">
        <f t="shared" si="177"/>
        <v>47.094079015458732</v>
      </c>
      <c r="L1255" s="114"/>
      <c r="M1255" s="42"/>
      <c r="N1255" s="42"/>
      <c r="O1255" s="225"/>
      <c r="P1255" s="114"/>
      <c r="Q1255" s="42">
        <f t="shared" si="176"/>
        <v>106283</v>
      </c>
      <c r="R1255" s="42">
        <f t="shared" si="175"/>
        <v>50053</v>
      </c>
      <c r="S1255" s="244">
        <f t="shared" si="178"/>
        <v>47.094079015458732</v>
      </c>
    </row>
    <row r="1256" spans="2:19" x14ac:dyDescent="0.2">
      <c r="B1256" s="67">
        <f t="shared" si="179"/>
        <v>492</v>
      </c>
      <c r="C1256" s="11"/>
      <c r="D1256" s="11"/>
      <c r="E1256" s="11"/>
      <c r="F1256" s="45" t="s">
        <v>163</v>
      </c>
      <c r="G1256" s="11">
        <v>620</v>
      </c>
      <c r="H1256" s="11" t="s">
        <v>130</v>
      </c>
      <c r="I1256" s="42">
        <v>37424</v>
      </c>
      <c r="J1256" s="42">
        <v>17751</v>
      </c>
      <c r="K1256" s="225">
        <f t="shared" si="177"/>
        <v>47.432129115006411</v>
      </c>
      <c r="L1256" s="114"/>
      <c r="M1256" s="42"/>
      <c r="N1256" s="42"/>
      <c r="O1256" s="225"/>
      <c r="P1256" s="114"/>
      <c r="Q1256" s="42">
        <f t="shared" si="176"/>
        <v>37424</v>
      </c>
      <c r="R1256" s="42">
        <f t="shared" si="175"/>
        <v>17751</v>
      </c>
      <c r="S1256" s="244">
        <f t="shared" si="178"/>
        <v>47.432129115006411</v>
      </c>
    </row>
    <row r="1257" spans="2:19" x14ac:dyDescent="0.2">
      <c r="B1257" s="67">
        <f t="shared" si="179"/>
        <v>493</v>
      </c>
      <c r="C1257" s="11"/>
      <c r="D1257" s="11"/>
      <c r="E1257" s="11"/>
      <c r="F1257" s="45" t="s">
        <v>163</v>
      </c>
      <c r="G1257" s="11">
        <v>630</v>
      </c>
      <c r="H1257" s="11" t="s">
        <v>127</v>
      </c>
      <c r="I1257" s="42">
        <f>I1260+I1259+I1258</f>
        <v>10532</v>
      </c>
      <c r="J1257" s="42">
        <f>J1260+J1259+J1258</f>
        <v>5062</v>
      </c>
      <c r="K1257" s="225">
        <f t="shared" si="177"/>
        <v>48.063045955184201</v>
      </c>
      <c r="L1257" s="114"/>
      <c r="M1257" s="42">
        <f>M1260+M1259+M1258</f>
        <v>0</v>
      </c>
      <c r="N1257" s="42">
        <f>N1260+N1259+N1258</f>
        <v>0</v>
      </c>
      <c r="O1257" s="225"/>
      <c r="P1257" s="114"/>
      <c r="Q1257" s="42">
        <f t="shared" si="176"/>
        <v>10532</v>
      </c>
      <c r="R1257" s="42">
        <f t="shared" si="175"/>
        <v>5062</v>
      </c>
      <c r="S1257" s="244">
        <f t="shared" si="178"/>
        <v>48.063045955184201</v>
      </c>
    </row>
    <row r="1258" spans="2:19" x14ac:dyDescent="0.2">
      <c r="B1258" s="67">
        <f t="shared" si="179"/>
        <v>494</v>
      </c>
      <c r="C1258" s="2"/>
      <c r="D1258" s="2"/>
      <c r="E1258" s="2"/>
      <c r="F1258" s="46" t="s">
        <v>163</v>
      </c>
      <c r="G1258" s="2">
        <v>632</v>
      </c>
      <c r="H1258" s="2" t="s">
        <v>138</v>
      </c>
      <c r="I1258" s="22">
        <v>6630</v>
      </c>
      <c r="J1258" s="22">
        <v>3186</v>
      </c>
      <c r="K1258" s="225">
        <f t="shared" si="177"/>
        <v>48.054298642533936</v>
      </c>
      <c r="L1258" s="68"/>
      <c r="M1258" s="22"/>
      <c r="N1258" s="22"/>
      <c r="O1258" s="225"/>
      <c r="P1258" s="68"/>
      <c r="Q1258" s="22">
        <f t="shared" si="176"/>
        <v>6630</v>
      </c>
      <c r="R1258" s="22">
        <f t="shared" si="175"/>
        <v>3186</v>
      </c>
      <c r="S1258" s="244">
        <f t="shared" si="178"/>
        <v>48.054298642533936</v>
      </c>
    </row>
    <row r="1259" spans="2:19" x14ac:dyDescent="0.2">
      <c r="B1259" s="67">
        <f t="shared" si="179"/>
        <v>495</v>
      </c>
      <c r="C1259" s="2"/>
      <c r="D1259" s="2"/>
      <c r="E1259" s="2"/>
      <c r="F1259" s="46" t="s">
        <v>163</v>
      </c>
      <c r="G1259" s="2">
        <v>633</v>
      </c>
      <c r="H1259" s="2" t="s">
        <v>131</v>
      </c>
      <c r="I1259" s="22">
        <v>408</v>
      </c>
      <c r="J1259" s="22">
        <v>0</v>
      </c>
      <c r="K1259" s="225">
        <f t="shared" si="177"/>
        <v>0</v>
      </c>
      <c r="L1259" s="68"/>
      <c r="M1259" s="22"/>
      <c r="N1259" s="22"/>
      <c r="O1259" s="225"/>
      <c r="P1259" s="68"/>
      <c r="Q1259" s="22">
        <f t="shared" si="176"/>
        <v>408</v>
      </c>
      <c r="R1259" s="22">
        <f t="shared" si="175"/>
        <v>0</v>
      </c>
      <c r="S1259" s="244">
        <f t="shared" si="178"/>
        <v>0</v>
      </c>
    </row>
    <row r="1260" spans="2:19" x14ac:dyDescent="0.2">
      <c r="B1260" s="67">
        <f t="shared" si="179"/>
        <v>496</v>
      </c>
      <c r="C1260" s="2"/>
      <c r="D1260" s="2"/>
      <c r="E1260" s="2"/>
      <c r="F1260" s="46" t="s">
        <v>163</v>
      </c>
      <c r="G1260" s="2">
        <v>637</v>
      </c>
      <c r="H1260" s="2" t="s">
        <v>128</v>
      </c>
      <c r="I1260" s="22">
        <v>3494</v>
      </c>
      <c r="J1260" s="22">
        <v>1876</v>
      </c>
      <c r="K1260" s="225">
        <f t="shared" si="177"/>
        <v>53.692043503148255</v>
      </c>
      <c r="L1260" s="68"/>
      <c r="M1260" s="22"/>
      <c r="N1260" s="22"/>
      <c r="O1260" s="225"/>
      <c r="P1260" s="68"/>
      <c r="Q1260" s="22">
        <f t="shared" si="176"/>
        <v>3494</v>
      </c>
      <c r="R1260" s="22">
        <f t="shared" si="175"/>
        <v>1876</v>
      </c>
      <c r="S1260" s="244">
        <f t="shared" si="178"/>
        <v>53.692043503148255</v>
      </c>
    </row>
    <row r="1261" spans="2:19" x14ac:dyDescent="0.2">
      <c r="B1261" s="67">
        <f t="shared" si="179"/>
        <v>497</v>
      </c>
      <c r="C1261" s="11"/>
      <c r="D1261" s="11"/>
      <c r="E1261" s="11"/>
      <c r="F1261" s="45" t="s">
        <v>163</v>
      </c>
      <c r="G1261" s="11">
        <v>640</v>
      </c>
      <c r="H1261" s="11" t="s">
        <v>134</v>
      </c>
      <c r="I1261" s="42">
        <v>856</v>
      </c>
      <c r="J1261" s="42">
        <v>166</v>
      </c>
      <c r="K1261" s="225">
        <f t="shared" si="177"/>
        <v>19.392523364485982</v>
      </c>
      <c r="L1261" s="114"/>
      <c r="M1261" s="42"/>
      <c r="N1261" s="42"/>
      <c r="O1261" s="225"/>
      <c r="P1261" s="114"/>
      <c r="Q1261" s="42">
        <f t="shared" si="176"/>
        <v>856</v>
      </c>
      <c r="R1261" s="42">
        <f t="shared" si="175"/>
        <v>166</v>
      </c>
      <c r="S1261" s="244">
        <f t="shared" si="178"/>
        <v>19.392523364485982</v>
      </c>
    </row>
    <row r="1262" spans="2:19" ht="15" x14ac:dyDescent="0.25">
      <c r="B1262" s="67">
        <f t="shared" si="179"/>
        <v>498</v>
      </c>
      <c r="C1262" s="14"/>
      <c r="D1262" s="14"/>
      <c r="E1262" s="14">
        <v>9</v>
      </c>
      <c r="F1262" s="43"/>
      <c r="G1262" s="14"/>
      <c r="H1262" s="14" t="s">
        <v>272</v>
      </c>
      <c r="I1262" s="40">
        <f>I1263+I1264+I1265</f>
        <v>49405</v>
      </c>
      <c r="J1262" s="40">
        <f>J1263+J1264+J1265</f>
        <v>23321</v>
      </c>
      <c r="K1262" s="225">
        <f t="shared" si="177"/>
        <v>47.20372431940087</v>
      </c>
      <c r="L1262" s="175"/>
      <c r="M1262" s="40">
        <f>M1263+M1264+M1265</f>
        <v>0</v>
      </c>
      <c r="N1262" s="40">
        <f>N1263+N1264+N1265</f>
        <v>0</v>
      </c>
      <c r="O1262" s="225"/>
      <c r="P1262" s="175"/>
      <c r="Q1262" s="40">
        <f t="shared" si="176"/>
        <v>49405</v>
      </c>
      <c r="R1262" s="40">
        <f t="shared" si="175"/>
        <v>23321</v>
      </c>
      <c r="S1262" s="244">
        <f t="shared" si="178"/>
        <v>47.20372431940087</v>
      </c>
    </row>
    <row r="1263" spans="2:19" x14ac:dyDescent="0.2">
      <c r="B1263" s="67">
        <f t="shared" si="179"/>
        <v>499</v>
      </c>
      <c r="C1263" s="11"/>
      <c r="D1263" s="11"/>
      <c r="E1263" s="11"/>
      <c r="F1263" s="45" t="s">
        <v>163</v>
      </c>
      <c r="G1263" s="11">
        <v>610</v>
      </c>
      <c r="H1263" s="11" t="s">
        <v>135</v>
      </c>
      <c r="I1263" s="42">
        <v>34654</v>
      </c>
      <c r="J1263" s="42">
        <v>16003</v>
      </c>
      <c r="K1263" s="225">
        <f t="shared" si="177"/>
        <v>46.179373232527269</v>
      </c>
      <c r="L1263" s="114"/>
      <c r="M1263" s="42"/>
      <c r="N1263" s="42"/>
      <c r="O1263" s="225"/>
      <c r="P1263" s="114"/>
      <c r="Q1263" s="42">
        <f t="shared" si="176"/>
        <v>34654</v>
      </c>
      <c r="R1263" s="42">
        <f t="shared" si="175"/>
        <v>16003</v>
      </c>
      <c r="S1263" s="244">
        <f t="shared" si="178"/>
        <v>46.179373232527269</v>
      </c>
    </row>
    <row r="1264" spans="2:19" x14ac:dyDescent="0.2">
      <c r="B1264" s="67">
        <f t="shared" si="179"/>
        <v>500</v>
      </c>
      <c r="C1264" s="11"/>
      <c r="D1264" s="11"/>
      <c r="E1264" s="11"/>
      <c r="F1264" s="45" t="s">
        <v>163</v>
      </c>
      <c r="G1264" s="11">
        <v>620</v>
      </c>
      <c r="H1264" s="11" t="s">
        <v>130</v>
      </c>
      <c r="I1264" s="42">
        <v>12111</v>
      </c>
      <c r="J1264" s="42">
        <v>5872</v>
      </c>
      <c r="K1264" s="225">
        <f t="shared" si="177"/>
        <v>48.484848484848484</v>
      </c>
      <c r="L1264" s="114"/>
      <c r="M1264" s="42"/>
      <c r="N1264" s="42"/>
      <c r="O1264" s="225"/>
      <c r="P1264" s="114"/>
      <c r="Q1264" s="42">
        <f t="shared" si="176"/>
        <v>12111</v>
      </c>
      <c r="R1264" s="42">
        <f t="shared" si="175"/>
        <v>5872</v>
      </c>
      <c r="S1264" s="244">
        <f t="shared" si="178"/>
        <v>48.484848484848484</v>
      </c>
    </row>
    <row r="1265" spans="2:19" x14ac:dyDescent="0.2">
      <c r="B1265" s="67">
        <f t="shared" si="179"/>
        <v>501</v>
      </c>
      <c r="C1265" s="11"/>
      <c r="D1265" s="11"/>
      <c r="E1265" s="11"/>
      <c r="F1265" s="45" t="s">
        <v>163</v>
      </c>
      <c r="G1265" s="11">
        <v>630</v>
      </c>
      <c r="H1265" s="11" t="s">
        <v>127</v>
      </c>
      <c r="I1265" s="42">
        <f>I1268+I1267+I1266</f>
        <v>2640</v>
      </c>
      <c r="J1265" s="42">
        <f>J1268+J1267+J1266</f>
        <v>1446</v>
      </c>
      <c r="K1265" s="225">
        <f t="shared" si="177"/>
        <v>54.772727272727273</v>
      </c>
      <c r="L1265" s="114"/>
      <c r="M1265" s="42">
        <f>M1268+M1267+M1266</f>
        <v>0</v>
      </c>
      <c r="N1265" s="42">
        <f>N1268+N1267+N1266</f>
        <v>0</v>
      </c>
      <c r="O1265" s="225"/>
      <c r="P1265" s="114"/>
      <c r="Q1265" s="42">
        <f t="shared" si="176"/>
        <v>2640</v>
      </c>
      <c r="R1265" s="42">
        <f t="shared" si="175"/>
        <v>1446</v>
      </c>
      <c r="S1265" s="244">
        <f t="shared" si="178"/>
        <v>54.772727272727273</v>
      </c>
    </row>
    <row r="1266" spans="2:19" x14ac:dyDescent="0.2">
      <c r="B1266" s="67">
        <f t="shared" si="179"/>
        <v>502</v>
      </c>
      <c r="C1266" s="2"/>
      <c r="D1266" s="2"/>
      <c r="E1266" s="2"/>
      <c r="F1266" s="46" t="s">
        <v>163</v>
      </c>
      <c r="G1266" s="2">
        <v>632</v>
      </c>
      <c r="H1266" s="2" t="s">
        <v>138</v>
      </c>
      <c r="I1266" s="22">
        <v>1700</v>
      </c>
      <c r="J1266" s="22">
        <v>867</v>
      </c>
      <c r="K1266" s="225">
        <f t="shared" si="177"/>
        <v>51</v>
      </c>
      <c r="L1266" s="68"/>
      <c r="M1266" s="22"/>
      <c r="N1266" s="22"/>
      <c r="O1266" s="225"/>
      <c r="P1266" s="68"/>
      <c r="Q1266" s="22">
        <f t="shared" si="176"/>
        <v>1700</v>
      </c>
      <c r="R1266" s="22">
        <f t="shared" si="175"/>
        <v>867</v>
      </c>
      <c r="S1266" s="244">
        <f t="shared" si="178"/>
        <v>51</v>
      </c>
    </row>
    <row r="1267" spans="2:19" x14ac:dyDescent="0.2">
      <c r="B1267" s="67">
        <f t="shared" si="179"/>
        <v>503</v>
      </c>
      <c r="C1267" s="2"/>
      <c r="D1267" s="2"/>
      <c r="E1267" s="2"/>
      <c r="F1267" s="46" t="s">
        <v>163</v>
      </c>
      <c r="G1267" s="2">
        <v>633</v>
      </c>
      <c r="H1267" s="2" t="s">
        <v>131</v>
      </c>
      <c r="I1267" s="22">
        <v>100</v>
      </c>
      <c r="J1267" s="22">
        <v>30</v>
      </c>
      <c r="K1267" s="225">
        <f t="shared" si="177"/>
        <v>30</v>
      </c>
      <c r="L1267" s="68"/>
      <c r="M1267" s="22"/>
      <c r="N1267" s="22"/>
      <c r="O1267" s="225"/>
      <c r="P1267" s="68"/>
      <c r="Q1267" s="22">
        <f t="shared" si="176"/>
        <v>100</v>
      </c>
      <c r="R1267" s="22">
        <f t="shared" si="175"/>
        <v>30</v>
      </c>
      <c r="S1267" s="244">
        <f t="shared" si="178"/>
        <v>30</v>
      </c>
    </row>
    <row r="1268" spans="2:19" x14ac:dyDescent="0.2">
      <c r="B1268" s="67">
        <f t="shared" si="179"/>
        <v>504</v>
      </c>
      <c r="C1268" s="2"/>
      <c r="D1268" s="2"/>
      <c r="E1268" s="2"/>
      <c r="F1268" s="46" t="s">
        <v>163</v>
      </c>
      <c r="G1268" s="2">
        <v>637</v>
      </c>
      <c r="H1268" s="2" t="s">
        <v>128</v>
      </c>
      <c r="I1268" s="22">
        <v>840</v>
      </c>
      <c r="J1268" s="22">
        <v>549</v>
      </c>
      <c r="K1268" s="225">
        <f t="shared" si="177"/>
        <v>65.357142857142861</v>
      </c>
      <c r="L1268" s="68"/>
      <c r="M1268" s="22"/>
      <c r="N1268" s="22"/>
      <c r="O1268" s="225"/>
      <c r="P1268" s="68"/>
      <c r="Q1268" s="22">
        <f t="shared" si="176"/>
        <v>840</v>
      </c>
      <c r="R1268" s="22">
        <f t="shared" si="175"/>
        <v>549</v>
      </c>
      <c r="S1268" s="244">
        <f t="shared" si="178"/>
        <v>65.357142857142861</v>
      </c>
    </row>
    <row r="1269" spans="2:19" ht="15" x14ac:dyDescent="0.25">
      <c r="B1269" s="67">
        <f t="shared" si="179"/>
        <v>505</v>
      </c>
      <c r="C1269" s="14"/>
      <c r="D1269" s="14"/>
      <c r="E1269" s="14">
        <v>10</v>
      </c>
      <c r="F1269" s="43"/>
      <c r="G1269" s="14"/>
      <c r="H1269" s="14" t="s">
        <v>254</v>
      </c>
      <c r="I1269" s="40">
        <f>I1270+I1271+I1272+I1276</f>
        <v>38377</v>
      </c>
      <c r="J1269" s="40">
        <f>J1270+J1271+J1272+J1276</f>
        <v>17750</v>
      </c>
      <c r="K1269" s="225">
        <f t="shared" si="177"/>
        <v>46.251661151210364</v>
      </c>
      <c r="L1269" s="175"/>
      <c r="M1269" s="40">
        <f>M1270+M1271+M1272+M1276</f>
        <v>0</v>
      </c>
      <c r="N1269" s="40">
        <f>N1270+N1271+N1272+N1276</f>
        <v>0</v>
      </c>
      <c r="O1269" s="225"/>
      <c r="P1269" s="175"/>
      <c r="Q1269" s="40">
        <f t="shared" si="176"/>
        <v>38377</v>
      </c>
      <c r="R1269" s="40">
        <f t="shared" si="175"/>
        <v>17750</v>
      </c>
      <c r="S1269" s="244">
        <f t="shared" si="178"/>
        <v>46.251661151210364</v>
      </c>
    </row>
    <row r="1270" spans="2:19" x14ac:dyDescent="0.2">
      <c r="B1270" s="67">
        <f t="shared" si="179"/>
        <v>506</v>
      </c>
      <c r="C1270" s="11"/>
      <c r="D1270" s="11"/>
      <c r="E1270" s="11"/>
      <c r="F1270" s="45" t="s">
        <v>163</v>
      </c>
      <c r="G1270" s="11">
        <v>610</v>
      </c>
      <c r="H1270" s="11" t="s">
        <v>135</v>
      </c>
      <c r="I1270" s="42">
        <v>25358</v>
      </c>
      <c r="J1270" s="42">
        <v>12038</v>
      </c>
      <c r="K1270" s="225">
        <f t="shared" si="177"/>
        <v>47.472198122880357</v>
      </c>
      <c r="L1270" s="114"/>
      <c r="M1270" s="42"/>
      <c r="N1270" s="42"/>
      <c r="O1270" s="225"/>
      <c r="P1270" s="114"/>
      <c r="Q1270" s="42">
        <f t="shared" si="176"/>
        <v>25358</v>
      </c>
      <c r="R1270" s="42">
        <f t="shared" si="175"/>
        <v>12038</v>
      </c>
      <c r="S1270" s="244">
        <f t="shared" si="178"/>
        <v>47.472198122880357</v>
      </c>
    </row>
    <row r="1271" spans="2:19" x14ac:dyDescent="0.2">
      <c r="B1271" s="67">
        <f t="shared" si="179"/>
        <v>507</v>
      </c>
      <c r="C1271" s="11"/>
      <c r="D1271" s="11"/>
      <c r="E1271" s="11"/>
      <c r="F1271" s="45" t="s">
        <v>163</v>
      </c>
      <c r="G1271" s="11">
        <v>620</v>
      </c>
      <c r="H1271" s="11" t="s">
        <v>130</v>
      </c>
      <c r="I1271" s="42">
        <v>8859</v>
      </c>
      <c r="J1271" s="42">
        <v>4076</v>
      </c>
      <c r="K1271" s="225">
        <f t="shared" si="177"/>
        <v>46.009707641946044</v>
      </c>
      <c r="L1271" s="114"/>
      <c r="M1271" s="42"/>
      <c r="N1271" s="42"/>
      <c r="O1271" s="225"/>
      <c r="P1271" s="114"/>
      <c r="Q1271" s="42">
        <f t="shared" si="176"/>
        <v>8859</v>
      </c>
      <c r="R1271" s="42">
        <f t="shared" si="175"/>
        <v>4076</v>
      </c>
      <c r="S1271" s="244">
        <f t="shared" si="178"/>
        <v>46.009707641946044</v>
      </c>
    </row>
    <row r="1272" spans="2:19" x14ac:dyDescent="0.2">
      <c r="B1272" s="67">
        <f t="shared" si="179"/>
        <v>508</v>
      </c>
      <c r="C1272" s="11"/>
      <c r="D1272" s="11"/>
      <c r="E1272" s="11"/>
      <c r="F1272" s="45" t="s">
        <v>163</v>
      </c>
      <c r="G1272" s="11">
        <v>630</v>
      </c>
      <c r="H1272" s="11" t="s">
        <v>127</v>
      </c>
      <c r="I1272" s="42">
        <f>I1275+I1274+I1273</f>
        <v>4010</v>
      </c>
      <c r="J1272" s="42">
        <f>J1275+J1274+J1273</f>
        <v>1636</v>
      </c>
      <c r="K1272" s="225">
        <f t="shared" si="177"/>
        <v>40.798004987531172</v>
      </c>
      <c r="L1272" s="114"/>
      <c r="M1272" s="42">
        <f>M1275+M1274+M1273</f>
        <v>0</v>
      </c>
      <c r="N1272" s="42">
        <f>N1275+N1274+N1273</f>
        <v>0</v>
      </c>
      <c r="O1272" s="225"/>
      <c r="P1272" s="114"/>
      <c r="Q1272" s="42">
        <f t="shared" si="176"/>
        <v>4010</v>
      </c>
      <c r="R1272" s="42">
        <f t="shared" si="175"/>
        <v>1636</v>
      </c>
      <c r="S1272" s="244">
        <f t="shared" si="178"/>
        <v>40.798004987531172</v>
      </c>
    </row>
    <row r="1273" spans="2:19" x14ac:dyDescent="0.2">
      <c r="B1273" s="67">
        <f t="shared" si="179"/>
        <v>509</v>
      </c>
      <c r="C1273" s="2"/>
      <c r="D1273" s="2"/>
      <c r="E1273" s="2"/>
      <c r="F1273" s="46" t="s">
        <v>163</v>
      </c>
      <c r="G1273" s="2">
        <v>632</v>
      </c>
      <c r="H1273" s="2" t="s">
        <v>138</v>
      </c>
      <c r="I1273" s="22">
        <v>1560</v>
      </c>
      <c r="J1273" s="22">
        <v>93</v>
      </c>
      <c r="K1273" s="225">
        <f t="shared" si="177"/>
        <v>5.9615384615384617</v>
      </c>
      <c r="L1273" s="68"/>
      <c r="M1273" s="22"/>
      <c r="N1273" s="22"/>
      <c r="O1273" s="225"/>
      <c r="P1273" s="68"/>
      <c r="Q1273" s="22">
        <f t="shared" si="176"/>
        <v>1560</v>
      </c>
      <c r="R1273" s="22">
        <f t="shared" si="175"/>
        <v>93</v>
      </c>
      <c r="S1273" s="244">
        <f t="shared" si="178"/>
        <v>5.9615384615384617</v>
      </c>
    </row>
    <row r="1274" spans="2:19" x14ac:dyDescent="0.2">
      <c r="B1274" s="67">
        <f t="shared" si="179"/>
        <v>510</v>
      </c>
      <c r="C1274" s="2"/>
      <c r="D1274" s="2"/>
      <c r="E1274" s="2"/>
      <c r="F1274" s="46" t="s">
        <v>163</v>
      </c>
      <c r="G1274" s="2">
        <v>633</v>
      </c>
      <c r="H1274" s="2" t="s">
        <v>131</v>
      </c>
      <c r="I1274" s="22">
        <v>760</v>
      </c>
      <c r="J1274" s="22">
        <v>131</v>
      </c>
      <c r="K1274" s="225">
        <f t="shared" si="177"/>
        <v>17.236842105263158</v>
      </c>
      <c r="L1274" s="68"/>
      <c r="M1274" s="22"/>
      <c r="N1274" s="22"/>
      <c r="O1274" s="225"/>
      <c r="P1274" s="68"/>
      <c r="Q1274" s="22">
        <f t="shared" si="176"/>
        <v>760</v>
      </c>
      <c r="R1274" s="22">
        <f t="shared" si="175"/>
        <v>131</v>
      </c>
      <c r="S1274" s="244">
        <f t="shared" si="178"/>
        <v>17.236842105263158</v>
      </c>
    </row>
    <row r="1275" spans="2:19" x14ac:dyDescent="0.2">
      <c r="B1275" s="67">
        <f t="shared" si="179"/>
        <v>511</v>
      </c>
      <c r="C1275" s="2"/>
      <c r="D1275" s="2"/>
      <c r="E1275" s="2"/>
      <c r="F1275" s="46" t="s">
        <v>163</v>
      </c>
      <c r="G1275" s="2">
        <v>637</v>
      </c>
      <c r="H1275" s="2" t="s">
        <v>128</v>
      </c>
      <c r="I1275" s="22">
        <v>1690</v>
      </c>
      <c r="J1275" s="22">
        <v>1412</v>
      </c>
      <c r="K1275" s="225">
        <f t="shared" si="177"/>
        <v>83.550295857988161</v>
      </c>
      <c r="L1275" s="68"/>
      <c r="M1275" s="22"/>
      <c r="N1275" s="22"/>
      <c r="O1275" s="225"/>
      <c r="P1275" s="68"/>
      <c r="Q1275" s="22">
        <f t="shared" si="176"/>
        <v>1690</v>
      </c>
      <c r="R1275" s="22">
        <f t="shared" si="175"/>
        <v>1412</v>
      </c>
      <c r="S1275" s="244">
        <f t="shared" si="178"/>
        <v>83.550295857988161</v>
      </c>
    </row>
    <row r="1276" spans="2:19" x14ac:dyDescent="0.2">
      <c r="B1276" s="67">
        <f t="shared" si="179"/>
        <v>512</v>
      </c>
      <c r="C1276" s="11"/>
      <c r="D1276" s="11"/>
      <c r="E1276" s="11"/>
      <c r="F1276" s="45" t="s">
        <v>163</v>
      </c>
      <c r="G1276" s="11">
        <v>640</v>
      </c>
      <c r="H1276" s="11" t="s">
        <v>134</v>
      </c>
      <c r="I1276" s="42">
        <v>150</v>
      </c>
      <c r="J1276" s="42">
        <v>0</v>
      </c>
      <c r="K1276" s="225">
        <f t="shared" si="177"/>
        <v>0</v>
      </c>
      <c r="L1276" s="114"/>
      <c r="M1276" s="42"/>
      <c r="N1276" s="42"/>
      <c r="O1276" s="225"/>
      <c r="P1276" s="114"/>
      <c r="Q1276" s="42">
        <f t="shared" si="176"/>
        <v>150</v>
      </c>
      <c r="R1276" s="42">
        <f t="shared" si="175"/>
        <v>0</v>
      </c>
      <c r="S1276" s="244">
        <f t="shared" si="178"/>
        <v>0</v>
      </c>
    </row>
    <row r="1277" spans="2:19" ht="15" x14ac:dyDescent="0.25">
      <c r="B1277" s="67">
        <f t="shared" si="179"/>
        <v>513</v>
      </c>
      <c r="C1277" s="14"/>
      <c r="D1277" s="14"/>
      <c r="E1277" s="14">
        <v>11</v>
      </c>
      <c r="F1277" s="43"/>
      <c r="G1277" s="14"/>
      <c r="H1277" s="14" t="s">
        <v>271</v>
      </c>
      <c r="I1277" s="40">
        <f>I1278+I1279+I1280+I1284</f>
        <v>111110</v>
      </c>
      <c r="J1277" s="40">
        <f>J1278+J1279+J1280+J1284</f>
        <v>40620</v>
      </c>
      <c r="K1277" s="225">
        <f t="shared" si="177"/>
        <v>36.558365583655842</v>
      </c>
      <c r="L1277" s="175"/>
      <c r="M1277" s="40">
        <f>M1278+M1279+M1280+M1284</f>
        <v>0</v>
      </c>
      <c r="N1277" s="40">
        <f>N1278+N1279+N1280+N1284</f>
        <v>0</v>
      </c>
      <c r="O1277" s="225"/>
      <c r="P1277" s="175"/>
      <c r="Q1277" s="40">
        <f t="shared" si="176"/>
        <v>111110</v>
      </c>
      <c r="R1277" s="40">
        <f t="shared" si="175"/>
        <v>40620</v>
      </c>
      <c r="S1277" s="244">
        <f t="shared" si="178"/>
        <v>36.558365583655842</v>
      </c>
    </row>
    <row r="1278" spans="2:19" x14ac:dyDescent="0.2">
      <c r="B1278" s="67">
        <f t="shared" si="179"/>
        <v>514</v>
      </c>
      <c r="C1278" s="11"/>
      <c r="D1278" s="11"/>
      <c r="E1278" s="11"/>
      <c r="F1278" s="45" t="s">
        <v>163</v>
      </c>
      <c r="G1278" s="11">
        <v>610</v>
      </c>
      <c r="H1278" s="11" t="s">
        <v>135</v>
      </c>
      <c r="I1278" s="42">
        <v>73300</v>
      </c>
      <c r="J1278" s="42">
        <v>27399</v>
      </c>
      <c r="K1278" s="225">
        <f t="shared" si="177"/>
        <v>37.379263301500679</v>
      </c>
      <c r="L1278" s="114"/>
      <c r="M1278" s="42"/>
      <c r="N1278" s="42"/>
      <c r="O1278" s="225"/>
      <c r="P1278" s="114"/>
      <c r="Q1278" s="42">
        <f t="shared" si="176"/>
        <v>73300</v>
      </c>
      <c r="R1278" s="42">
        <f t="shared" si="175"/>
        <v>27399</v>
      </c>
      <c r="S1278" s="244">
        <f t="shared" si="178"/>
        <v>37.379263301500679</v>
      </c>
    </row>
    <row r="1279" spans="2:19" x14ac:dyDescent="0.2">
      <c r="B1279" s="67">
        <f t="shared" si="179"/>
        <v>515</v>
      </c>
      <c r="C1279" s="11"/>
      <c r="D1279" s="11"/>
      <c r="E1279" s="11"/>
      <c r="F1279" s="45" t="s">
        <v>163</v>
      </c>
      <c r="G1279" s="11">
        <v>620</v>
      </c>
      <c r="H1279" s="11" t="s">
        <v>130</v>
      </c>
      <c r="I1279" s="42">
        <v>25633</v>
      </c>
      <c r="J1279" s="42">
        <v>9434</v>
      </c>
      <c r="K1279" s="225">
        <f t="shared" si="177"/>
        <v>36.804119689462802</v>
      </c>
      <c r="L1279" s="114"/>
      <c r="M1279" s="42"/>
      <c r="N1279" s="42"/>
      <c r="O1279" s="225"/>
      <c r="P1279" s="114"/>
      <c r="Q1279" s="42">
        <f t="shared" si="176"/>
        <v>25633</v>
      </c>
      <c r="R1279" s="42">
        <f t="shared" si="175"/>
        <v>9434</v>
      </c>
      <c r="S1279" s="244">
        <f t="shared" si="178"/>
        <v>36.804119689462802</v>
      </c>
    </row>
    <row r="1280" spans="2:19" x14ac:dyDescent="0.2">
      <c r="B1280" s="67">
        <f t="shared" si="179"/>
        <v>516</v>
      </c>
      <c r="C1280" s="11"/>
      <c r="D1280" s="11"/>
      <c r="E1280" s="11"/>
      <c r="F1280" s="45" t="s">
        <v>163</v>
      </c>
      <c r="G1280" s="11">
        <v>630</v>
      </c>
      <c r="H1280" s="11" t="s">
        <v>127</v>
      </c>
      <c r="I1280" s="42">
        <f>I1283+I1282+I1281</f>
        <v>10506</v>
      </c>
      <c r="J1280" s="42">
        <f>J1283+J1282+J1281</f>
        <v>3281</v>
      </c>
      <c r="K1280" s="225">
        <f t="shared" si="177"/>
        <v>31.229773462783172</v>
      </c>
      <c r="L1280" s="114"/>
      <c r="M1280" s="42">
        <f>M1283+M1282+M1281</f>
        <v>0</v>
      </c>
      <c r="N1280" s="42">
        <f>N1283+N1282+N1281</f>
        <v>0</v>
      </c>
      <c r="O1280" s="225"/>
      <c r="P1280" s="114"/>
      <c r="Q1280" s="42">
        <f t="shared" si="176"/>
        <v>10506</v>
      </c>
      <c r="R1280" s="42">
        <f t="shared" si="175"/>
        <v>3281</v>
      </c>
      <c r="S1280" s="244">
        <f t="shared" si="178"/>
        <v>31.229773462783172</v>
      </c>
    </row>
    <row r="1281" spans="2:19" x14ac:dyDescent="0.2">
      <c r="B1281" s="67">
        <f t="shared" si="179"/>
        <v>517</v>
      </c>
      <c r="C1281" s="2"/>
      <c r="D1281" s="2"/>
      <c r="E1281" s="2"/>
      <c r="F1281" s="46" t="s">
        <v>163</v>
      </c>
      <c r="G1281" s="2">
        <v>632</v>
      </c>
      <c r="H1281" s="2" t="s">
        <v>138</v>
      </c>
      <c r="I1281" s="22">
        <v>3631</v>
      </c>
      <c r="J1281" s="22">
        <v>17</v>
      </c>
      <c r="K1281" s="225">
        <f t="shared" ref="K1281:K1345" si="180">J1281/I1281*100</f>
        <v>0.46819058110713302</v>
      </c>
      <c r="L1281" s="68"/>
      <c r="M1281" s="22"/>
      <c r="N1281" s="22"/>
      <c r="O1281" s="225"/>
      <c r="P1281" s="68"/>
      <c r="Q1281" s="22">
        <f t="shared" si="176"/>
        <v>3631</v>
      </c>
      <c r="R1281" s="22">
        <f t="shared" si="175"/>
        <v>17</v>
      </c>
      <c r="S1281" s="244">
        <f t="shared" ref="S1281:S1345" si="181">R1281/Q1281*100</f>
        <v>0.46819058110713302</v>
      </c>
    </row>
    <row r="1282" spans="2:19" x14ac:dyDescent="0.2">
      <c r="B1282" s="67">
        <f t="shared" si="179"/>
        <v>518</v>
      </c>
      <c r="C1282" s="2"/>
      <c r="D1282" s="2"/>
      <c r="E1282" s="2"/>
      <c r="F1282" s="46" t="s">
        <v>163</v>
      </c>
      <c r="G1282" s="2">
        <v>633</v>
      </c>
      <c r="H1282" s="2" t="s">
        <v>131</v>
      </c>
      <c r="I1282" s="22">
        <v>3978</v>
      </c>
      <c r="J1282" s="22">
        <v>2076</v>
      </c>
      <c r="K1282" s="225">
        <f t="shared" si="180"/>
        <v>52.187028657616899</v>
      </c>
      <c r="L1282" s="68"/>
      <c r="M1282" s="22"/>
      <c r="N1282" s="22"/>
      <c r="O1282" s="225"/>
      <c r="P1282" s="68"/>
      <c r="Q1282" s="22">
        <f t="shared" si="176"/>
        <v>3978</v>
      </c>
      <c r="R1282" s="22">
        <f t="shared" si="175"/>
        <v>2076</v>
      </c>
      <c r="S1282" s="244">
        <f t="shared" si="181"/>
        <v>52.187028657616899</v>
      </c>
    </row>
    <row r="1283" spans="2:19" x14ac:dyDescent="0.2">
      <c r="B1283" s="67">
        <f t="shared" si="179"/>
        <v>519</v>
      </c>
      <c r="C1283" s="2"/>
      <c r="D1283" s="2"/>
      <c r="E1283" s="2"/>
      <c r="F1283" s="46" t="s">
        <v>163</v>
      </c>
      <c r="G1283" s="2">
        <v>637</v>
      </c>
      <c r="H1283" s="2" t="s">
        <v>128</v>
      </c>
      <c r="I1283" s="22">
        <v>2897</v>
      </c>
      <c r="J1283" s="22">
        <v>1188</v>
      </c>
      <c r="K1283" s="225">
        <f t="shared" si="180"/>
        <v>41.007939247497411</v>
      </c>
      <c r="L1283" s="68"/>
      <c r="M1283" s="22"/>
      <c r="N1283" s="22"/>
      <c r="O1283" s="225"/>
      <c r="P1283" s="68"/>
      <c r="Q1283" s="22">
        <f t="shared" si="176"/>
        <v>2897</v>
      </c>
      <c r="R1283" s="22">
        <f t="shared" si="175"/>
        <v>1188</v>
      </c>
      <c r="S1283" s="244">
        <f t="shared" si="181"/>
        <v>41.007939247497411</v>
      </c>
    </row>
    <row r="1284" spans="2:19" x14ac:dyDescent="0.2">
      <c r="B1284" s="67">
        <f t="shared" si="179"/>
        <v>520</v>
      </c>
      <c r="C1284" s="11"/>
      <c r="D1284" s="11"/>
      <c r="E1284" s="11"/>
      <c r="F1284" s="45" t="s">
        <v>163</v>
      </c>
      <c r="G1284" s="11">
        <v>640</v>
      </c>
      <c r="H1284" s="11" t="s">
        <v>134</v>
      </c>
      <c r="I1284" s="42">
        <v>1671</v>
      </c>
      <c r="J1284" s="42">
        <v>506</v>
      </c>
      <c r="K1284" s="225">
        <f t="shared" si="180"/>
        <v>30.281268701376423</v>
      </c>
      <c r="L1284" s="114"/>
      <c r="M1284" s="42"/>
      <c r="N1284" s="42"/>
      <c r="O1284" s="225"/>
      <c r="P1284" s="114"/>
      <c r="Q1284" s="42">
        <f t="shared" si="176"/>
        <v>1671</v>
      </c>
      <c r="R1284" s="42">
        <f t="shared" si="175"/>
        <v>506</v>
      </c>
      <c r="S1284" s="244">
        <f t="shared" si="181"/>
        <v>30.281268701376423</v>
      </c>
    </row>
    <row r="1285" spans="2:19" ht="15" x14ac:dyDescent="0.25">
      <c r="B1285" s="67">
        <f t="shared" ref="B1285:B1349" si="182">B1284+1</f>
        <v>521</v>
      </c>
      <c r="C1285" s="14"/>
      <c r="D1285" s="14"/>
      <c r="E1285" s="14">
        <v>12</v>
      </c>
      <c r="F1285" s="43"/>
      <c r="G1285" s="14"/>
      <c r="H1285" s="14" t="s">
        <v>270</v>
      </c>
      <c r="I1285" s="40">
        <f>I1286+I1287+I1288+I1292</f>
        <v>65342</v>
      </c>
      <c r="J1285" s="40">
        <f>J1286+J1287+J1288+J1292</f>
        <v>35631</v>
      </c>
      <c r="K1285" s="225">
        <f t="shared" si="180"/>
        <v>54.530011325028319</v>
      </c>
      <c r="L1285" s="175"/>
      <c r="M1285" s="40">
        <f>M1286+M1287+M1288+M1292</f>
        <v>0</v>
      </c>
      <c r="N1285" s="40">
        <f>N1286+N1287+N1288+N1292</f>
        <v>0</v>
      </c>
      <c r="O1285" s="225"/>
      <c r="P1285" s="175"/>
      <c r="Q1285" s="40">
        <f t="shared" si="176"/>
        <v>65342</v>
      </c>
      <c r="R1285" s="40">
        <f t="shared" si="175"/>
        <v>35631</v>
      </c>
      <c r="S1285" s="244">
        <f t="shared" si="181"/>
        <v>54.530011325028319</v>
      </c>
    </row>
    <row r="1286" spans="2:19" x14ac:dyDescent="0.2">
      <c r="B1286" s="67">
        <f t="shared" si="182"/>
        <v>522</v>
      </c>
      <c r="C1286" s="11"/>
      <c r="D1286" s="11"/>
      <c r="E1286" s="11"/>
      <c r="F1286" s="45" t="s">
        <v>163</v>
      </c>
      <c r="G1286" s="11">
        <v>610</v>
      </c>
      <c r="H1286" s="11" t="s">
        <v>135</v>
      </c>
      <c r="I1286" s="42">
        <v>45536</v>
      </c>
      <c r="J1286" s="42">
        <v>25668</v>
      </c>
      <c r="K1286" s="225">
        <f t="shared" si="180"/>
        <v>56.368587491215735</v>
      </c>
      <c r="L1286" s="114"/>
      <c r="M1286" s="42"/>
      <c r="N1286" s="42"/>
      <c r="O1286" s="225"/>
      <c r="P1286" s="114"/>
      <c r="Q1286" s="42">
        <f t="shared" si="176"/>
        <v>45536</v>
      </c>
      <c r="R1286" s="42">
        <f t="shared" si="175"/>
        <v>25668</v>
      </c>
      <c r="S1286" s="244">
        <f t="shared" si="181"/>
        <v>56.368587491215735</v>
      </c>
    </row>
    <row r="1287" spans="2:19" x14ac:dyDescent="0.2">
      <c r="B1287" s="67">
        <f t="shared" si="182"/>
        <v>523</v>
      </c>
      <c r="C1287" s="11"/>
      <c r="D1287" s="11"/>
      <c r="E1287" s="11"/>
      <c r="F1287" s="45" t="s">
        <v>163</v>
      </c>
      <c r="G1287" s="11">
        <v>620</v>
      </c>
      <c r="H1287" s="11" t="s">
        <v>130</v>
      </c>
      <c r="I1287" s="42">
        <v>14556</v>
      </c>
      <c r="J1287" s="42">
        <v>8780</v>
      </c>
      <c r="K1287" s="225">
        <f t="shared" si="180"/>
        <v>60.318768892552896</v>
      </c>
      <c r="L1287" s="114"/>
      <c r="M1287" s="42"/>
      <c r="N1287" s="42"/>
      <c r="O1287" s="225"/>
      <c r="P1287" s="114"/>
      <c r="Q1287" s="42">
        <f t="shared" si="176"/>
        <v>14556</v>
      </c>
      <c r="R1287" s="42">
        <f t="shared" si="175"/>
        <v>8780</v>
      </c>
      <c r="S1287" s="244">
        <f t="shared" si="181"/>
        <v>60.318768892552896</v>
      </c>
    </row>
    <row r="1288" spans="2:19" x14ac:dyDescent="0.2">
      <c r="B1288" s="67">
        <f t="shared" si="182"/>
        <v>524</v>
      </c>
      <c r="C1288" s="11"/>
      <c r="D1288" s="11"/>
      <c r="E1288" s="11"/>
      <c r="F1288" s="45" t="s">
        <v>163</v>
      </c>
      <c r="G1288" s="11">
        <v>630</v>
      </c>
      <c r="H1288" s="11" t="s">
        <v>127</v>
      </c>
      <c r="I1288" s="42">
        <f>I1291+I1290+I1289</f>
        <v>2040</v>
      </c>
      <c r="J1288" s="42">
        <f>J1291+J1290+J1289</f>
        <v>1183</v>
      </c>
      <c r="K1288" s="225">
        <f t="shared" si="180"/>
        <v>57.990196078431374</v>
      </c>
      <c r="L1288" s="114"/>
      <c r="M1288" s="42">
        <f>M1291+M1290+M1289</f>
        <v>0</v>
      </c>
      <c r="N1288" s="42">
        <f>N1291+N1290+N1289</f>
        <v>0</v>
      </c>
      <c r="O1288" s="225"/>
      <c r="P1288" s="114"/>
      <c r="Q1288" s="42">
        <f t="shared" si="176"/>
        <v>2040</v>
      </c>
      <c r="R1288" s="42">
        <f t="shared" si="175"/>
        <v>1183</v>
      </c>
      <c r="S1288" s="244">
        <f t="shared" si="181"/>
        <v>57.990196078431374</v>
      </c>
    </row>
    <row r="1289" spans="2:19" x14ac:dyDescent="0.2">
      <c r="B1289" s="67">
        <f t="shared" si="182"/>
        <v>525</v>
      </c>
      <c r="C1289" s="2"/>
      <c r="D1289" s="2"/>
      <c r="E1289" s="2"/>
      <c r="F1289" s="46" t="s">
        <v>163</v>
      </c>
      <c r="G1289" s="2">
        <v>632</v>
      </c>
      <c r="H1289" s="2" t="s">
        <v>138</v>
      </c>
      <c r="I1289" s="22">
        <v>306</v>
      </c>
      <c r="J1289" s="22">
        <v>164</v>
      </c>
      <c r="K1289" s="225">
        <f t="shared" si="180"/>
        <v>53.594771241830067</v>
      </c>
      <c r="L1289" s="68"/>
      <c r="M1289" s="22"/>
      <c r="N1289" s="22"/>
      <c r="O1289" s="225"/>
      <c r="P1289" s="68"/>
      <c r="Q1289" s="22">
        <f t="shared" si="176"/>
        <v>306</v>
      </c>
      <c r="R1289" s="22">
        <f t="shared" si="175"/>
        <v>164</v>
      </c>
      <c r="S1289" s="244">
        <f t="shared" si="181"/>
        <v>53.594771241830067</v>
      </c>
    </row>
    <row r="1290" spans="2:19" x14ac:dyDescent="0.2">
      <c r="B1290" s="67">
        <f t="shared" si="182"/>
        <v>526</v>
      </c>
      <c r="C1290" s="2"/>
      <c r="D1290" s="2"/>
      <c r="E1290" s="2"/>
      <c r="F1290" s="46" t="s">
        <v>163</v>
      </c>
      <c r="G1290" s="2">
        <v>633</v>
      </c>
      <c r="H1290" s="2" t="s">
        <v>131</v>
      </c>
      <c r="I1290" s="22">
        <v>1224</v>
      </c>
      <c r="J1290" s="22">
        <v>706</v>
      </c>
      <c r="K1290" s="225">
        <f t="shared" si="180"/>
        <v>57.679738562091501</v>
      </c>
      <c r="L1290" s="68"/>
      <c r="M1290" s="22"/>
      <c r="N1290" s="22"/>
      <c r="O1290" s="225"/>
      <c r="P1290" s="68"/>
      <c r="Q1290" s="22">
        <f t="shared" ref="Q1290:Q1357" si="183">M1290+I1290</f>
        <v>1224</v>
      </c>
      <c r="R1290" s="22">
        <f t="shared" si="175"/>
        <v>706</v>
      </c>
      <c r="S1290" s="244">
        <f t="shared" si="181"/>
        <v>57.679738562091501</v>
      </c>
    </row>
    <row r="1291" spans="2:19" x14ac:dyDescent="0.2">
      <c r="B1291" s="67">
        <f t="shared" si="182"/>
        <v>527</v>
      </c>
      <c r="C1291" s="2"/>
      <c r="D1291" s="2"/>
      <c r="E1291" s="2"/>
      <c r="F1291" s="46" t="s">
        <v>163</v>
      </c>
      <c r="G1291" s="2">
        <v>637</v>
      </c>
      <c r="H1291" s="2" t="s">
        <v>128</v>
      </c>
      <c r="I1291" s="22">
        <v>510</v>
      </c>
      <c r="J1291" s="22">
        <v>313</v>
      </c>
      <c r="K1291" s="225">
        <f t="shared" si="180"/>
        <v>61.372549019607845</v>
      </c>
      <c r="L1291" s="68"/>
      <c r="M1291" s="22"/>
      <c r="N1291" s="22"/>
      <c r="O1291" s="225"/>
      <c r="P1291" s="68"/>
      <c r="Q1291" s="22">
        <f t="shared" si="183"/>
        <v>510</v>
      </c>
      <c r="R1291" s="22">
        <f t="shared" si="175"/>
        <v>313</v>
      </c>
      <c r="S1291" s="244">
        <f t="shared" si="181"/>
        <v>61.372549019607845</v>
      </c>
    </row>
    <row r="1292" spans="2:19" x14ac:dyDescent="0.2">
      <c r="B1292" s="67">
        <f t="shared" si="182"/>
        <v>528</v>
      </c>
      <c r="C1292" s="11"/>
      <c r="D1292" s="11"/>
      <c r="E1292" s="11"/>
      <c r="F1292" s="45" t="s">
        <v>163</v>
      </c>
      <c r="G1292" s="11">
        <v>640</v>
      </c>
      <c r="H1292" s="11" t="s">
        <v>134</v>
      </c>
      <c r="I1292" s="42">
        <v>3210</v>
      </c>
      <c r="J1292" s="42">
        <v>0</v>
      </c>
      <c r="K1292" s="225">
        <f t="shared" si="180"/>
        <v>0</v>
      </c>
      <c r="L1292" s="114"/>
      <c r="M1292" s="42"/>
      <c r="N1292" s="42"/>
      <c r="O1292" s="225"/>
      <c r="P1292" s="114"/>
      <c r="Q1292" s="42">
        <f t="shared" si="183"/>
        <v>3210</v>
      </c>
      <c r="R1292" s="42">
        <f t="shared" si="175"/>
        <v>0</v>
      </c>
      <c r="S1292" s="244">
        <f t="shared" si="181"/>
        <v>0</v>
      </c>
    </row>
    <row r="1293" spans="2:19" ht="15" x14ac:dyDescent="0.25">
      <c r="B1293" s="67">
        <f t="shared" si="182"/>
        <v>529</v>
      </c>
      <c r="C1293" s="14"/>
      <c r="D1293" s="14"/>
      <c r="E1293" s="14">
        <v>13</v>
      </c>
      <c r="F1293" s="43"/>
      <c r="G1293" s="14"/>
      <c r="H1293" s="14" t="s">
        <v>253</v>
      </c>
      <c r="I1293" s="40">
        <f>I1294+I1295+I1296+I1300</f>
        <v>37867</v>
      </c>
      <c r="J1293" s="40">
        <f>J1294+J1295+J1296+J1300</f>
        <v>16699</v>
      </c>
      <c r="K1293" s="225">
        <f t="shared" si="180"/>
        <v>44.09908363482716</v>
      </c>
      <c r="L1293" s="175"/>
      <c r="M1293" s="40">
        <f>M1294+M1295+M1296+M1300</f>
        <v>0</v>
      </c>
      <c r="N1293" s="40">
        <f>N1294+N1295+N1296+N1300</f>
        <v>0</v>
      </c>
      <c r="O1293" s="225"/>
      <c r="P1293" s="175"/>
      <c r="Q1293" s="40">
        <f t="shared" si="183"/>
        <v>37867</v>
      </c>
      <c r="R1293" s="40">
        <f t="shared" si="175"/>
        <v>16699</v>
      </c>
      <c r="S1293" s="244">
        <f t="shared" si="181"/>
        <v>44.09908363482716</v>
      </c>
    </row>
    <row r="1294" spans="2:19" x14ac:dyDescent="0.2">
      <c r="B1294" s="67">
        <f t="shared" si="182"/>
        <v>530</v>
      </c>
      <c r="C1294" s="11"/>
      <c r="D1294" s="11"/>
      <c r="E1294" s="11"/>
      <c r="F1294" s="45" t="s">
        <v>163</v>
      </c>
      <c r="G1294" s="11">
        <v>610</v>
      </c>
      <c r="H1294" s="11" t="s">
        <v>135</v>
      </c>
      <c r="I1294" s="42">
        <v>23880</v>
      </c>
      <c r="J1294" s="42">
        <v>10481</v>
      </c>
      <c r="K1294" s="225">
        <f t="shared" si="180"/>
        <v>43.890284757118927</v>
      </c>
      <c r="L1294" s="114"/>
      <c r="M1294" s="42"/>
      <c r="N1294" s="42"/>
      <c r="O1294" s="225"/>
      <c r="P1294" s="114"/>
      <c r="Q1294" s="42">
        <f t="shared" si="183"/>
        <v>23880</v>
      </c>
      <c r="R1294" s="42">
        <f t="shared" si="175"/>
        <v>10481</v>
      </c>
      <c r="S1294" s="244">
        <f t="shared" si="181"/>
        <v>43.890284757118927</v>
      </c>
    </row>
    <row r="1295" spans="2:19" x14ac:dyDescent="0.2">
      <c r="B1295" s="67">
        <f t="shared" si="182"/>
        <v>531</v>
      </c>
      <c r="C1295" s="11"/>
      <c r="D1295" s="11"/>
      <c r="E1295" s="11"/>
      <c r="F1295" s="45" t="s">
        <v>163</v>
      </c>
      <c r="G1295" s="11">
        <v>620</v>
      </c>
      <c r="H1295" s="11" t="s">
        <v>130</v>
      </c>
      <c r="I1295" s="42">
        <v>8348</v>
      </c>
      <c r="J1295" s="42">
        <v>3662</v>
      </c>
      <c r="K1295" s="225">
        <f t="shared" si="180"/>
        <v>43.866794441782467</v>
      </c>
      <c r="L1295" s="114"/>
      <c r="M1295" s="42"/>
      <c r="N1295" s="42"/>
      <c r="O1295" s="225"/>
      <c r="P1295" s="114"/>
      <c r="Q1295" s="42">
        <f t="shared" si="183"/>
        <v>8348</v>
      </c>
      <c r="R1295" s="42">
        <f t="shared" si="175"/>
        <v>3662</v>
      </c>
      <c r="S1295" s="244">
        <f t="shared" si="181"/>
        <v>43.866794441782467</v>
      </c>
    </row>
    <row r="1296" spans="2:19" x14ac:dyDescent="0.2">
      <c r="B1296" s="67">
        <f t="shared" si="182"/>
        <v>532</v>
      </c>
      <c r="C1296" s="11"/>
      <c r="D1296" s="11"/>
      <c r="E1296" s="11"/>
      <c r="F1296" s="45" t="s">
        <v>163</v>
      </c>
      <c r="G1296" s="11">
        <v>630</v>
      </c>
      <c r="H1296" s="11" t="s">
        <v>127</v>
      </c>
      <c r="I1296" s="42">
        <f>I1299+I1298+I1297</f>
        <v>5589</v>
      </c>
      <c r="J1296" s="42">
        <f>J1299+J1298+J1297</f>
        <v>2556</v>
      </c>
      <c r="K1296" s="225">
        <f t="shared" si="180"/>
        <v>45.732689210950078</v>
      </c>
      <c r="L1296" s="114"/>
      <c r="M1296" s="42">
        <f>M1299+M1298+M1297</f>
        <v>0</v>
      </c>
      <c r="N1296" s="42">
        <f>N1299+N1298+N1297</f>
        <v>0</v>
      </c>
      <c r="O1296" s="225"/>
      <c r="P1296" s="114"/>
      <c r="Q1296" s="42">
        <f t="shared" si="183"/>
        <v>5589</v>
      </c>
      <c r="R1296" s="42">
        <f t="shared" ref="R1296:R1318" si="184">N1296+J1296</f>
        <v>2556</v>
      </c>
      <c r="S1296" s="244">
        <f t="shared" si="181"/>
        <v>45.732689210950078</v>
      </c>
    </row>
    <row r="1297" spans="2:19" x14ac:dyDescent="0.2">
      <c r="B1297" s="67">
        <f t="shared" si="182"/>
        <v>533</v>
      </c>
      <c r="C1297" s="2"/>
      <c r="D1297" s="2"/>
      <c r="E1297" s="2"/>
      <c r="F1297" s="46" t="s">
        <v>163</v>
      </c>
      <c r="G1297" s="2">
        <v>632</v>
      </c>
      <c r="H1297" s="2" t="s">
        <v>138</v>
      </c>
      <c r="I1297" s="22">
        <v>4865</v>
      </c>
      <c r="J1297" s="22">
        <v>1965</v>
      </c>
      <c r="K1297" s="225">
        <f t="shared" si="180"/>
        <v>40.390544707091472</v>
      </c>
      <c r="L1297" s="68"/>
      <c r="M1297" s="22"/>
      <c r="N1297" s="22"/>
      <c r="O1297" s="225"/>
      <c r="P1297" s="68"/>
      <c r="Q1297" s="22">
        <f t="shared" si="183"/>
        <v>4865</v>
      </c>
      <c r="R1297" s="22">
        <f t="shared" si="184"/>
        <v>1965</v>
      </c>
      <c r="S1297" s="244">
        <f t="shared" si="181"/>
        <v>40.390544707091472</v>
      </c>
    </row>
    <row r="1298" spans="2:19" x14ac:dyDescent="0.2">
      <c r="B1298" s="67">
        <f t="shared" si="182"/>
        <v>534</v>
      </c>
      <c r="C1298" s="2"/>
      <c r="D1298" s="2"/>
      <c r="E1298" s="2"/>
      <c r="F1298" s="46" t="s">
        <v>163</v>
      </c>
      <c r="G1298" s="2">
        <v>633</v>
      </c>
      <c r="H1298" s="2" t="s">
        <v>131</v>
      </c>
      <c r="I1298" s="22">
        <v>122</v>
      </c>
      <c r="J1298" s="22">
        <v>82</v>
      </c>
      <c r="K1298" s="225">
        <f t="shared" si="180"/>
        <v>67.213114754098356</v>
      </c>
      <c r="L1298" s="68"/>
      <c r="M1298" s="22"/>
      <c r="N1298" s="22"/>
      <c r="O1298" s="225"/>
      <c r="P1298" s="68"/>
      <c r="Q1298" s="22">
        <f t="shared" si="183"/>
        <v>122</v>
      </c>
      <c r="R1298" s="22">
        <f t="shared" si="184"/>
        <v>82</v>
      </c>
      <c r="S1298" s="244">
        <f t="shared" si="181"/>
        <v>67.213114754098356</v>
      </c>
    </row>
    <row r="1299" spans="2:19" x14ac:dyDescent="0.2">
      <c r="B1299" s="67">
        <f t="shared" si="182"/>
        <v>535</v>
      </c>
      <c r="C1299" s="2"/>
      <c r="D1299" s="2"/>
      <c r="E1299" s="2"/>
      <c r="F1299" s="46" t="s">
        <v>163</v>
      </c>
      <c r="G1299" s="2">
        <v>637</v>
      </c>
      <c r="H1299" s="2" t="s">
        <v>128</v>
      </c>
      <c r="I1299" s="22">
        <v>602</v>
      </c>
      <c r="J1299" s="22">
        <v>509</v>
      </c>
      <c r="K1299" s="225">
        <f t="shared" si="180"/>
        <v>84.551495016611298</v>
      </c>
      <c r="L1299" s="68"/>
      <c r="M1299" s="22"/>
      <c r="N1299" s="22"/>
      <c r="O1299" s="225"/>
      <c r="P1299" s="68"/>
      <c r="Q1299" s="22">
        <f t="shared" si="183"/>
        <v>602</v>
      </c>
      <c r="R1299" s="22">
        <f t="shared" si="184"/>
        <v>509</v>
      </c>
      <c r="S1299" s="244">
        <f t="shared" si="181"/>
        <v>84.551495016611298</v>
      </c>
    </row>
    <row r="1300" spans="2:19" x14ac:dyDescent="0.2">
      <c r="B1300" s="67">
        <f t="shared" si="182"/>
        <v>536</v>
      </c>
      <c r="C1300" s="11"/>
      <c r="D1300" s="11"/>
      <c r="E1300" s="11"/>
      <c r="F1300" s="45" t="s">
        <v>163</v>
      </c>
      <c r="G1300" s="11">
        <v>640</v>
      </c>
      <c r="H1300" s="11" t="s">
        <v>134</v>
      </c>
      <c r="I1300" s="42">
        <v>50</v>
      </c>
      <c r="J1300" s="42">
        <v>0</v>
      </c>
      <c r="K1300" s="225">
        <f t="shared" si="180"/>
        <v>0</v>
      </c>
      <c r="L1300" s="114"/>
      <c r="M1300" s="42"/>
      <c r="N1300" s="42"/>
      <c r="O1300" s="225"/>
      <c r="P1300" s="114"/>
      <c r="Q1300" s="42">
        <f t="shared" si="183"/>
        <v>50</v>
      </c>
      <c r="R1300" s="42">
        <f t="shared" si="184"/>
        <v>0</v>
      </c>
      <c r="S1300" s="244">
        <f t="shared" si="181"/>
        <v>0</v>
      </c>
    </row>
    <row r="1301" spans="2:19" ht="15" x14ac:dyDescent="0.25">
      <c r="B1301" s="67">
        <f t="shared" si="182"/>
        <v>537</v>
      </c>
      <c r="C1301" s="14"/>
      <c r="D1301" s="14"/>
      <c r="E1301" s="14">
        <v>14</v>
      </c>
      <c r="F1301" s="43"/>
      <c r="G1301" s="14"/>
      <c r="H1301" s="14" t="s">
        <v>263</v>
      </c>
      <c r="I1301" s="40">
        <f>I1302+I1303+I1304+I1311</f>
        <v>846796</v>
      </c>
      <c r="J1301" s="40">
        <f>J1302+J1303+J1304+J1311</f>
        <v>395759</v>
      </c>
      <c r="K1301" s="225">
        <f t="shared" si="180"/>
        <v>46.73604976877548</v>
      </c>
      <c r="L1301" s="175"/>
      <c r="M1301" s="40">
        <f>M1312</f>
        <v>4000</v>
      </c>
      <c r="N1301" s="40">
        <f>N1312</f>
        <v>0</v>
      </c>
      <c r="O1301" s="225">
        <f t="shared" ref="O1301:O1314" si="185">N1301/M1301*100</f>
        <v>0</v>
      </c>
      <c r="P1301" s="175"/>
      <c r="Q1301" s="40">
        <f t="shared" si="183"/>
        <v>850796</v>
      </c>
      <c r="R1301" s="40">
        <f t="shared" si="184"/>
        <v>395759</v>
      </c>
      <c r="S1301" s="244">
        <f t="shared" si="181"/>
        <v>46.516321186277324</v>
      </c>
    </row>
    <row r="1302" spans="2:19" x14ac:dyDescent="0.2">
      <c r="B1302" s="67">
        <f t="shared" si="182"/>
        <v>538</v>
      </c>
      <c r="C1302" s="11"/>
      <c r="D1302" s="11"/>
      <c r="E1302" s="11"/>
      <c r="F1302" s="45" t="s">
        <v>163</v>
      </c>
      <c r="G1302" s="11">
        <v>610</v>
      </c>
      <c r="H1302" s="11" t="s">
        <v>135</v>
      </c>
      <c r="I1302" s="42">
        <v>547819</v>
      </c>
      <c r="J1302" s="42">
        <v>265459</v>
      </c>
      <c r="K1302" s="225">
        <f t="shared" si="180"/>
        <v>48.457428457209403</v>
      </c>
      <c r="L1302" s="114"/>
      <c r="M1302" s="42"/>
      <c r="N1302" s="42"/>
      <c r="O1302" s="225"/>
      <c r="P1302" s="114"/>
      <c r="Q1302" s="42">
        <f t="shared" si="183"/>
        <v>547819</v>
      </c>
      <c r="R1302" s="42">
        <f t="shared" si="184"/>
        <v>265459</v>
      </c>
      <c r="S1302" s="244">
        <f t="shared" si="181"/>
        <v>48.457428457209403</v>
      </c>
    </row>
    <row r="1303" spans="2:19" x14ac:dyDescent="0.2">
      <c r="B1303" s="67">
        <f t="shared" si="182"/>
        <v>539</v>
      </c>
      <c r="C1303" s="11"/>
      <c r="D1303" s="11"/>
      <c r="E1303" s="11"/>
      <c r="F1303" s="45" t="s">
        <v>163</v>
      </c>
      <c r="G1303" s="11">
        <v>620</v>
      </c>
      <c r="H1303" s="11" t="s">
        <v>130</v>
      </c>
      <c r="I1303" s="42">
        <v>191327</v>
      </c>
      <c r="J1303" s="42">
        <v>91553</v>
      </c>
      <c r="K1303" s="225">
        <f t="shared" si="180"/>
        <v>47.851583937447408</v>
      </c>
      <c r="L1303" s="114"/>
      <c r="M1303" s="42"/>
      <c r="N1303" s="42"/>
      <c r="O1303" s="225"/>
      <c r="P1303" s="114"/>
      <c r="Q1303" s="42">
        <f t="shared" si="183"/>
        <v>191327</v>
      </c>
      <c r="R1303" s="42">
        <f t="shared" si="184"/>
        <v>91553</v>
      </c>
      <c r="S1303" s="244">
        <f t="shared" si="181"/>
        <v>47.851583937447408</v>
      </c>
    </row>
    <row r="1304" spans="2:19" x14ac:dyDescent="0.2">
      <c r="B1304" s="67">
        <f t="shared" si="182"/>
        <v>540</v>
      </c>
      <c r="C1304" s="11"/>
      <c r="D1304" s="11"/>
      <c r="E1304" s="11"/>
      <c r="F1304" s="45" t="s">
        <v>163</v>
      </c>
      <c r="G1304" s="11">
        <v>630</v>
      </c>
      <c r="H1304" s="11" t="s">
        <v>127</v>
      </c>
      <c r="I1304" s="42">
        <f>I1310+I1309+I1308+I1307+I1306+I1305</f>
        <v>97370</v>
      </c>
      <c r="J1304" s="42">
        <f>J1310+J1309+J1308+J1307+J1306+J1305</f>
        <v>38144</v>
      </c>
      <c r="K1304" s="225">
        <f t="shared" si="180"/>
        <v>39.174283660264969</v>
      </c>
      <c r="L1304" s="114"/>
      <c r="M1304" s="42">
        <f>M1310+M1309+M1308+M1307+M1306+M1305</f>
        <v>0</v>
      </c>
      <c r="N1304" s="42">
        <f>N1310+N1309+N1308+N1307+N1306+N1305</f>
        <v>0</v>
      </c>
      <c r="O1304" s="225"/>
      <c r="P1304" s="114"/>
      <c r="Q1304" s="42">
        <f t="shared" si="183"/>
        <v>97370</v>
      </c>
      <c r="R1304" s="42">
        <f t="shared" si="184"/>
        <v>38144</v>
      </c>
      <c r="S1304" s="244">
        <f t="shared" si="181"/>
        <v>39.174283660264969</v>
      </c>
    </row>
    <row r="1305" spans="2:19" x14ac:dyDescent="0.2">
      <c r="B1305" s="67">
        <f t="shared" si="182"/>
        <v>541</v>
      </c>
      <c r="C1305" s="2"/>
      <c r="D1305" s="2"/>
      <c r="E1305" s="2"/>
      <c r="F1305" s="46" t="s">
        <v>163</v>
      </c>
      <c r="G1305" s="2">
        <v>631</v>
      </c>
      <c r="H1305" s="2" t="s">
        <v>133</v>
      </c>
      <c r="I1305" s="22">
        <v>408</v>
      </c>
      <c r="J1305" s="22">
        <v>70</v>
      </c>
      <c r="K1305" s="225">
        <f t="shared" si="180"/>
        <v>17.156862745098039</v>
      </c>
      <c r="L1305" s="68"/>
      <c r="M1305" s="22"/>
      <c r="N1305" s="22"/>
      <c r="O1305" s="225"/>
      <c r="P1305" s="68"/>
      <c r="Q1305" s="22">
        <f t="shared" si="183"/>
        <v>408</v>
      </c>
      <c r="R1305" s="22">
        <f t="shared" si="184"/>
        <v>70</v>
      </c>
      <c r="S1305" s="244">
        <f t="shared" si="181"/>
        <v>17.156862745098039</v>
      </c>
    </row>
    <row r="1306" spans="2:19" x14ac:dyDescent="0.2">
      <c r="B1306" s="67">
        <f t="shared" si="182"/>
        <v>542</v>
      </c>
      <c r="C1306" s="2"/>
      <c r="D1306" s="2"/>
      <c r="E1306" s="2"/>
      <c r="F1306" s="46" t="s">
        <v>163</v>
      </c>
      <c r="G1306" s="2">
        <v>632</v>
      </c>
      <c r="H1306" s="2" t="s">
        <v>138</v>
      </c>
      <c r="I1306" s="22">
        <v>40066</v>
      </c>
      <c r="J1306" s="22">
        <v>12405</v>
      </c>
      <c r="K1306" s="225">
        <f t="shared" si="180"/>
        <v>30.96141366744871</v>
      </c>
      <c r="L1306" s="68"/>
      <c r="M1306" s="22"/>
      <c r="N1306" s="22"/>
      <c r="O1306" s="225"/>
      <c r="P1306" s="68"/>
      <c r="Q1306" s="22">
        <f t="shared" si="183"/>
        <v>40066</v>
      </c>
      <c r="R1306" s="22">
        <f t="shared" si="184"/>
        <v>12405</v>
      </c>
      <c r="S1306" s="244">
        <f t="shared" si="181"/>
        <v>30.96141366744871</v>
      </c>
    </row>
    <row r="1307" spans="2:19" x14ac:dyDescent="0.2">
      <c r="B1307" s="67">
        <f t="shared" si="182"/>
        <v>543</v>
      </c>
      <c r="C1307" s="2"/>
      <c r="D1307" s="2"/>
      <c r="E1307" s="2"/>
      <c r="F1307" s="46" t="s">
        <v>163</v>
      </c>
      <c r="G1307" s="2">
        <v>633</v>
      </c>
      <c r="H1307" s="2" t="s">
        <v>131</v>
      </c>
      <c r="I1307" s="22">
        <v>16035</v>
      </c>
      <c r="J1307" s="22">
        <v>5036</v>
      </c>
      <c r="K1307" s="225">
        <f t="shared" si="180"/>
        <v>31.406298721546616</v>
      </c>
      <c r="L1307" s="68"/>
      <c r="M1307" s="22"/>
      <c r="N1307" s="22"/>
      <c r="O1307" s="225"/>
      <c r="P1307" s="68"/>
      <c r="Q1307" s="22">
        <f t="shared" si="183"/>
        <v>16035</v>
      </c>
      <c r="R1307" s="22">
        <f t="shared" si="184"/>
        <v>5036</v>
      </c>
      <c r="S1307" s="244">
        <f t="shared" si="181"/>
        <v>31.406298721546616</v>
      </c>
    </row>
    <row r="1308" spans="2:19" x14ac:dyDescent="0.2">
      <c r="B1308" s="67">
        <f t="shared" si="182"/>
        <v>544</v>
      </c>
      <c r="C1308" s="2"/>
      <c r="D1308" s="2"/>
      <c r="E1308" s="2"/>
      <c r="F1308" s="46" t="s">
        <v>163</v>
      </c>
      <c r="G1308" s="2">
        <v>635</v>
      </c>
      <c r="H1308" s="2" t="s">
        <v>137</v>
      </c>
      <c r="I1308" s="22">
        <v>4733</v>
      </c>
      <c r="J1308" s="22">
        <v>1944</v>
      </c>
      <c r="K1308" s="225">
        <f t="shared" si="180"/>
        <v>41.073315022184659</v>
      </c>
      <c r="L1308" s="68"/>
      <c r="M1308" s="22"/>
      <c r="N1308" s="22"/>
      <c r="O1308" s="225"/>
      <c r="P1308" s="68"/>
      <c r="Q1308" s="22">
        <f t="shared" si="183"/>
        <v>4733</v>
      </c>
      <c r="R1308" s="22">
        <f t="shared" si="184"/>
        <v>1944</v>
      </c>
      <c r="S1308" s="244">
        <f t="shared" si="181"/>
        <v>41.073315022184659</v>
      </c>
    </row>
    <row r="1309" spans="2:19" x14ac:dyDescent="0.2">
      <c r="B1309" s="67">
        <f t="shared" si="182"/>
        <v>545</v>
      </c>
      <c r="C1309" s="2"/>
      <c r="D1309" s="2"/>
      <c r="E1309" s="2"/>
      <c r="F1309" s="46" t="s">
        <v>163</v>
      </c>
      <c r="G1309" s="2">
        <v>636</v>
      </c>
      <c r="H1309" s="2" t="s">
        <v>132</v>
      </c>
      <c r="I1309" s="22">
        <v>102</v>
      </c>
      <c r="J1309" s="22">
        <v>0</v>
      </c>
      <c r="K1309" s="225">
        <f t="shared" si="180"/>
        <v>0</v>
      </c>
      <c r="L1309" s="68"/>
      <c r="M1309" s="22"/>
      <c r="N1309" s="22"/>
      <c r="O1309" s="225"/>
      <c r="P1309" s="68"/>
      <c r="Q1309" s="22">
        <f t="shared" si="183"/>
        <v>102</v>
      </c>
      <c r="R1309" s="22">
        <f t="shared" si="184"/>
        <v>0</v>
      </c>
      <c r="S1309" s="244">
        <f t="shared" si="181"/>
        <v>0</v>
      </c>
    </row>
    <row r="1310" spans="2:19" x14ac:dyDescent="0.2">
      <c r="B1310" s="67">
        <f t="shared" si="182"/>
        <v>546</v>
      </c>
      <c r="C1310" s="2"/>
      <c r="D1310" s="2"/>
      <c r="E1310" s="2"/>
      <c r="F1310" s="46" t="s">
        <v>163</v>
      </c>
      <c r="G1310" s="2">
        <v>637</v>
      </c>
      <c r="H1310" s="2" t="s">
        <v>128</v>
      </c>
      <c r="I1310" s="22">
        <v>36026</v>
      </c>
      <c r="J1310" s="22">
        <v>18689</v>
      </c>
      <c r="K1310" s="225">
        <f t="shared" si="180"/>
        <v>51.876422583689553</v>
      </c>
      <c r="L1310" s="68"/>
      <c r="M1310" s="22"/>
      <c r="N1310" s="22"/>
      <c r="O1310" s="225"/>
      <c r="P1310" s="68"/>
      <c r="Q1310" s="22">
        <f t="shared" si="183"/>
        <v>36026</v>
      </c>
      <c r="R1310" s="22">
        <f t="shared" si="184"/>
        <v>18689</v>
      </c>
      <c r="S1310" s="244">
        <f t="shared" si="181"/>
        <v>51.876422583689553</v>
      </c>
    </row>
    <row r="1311" spans="2:19" x14ac:dyDescent="0.2">
      <c r="B1311" s="67">
        <f t="shared" si="182"/>
        <v>547</v>
      </c>
      <c r="C1311" s="11"/>
      <c r="D1311" s="11"/>
      <c r="E1311" s="11"/>
      <c r="F1311" s="45" t="s">
        <v>163</v>
      </c>
      <c r="G1311" s="11">
        <v>640</v>
      </c>
      <c r="H1311" s="11" t="s">
        <v>134</v>
      </c>
      <c r="I1311" s="42">
        <f>6630+3650</f>
        <v>10280</v>
      </c>
      <c r="J1311" s="42">
        <v>603</v>
      </c>
      <c r="K1311" s="225">
        <f t="shared" si="180"/>
        <v>5.8657587548638128</v>
      </c>
      <c r="L1311" s="114"/>
      <c r="M1311" s="42"/>
      <c r="N1311" s="42"/>
      <c r="O1311" s="225"/>
      <c r="P1311" s="114"/>
      <c r="Q1311" s="42">
        <f t="shared" si="183"/>
        <v>10280</v>
      </c>
      <c r="R1311" s="42">
        <f t="shared" si="184"/>
        <v>603</v>
      </c>
      <c r="S1311" s="244">
        <f t="shared" si="181"/>
        <v>5.8657587548638128</v>
      </c>
    </row>
    <row r="1312" spans="2:19" x14ac:dyDescent="0.2">
      <c r="B1312" s="67">
        <f t="shared" si="182"/>
        <v>548</v>
      </c>
      <c r="C1312" s="11"/>
      <c r="D1312" s="11"/>
      <c r="E1312" s="11"/>
      <c r="F1312" s="77" t="s">
        <v>163</v>
      </c>
      <c r="G1312" s="78">
        <v>717</v>
      </c>
      <c r="H1312" s="78" t="s">
        <v>193</v>
      </c>
      <c r="I1312" s="79"/>
      <c r="J1312" s="79"/>
      <c r="K1312" s="225"/>
      <c r="L1312" s="68"/>
      <c r="M1312" s="79">
        <f>M1313</f>
        <v>4000</v>
      </c>
      <c r="N1312" s="79">
        <f>N1313</f>
        <v>0</v>
      </c>
      <c r="O1312" s="225">
        <f t="shared" si="185"/>
        <v>0</v>
      </c>
      <c r="P1312" s="68"/>
      <c r="Q1312" s="79">
        <f t="shared" si="183"/>
        <v>4000</v>
      </c>
      <c r="R1312" s="79">
        <f t="shared" si="184"/>
        <v>0</v>
      </c>
      <c r="S1312" s="244">
        <f t="shared" si="181"/>
        <v>0</v>
      </c>
    </row>
    <row r="1313" spans="2:19" x14ac:dyDescent="0.2">
      <c r="B1313" s="67">
        <f t="shared" si="182"/>
        <v>549</v>
      </c>
      <c r="C1313" s="11"/>
      <c r="D1313" s="11"/>
      <c r="E1313" s="11"/>
      <c r="F1313" s="57" t="s">
        <v>163</v>
      </c>
      <c r="G1313" s="53">
        <v>717</v>
      </c>
      <c r="H1313" s="53" t="s">
        <v>648</v>
      </c>
      <c r="I1313" s="51"/>
      <c r="J1313" s="51"/>
      <c r="K1313" s="225"/>
      <c r="L1313" s="68"/>
      <c r="M1313" s="51">
        <v>4000</v>
      </c>
      <c r="N1313" s="51"/>
      <c r="O1313" s="225">
        <f t="shared" si="185"/>
        <v>0</v>
      </c>
      <c r="P1313" s="68"/>
      <c r="Q1313" s="51">
        <f t="shared" si="183"/>
        <v>4000</v>
      </c>
      <c r="R1313" s="51">
        <f t="shared" si="184"/>
        <v>0</v>
      </c>
      <c r="S1313" s="244">
        <f t="shared" si="181"/>
        <v>0</v>
      </c>
    </row>
    <row r="1314" spans="2:19" ht="15" x14ac:dyDescent="0.2">
      <c r="B1314" s="67">
        <f t="shared" si="182"/>
        <v>550</v>
      </c>
      <c r="C1314" s="166">
        <v>4</v>
      </c>
      <c r="D1314" s="325" t="s">
        <v>166</v>
      </c>
      <c r="E1314" s="326"/>
      <c r="F1314" s="326"/>
      <c r="G1314" s="326"/>
      <c r="H1314" s="327"/>
      <c r="I1314" s="38">
        <f>I1315+I1321+I1428+I1445+I1467+I1484+I1501+I1522+I1546+I1462</f>
        <v>1176236</v>
      </c>
      <c r="J1314" s="38">
        <f>J1315+J1321+J1428+J1445+J1467+J1484+J1501+J1522+J1546+J1462</f>
        <v>521087</v>
      </c>
      <c r="K1314" s="225">
        <f t="shared" si="180"/>
        <v>44.301228664995804</v>
      </c>
      <c r="L1314" s="173"/>
      <c r="M1314" s="38">
        <f>M1315+M1321+M1428+M1445+M1467+M1484+M1501+M1522+M1546+M1462</f>
        <v>50000</v>
      </c>
      <c r="N1314" s="38">
        <f>N1315+N1321+N1428+N1445+N1467+N1484+N1501+N1522+N1546+N1462</f>
        <v>0</v>
      </c>
      <c r="O1314" s="225">
        <f t="shared" si="185"/>
        <v>0</v>
      </c>
      <c r="P1314" s="173"/>
      <c r="Q1314" s="38">
        <f t="shared" si="183"/>
        <v>1226236</v>
      </c>
      <c r="R1314" s="38">
        <f t="shared" si="184"/>
        <v>521087</v>
      </c>
      <c r="S1314" s="244">
        <f t="shared" si="181"/>
        <v>42.49483786155357</v>
      </c>
    </row>
    <row r="1315" spans="2:19" x14ac:dyDescent="0.2">
      <c r="B1315" s="67">
        <f t="shared" si="182"/>
        <v>551</v>
      </c>
      <c r="C1315" s="11"/>
      <c r="D1315" s="11"/>
      <c r="E1315" s="11"/>
      <c r="F1315" s="45" t="s">
        <v>165</v>
      </c>
      <c r="G1315" s="11">
        <v>640</v>
      </c>
      <c r="H1315" s="11" t="s">
        <v>134</v>
      </c>
      <c r="I1315" s="42">
        <f>SUM(I1316:I1320)</f>
        <v>59480</v>
      </c>
      <c r="J1315" s="42">
        <f>SUM(J1316:J1320)</f>
        <v>29748</v>
      </c>
      <c r="K1315" s="225">
        <f t="shared" si="180"/>
        <v>50.01344989912576</v>
      </c>
      <c r="L1315" s="114"/>
      <c r="M1315" s="42"/>
      <c r="N1315" s="42"/>
      <c r="O1315" s="225"/>
      <c r="P1315" s="114"/>
      <c r="Q1315" s="42">
        <f t="shared" si="183"/>
        <v>59480</v>
      </c>
      <c r="R1315" s="42">
        <f t="shared" si="184"/>
        <v>29748</v>
      </c>
      <c r="S1315" s="244">
        <f t="shared" si="181"/>
        <v>50.01344989912576</v>
      </c>
    </row>
    <row r="1316" spans="2:19" x14ac:dyDescent="0.2">
      <c r="B1316" s="67">
        <f t="shared" si="182"/>
        <v>552</v>
      </c>
      <c r="C1316" s="11"/>
      <c r="D1316" s="11"/>
      <c r="E1316" s="11"/>
      <c r="F1316" s="45"/>
      <c r="G1316" s="11"/>
      <c r="H1316" s="53" t="s">
        <v>380</v>
      </c>
      <c r="I1316" s="51">
        <v>24921</v>
      </c>
      <c r="J1316" s="51">
        <v>12462</v>
      </c>
      <c r="K1316" s="225">
        <f t="shared" si="180"/>
        <v>50.00601902010353</v>
      </c>
      <c r="L1316" s="68"/>
      <c r="M1316" s="51"/>
      <c r="N1316" s="51"/>
      <c r="O1316" s="225"/>
      <c r="P1316" s="68"/>
      <c r="Q1316" s="51">
        <f t="shared" si="183"/>
        <v>24921</v>
      </c>
      <c r="R1316" s="51">
        <f t="shared" si="184"/>
        <v>12462</v>
      </c>
      <c r="S1316" s="244">
        <f t="shared" si="181"/>
        <v>50.00601902010353</v>
      </c>
    </row>
    <row r="1317" spans="2:19" x14ac:dyDescent="0.2">
      <c r="B1317" s="67">
        <f t="shared" si="182"/>
        <v>553</v>
      </c>
      <c r="C1317" s="11"/>
      <c r="D1317" s="11"/>
      <c r="E1317" s="11"/>
      <c r="F1317" s="45"/>
      <c r="G1317" s="11"/>
      <c r="H1317" s="53" t="s">
        <v>381</v>
      </c>
      <c r="I1317" s="51">
        <v>20239</v>
      </c>
      <c r="J1317" s="51">
        <v>10122</v>
      </c>
      <c r="K1317" s="225">
        <f t="shared" si="180"/>
        <v>50.012352388952017</v>
      </c>
      <c r="L1317" s="68"/>
      <c r="M1317" s="51"/>
      <c r="N1317" s="51"/>
      <c r="O1317" s="225"/>
      <c r="P1317" s="68"/>
      <c r="Q1317" s="51">
        <f t="shared" si="183"/>
        <v>20239</v>
      </c>
      <c r="R1317" s="51">
        <f t="shared" si="184"/>
        <v>10122</v>
      </c>
      <c r="S1317" s="244">
        <f t="shared" si="181"/>
        <v>50.012352388952017</v>
      </c>
    </row>
    <row r="1318" spans="2:19" x14ac:dyDescent="0.2">
      <c r="B1318" s="67">
        <f t="shared" si="182"/>
        <v>554</v>
      </c>
      <c r="C1318" s="11"/>
      <c r="D1318" s="11"/>
      <c r="E1318" s="11"/>
      <c r="F1318" s="45"/>
      <c r="G1318" s="11"/>
      <c r="H1318" s="53" t="s">
        <v>547</v>
      </c>
      <c r="I1318" s="51">
        <v>6334</v>
      </c>
      <c r="J1318" s="51">
        <v>3168</v>
      </c>
      <c r="K1318" s="225">
        <f t="shared" si="180"/>
        <v>50.01578781180929</v>
      </c>
      <c r="L1318" s="68"/>
      <c r="M1318" s="51"/>
      <c r="N1318" s="51"/>
      <c r="O1318" s="225"/>
      <c r="P1318" s="68"/>
      <c r="Q1318" s="51"/>
      <c r="R1318" s="51">
        <f t="shared" si="184"/>
        <v>3168</v>
      </c>
      <c r="S1318" s="244"/>
    </row>
    <row r="1319" spans="2:19" x14ac:dyDescent="0.2">
      <c r="B1319" s="67">
        <f t="shared" si="182"/>
        <v>555</v>
      </c>
      <c r="C1319" s="11"/>
      <c r="D1319" s="11"/>
      <c r="E1319" s="11"/>
      <c r="F1319" s="45"/>
      <c r="G1319" s="11"/>
      <c r="H1319" s="53" t="s">
        <v>247</v>
      </c>
      <c r="I1319" s="51">
        <v>6609</v>
      </c>
      <c r="J1319" s="51">
        <v>3306</v>
      </c>
      <c r="K1319" s="225">
        <f t="shared" si="180"/>
        <v>50.022696323195646</v>
      </c>
      <c r="L1319" s="68"/>
      <c r="M1319" s="51"/>
      <c r="N1319" s="51"/>
      <c r="O1319" s="225"/>
      <c r="P1319" s="68"/>
      <c r="Q1319" s="51">
        <f t="shared" si="183"/>
        <v>6609</v>
      </c>
      <c r="R1319" s="51">
        <f t="shared" ref="R1319:R1389" si="186">N1319+J1319</f>
        <v>3306</v>
      </c>
      <c r="S1319" s="244">
        <f t="shared" si="181"/>
        <v>50.022696323195646</v>
      </c>
    </row>
    <row r="1320" spans="2:19" x14ac:dyDescent="0.2">
      <c r="B1320" s="67">
        <f t="shared" si="182"/>
        <v>556</v>
      </c>
      <c r="C1320" s="11"/>
      <c r="D1320" s="11"/>
      <c r="E1320" s="11"/>
      <c r="F1320" s="45"/>
      <c r="G1320" s="11"/>
      <c r="H1320" s="53" t="s">
        <v>290</v>
      </c>
      <c r="I1320" s="51">
        <v>1377</v>
      </c>
      <c r="J1320" s="51">
        <v>690</v>
      </c>
      <c r="K1320" s="225">
        <f t="shared" si="180"/>
        <v>50.108932461873636</v>
      </c>
      <c r="L1320" s="68"/>
      <c r="M1320" s="51"/>
      <c r="N1320" s="51"/>
      <c r="O1320" s="225"/>
      <c r="P1320" s="68"/>
      <c r="Q1320" s="51">
        <f t="shared" si="183"/>
        <v>1377</v>
      </c>
      <c r="R1320" s="51">
        <f t="shared" si="186"/>
        <v>690</v>
      </c>
      <c r="S1320" s="244">
        <f t="shared" si="181"/>
        <v>50.108932461873636</v>
      </c>
    </row>
    <row r="1321" spans="2:19" ht="15" x14ac:dyDescent="0.25">
      <c r="B1321" s="67">
        <f t="shared" si="182"/>
        <v>557</v>
      </c>
      <c r="C1321" s="14"/>
      <c r="D1321" s="14"/>
      <c r="E1321" s="14">
        <v>4</v>
      </c>
      <c r="F1321" s="43"/>
      <c r="G1321" s="14"/>
      <c r="H1321" s="14" t="s">
        <v>84</v>
      </c>
      <c r="I1321" s="40">
        <f>I1419+I1412+I1404+I1397+I1390+I1382+I1375+I1367+I1359+I1352+I1345+I1337+I1329+I1322</f>
        <v>396507</v>
      </c>
      <c r="J1321" s="40">
        <f>J1419+J1412+J1404+J1397+J1390+J1382+J1375+J1367+J1359+J1352+J1345+J1337+J1329+J1322</f>
        <v>174445</v>
      </c>
      <c r="K1321" s="225">
        <f t="shared" si="180"/>
        <v>43.995440181383941</v>
      </c>
      <c r="L1321" s="175"/>
      <c r="M1321" s="40">
        <f>M1419+M1412+M1404+M1397+M1390+M1382+M1375+M1367+M1359+M1352+M1345+M1337+M1329+M1322</f>
        <v>0</v>
      </c>
      <c r="N1321" s="40">
        <f>N1419+N1412+N1404+N1397+N1390+N1382+N1375+N1367+N1359+N1352+N1345+N1337+N1329+N1322</f>
        <v>0</v>
      </c>
      <c r="O1321" s="225"/>
      <c r="P1321" s="175"/>
      <c r="Q1321" s="40">
        <f t="shared" si="183"/>
        <v>396507</v>
      </c>
      <c r="R1321" s="40">
        <f t="shared" si="186"/>
        <v>174445</v>
      </c>
      <c r="S1321" s="244">
        <f t="shared" si="181"/>
        <v>43.995440181383941</v>
      </c>
    </row>
    <row r="1322" spans="2:19" x14ac:dyDescent="0.2">
      <c r="B1322" s="67">
        <f t="shared" si="182"/>
        <v>558</v>
      </c>
      <c r="C1322" s="10"/>
      <c r="D1322" s="10"/>
      <c r="E1322" s="10" t="s">
        <v>94</v>
      </c>
      <c r="F1322" s="44"/>
      <c r="G1322" s="10"/>
      <c r="H1322" s="10" t="s">
        <v>63</v>
      </c>
      <c r="I1322" s="41">
        <f>I1323+I1324+I1325</f>
        <v>20430</v>
      </c>
      <c r="J1322" s="41">
        <f>J1323+J1324+J1325</f>
        <v>9742</v>
      </c>
      <c r="K1322" s="225">
        <f t="shared" si="180"/>
        <v>47.684777288301518</v>
      </c>
      <c r="L1322" s="114"/>
      <c r="M1322" s="41">
        <f>M1325+M1324+M1323</f>
        <v>0</v>
      </c>
      <c r="N1322" s="41">
        <f>N1325+N1324+N1323</f>
        <v>0</v>
      </c>
      <c r="O1322" s="225"/>
      <c r="P1322" s="114"/>
      <c r="Q1322" s="41">
        <f t="shared" si="183"/>
        <v>20430</v>
      </c>
      <c r="R1322" s="41">
        <f t="shared" si="186"/>
        <v>9742</v>
      </c>
      <c r="S1322" s="244">
        <f t="shared" si="181"/>
        <v>47.684777288301518</v>
      </c>
    </row>
    <row r="1323" spans="2:19" x14ac:dyDescent="0.2">
      <c r="B1323" s="67">
        <f t="shared" si="182"/>
        <v>559</v>
      </c>
      <c r="C1323" s="11"/>
      <c r="D1323" s="11"/>
      <c r="E1323" s="11"/>
      <c r="F1323" s="45" t="s">
        <v>165</v>
      </c>
      <c r="G1323" s="11">
        <v>610</v>
      </c>
      <c r="H1323" s="11" t="s">
        <v>135</v>
      </c>
      <c r="I1323" s="42">
        <f>11600+1400</f>
        <v>13000</v>
      </c>
      <c r="J1323" s="42">
        <v>6579</v>
      </c>
      <c r="K1323" s="225">
        <f t="shared" si="180"/>
        <v>50.607692307692311</v>
      </c>
      <c r="L1323" s="114"/>
      <c r="M1323" s="42"/>
      <c r="N1323" s="42"/>
      <c r="O1323" s="225"/>
      <c r="P1323" s="114"/>
      <c r="Q1323" s="42">
        <f t="shared" si="183"/>
        <v>13000</v>
      </c>
      <c r="R1323" s="42">
        <f t="shared" si="186"/>
        <v>6579</v>
      </c>
      <c r="S1323" s="244">
        <f t="shared" si="181"/>
        <v>50.607692307692311</v>
      </c>
    </row>
    <row r="1324" spans="2:19" x14ac:dyDescent="0.2">
      <c r="B1324" s="67">
        <f t="shared" si="182"/>
        <v>560</v>
      </c>
      <c r="C1324" s="11"/>
      <c r="D1324" s="11"/>
      <c r="E1324" s="11"/>
      <c r="F1324" s="45" t="s">
        <v>165</v>
      </c>
      <c r="G1324" s="11">
        <v>620</v>
      </c>
      <c r="H1324" s="11" t="s">
        <v>130</v>
      </c>
      <c r="I1324" s="42">
        <f>4310+500</f>
        <v>4810</v>
      </c>
      <c r="J1324" s="42">
        <v>2274</v>
      </c>
      <c r="K1324" s="225">
        <f t="shared" si="180"/>
        <v>47.276507276507282</v>
      </c>
      <c r="L1324" s="114"/>
      <c r="M1324" s="42"/>
      <c r="N1324" s="42"/>
      <c r="O1324" s="225"/>
      <c r="P1324" s="114"/>
      <c r="Q1324" s="42">
        <f t="shared" si="183"/>
        <v>4810</v>
      </c>
      <c r="R1324" s="42">
        <f t="shared" si="186"/>
        <v>2274</v>
      </c>
      <c r="S1324" s="244">
        <f t="shared" si="181"/>
        <v>47.276507276507282</v>
      </c>
    </row>
    <row r="1325" spans="2:19" x14ac:dyDescent="0.2">
      <c r="B1325" s="67">
        <f t="shared" si="182"/>
        <v>561</v>
      </c>
      <c r="C1325" s="11"/>
      <c r="D1325" s="11"/>
      <c r="E1325" s="11"/>
      <c r="F1325" s="45" t="s">
        <v>165</v>
      </c>
      <c r="G1325" s="11">
        <v>630</v>
      </c>
      <c r="H1325" s="11" t="s">
        <v>127</v>
      </c>
      <c r="I1325" s="42">
        <f>I1328+I1327+I1326</f>
        <v>2620</v>
      </c>
      <c r="J1325" s="42">
        <f>J1328+J1327+J1326</f>
        <v>889</v>
      </c>
      <c r="K1325" s="225">
        <f t="shared" si="180"/>
        <v>33.931297709923662</v>
      </c>
      <c r="L1325" s="114"/>
      <c r="M1325" s="42">
        <f>M1328+M1327+M1326</f>
        <v>0</v>
      </c>
      <c r="N1325" s="42">
        <f>N1328+N1327+N1326</f>
        <v>0</v>
      </c>
      <c r="O1325" s="225"/>
      <c r="P1325" s="114"/>
      <c r="Q1325" s="42">
        <f t="shared" si="183"/>
        <v>2620</v>
      </c>
      <c r="R1325" s="42">
        <f t="shared" si="186"/>
        <v>889</v>
      </c>
      <c r="S1325" s="244">
        <f t="shared" si="181"/>
        <v>33.931297709923662</v>
      </c>
    </row>
    <row r="1326" spans="2:19" x14ac:dyDescent="0.2">
      <c r="B1326" s="67">
        <f t="shared" si="182"/>
        <v>562</v>
      </c>
      <c r="C1326" s="2"/>
      <c r="D1326" s="2"/>
      <c r="E1326" s="2"/>
      <c r="F1326" s="46" t="s">
        <v>165</v>
      </c>
      <c r="G1326" s="2">
        <v>633</v>
      </c>
      <c r="H1326" s="2" t="s">
        <v>131</v>
      </c>
      <c r="I1326" s="22">
        <v>1650</v>
      </c>
      <c r="J1326" s="22">
        <v>716</v>
      </c>
      <c r="K1326" s="225">
        <f t="shared" si="180"/>
        <v>43.393939393939398</v>
      </c>
      <c r="L1326" s="68"/>
      <c r="M1326" s="22"/>
      <c r="N1326" s="22"/>
      <c r="O1326" s="225"/>
      <c r="P1326" s="68"/>
      <c r="Q1326" s="22">
        <f t="shared" si="183"/>
        <v>1650</v>
      </c>
      <c r="R1326" s="22">
        <f t="shared" si="186"/>
        <v>716</v>
      </c>
      <c r="S1326" s="244">
        <f t="shared" si="181"/>
        <v>43.393939393939398</v>
      </c>
    </row>
    <row r="1327" spans="2:19" x14ac:dyDescent="0.2">
      <c r="B1327" s="67">
        <f t="shared" si="182"/>
        <v>563</v>
      </c>
      <c r="C1327" s="2"/>
      <c r="D1327" s="2"/>
      <c r="E1327" s="2"/>
      <c r="F1327" s="46" t="s">
        <v>165</v>
      </c>
      <c r="G1327" s="2">
        <v>635</v>
      </c>
      <c r="H1327" s="2" t="s">
        <v>137</v>
      </c>
      <c r="I1327" s="22">
        <v>100</v>
      </c>
      <c r="J1327" s="22">
        <v>0</v>
      </c>
      <c r="K1327" s="225">
        <f t="shared" si="180"/>
        <v>0</v>
      </c>
      <c r="L1327" s="68"/>
      <c r="M1327" s="22"/>
      <c r="N1327" s="22"/>
      <c r="O1327" s="225"/>
      <c r="P1327" s="68"/>
      <c r="Q1327" s="22">
        <f t="shared" si="183"/>
        <v>100</v>
      </c>
      <c r="R1327" s="22">
        <f t="shared" si="186"/>
        <v>0</v>
      </c>
      <c r="S1327" s="244">
        <f t="shared" si="181"/>
        <v>0</v>
      </c>
    </row>
    <row r="1328" spans="2:19" x14ac:dyDescent="0.2">
      <c r="B1328" s="67">
        <f t="shared" si="182"/>
        <v>564</v>
      </c>
      <c r="C1328" s="2"/>
      <c r="D1328" s="2"/>
      <c r="E1328" s="2"/>
      <c r="F1328" s="46" t="s">
        <v>165</v>
      </c>
      <c r="G1328" s="2">
        <v>637</v>
      </c>
      <c r="H1328" s="2" t="s">
        <v>128</v>
      </c>
      <c r="I1328" s="22">
        <v>870</v>
      </c>
      <c r="J1328" s="22">
        <v>173</v>
      </c>
      <c r="K1328" s="225">
        <f t="shared" si="180"/>
        <v>19.885057471264368</v>
      </c>
      <c r="L1328" s="68"/>
      <c r="M1328" s="22"/>
      <c r="N1328" s="22"/>
      <c r="O1328" s="225"/>
      <c r="P1328" s="68"/>
      <c r="Q1328" s="22">
        <f t="shared" si="183"/>
        <v>870</v>
      </c>
      <c r="R1328" s="22">
        <f t="shared" si="186"/>
        <v>173</v>
      </c>
      <c r="S1328" s="244">
        <f t="shared" si="181"/>
        <v>19.885057471264368</v>
      </c>
    </row>
    <row r="1329" spans="2:19" x14ac:dyDescent="0.2">
      <c r="B1329" s="67">
        <f t="shared" si="182"/>
        <v>565</v>
      </c>
      <c r="C1329" s="10"/>
      <c r="D1329" s="10"/>
      <c r="E1329" s="10" t="s">
        <v>93</v>
      </c>
      <c r="F1329" s="44"/>
      <c r="G1329" s="10"/>
      <c r="H1329" s="10" t="s">
        <v>11</v>
      </c>
      <c r="I1329" s="41">
        <f>I1332+I1331+I1330+I1336</f>
        <v>25160</v>
      </c>
      <c r="J1329" s="41">
        <f>J1332+J1331+J1330+J1336</f>
        <v>11516</v>
      </c>
      <c r="K1329" s="225">
        <f t="shared" si="180"/>
        <v>45.771065182829886</v>
      </c>
      <c r="L1329" s="114"/>
      <c r="M1329" s="41">
        <v>0</v>
      </c>
      <c r="N1329" s="41"/>
      <c r="O1329" s="225"/>
      <c r="P1329" s="114"/>
      <c r="Q1329" s="41">
        <f t="shared" si="183"/>
        <v>25160</v>
      </c>
      <c r="R1329" s="41">
        <f t="shared" si="186"/>
        <v>11516</v>
      </c>
      <c r="S1329" s="244">
        <f t="shared" si="181"/>
        <v>45.771065182829886</v>
      </c>
    </row>
    <row r="1330" spans="2:19" x14ac:dyDescent="0.2">
      <c r="B1330" s="67">
        <f t="shared" si="182"/>
        <v>566</v>
      </c>
      <c r="C1330" s="11"/>
      <c r="D1330" s="11"/>
      <c r="E1330" s="11"/>
      <c r="F1330" s="45" t="s">
        <v>165</v>
      </c>
      <c r="G1330" s="11">
        <v>610</v>
      </c>
      <c r="H1330" s="11" t="s">
        <v>135</v>
      </c>
      <c r="I1330" s="42">
        <v>16400</v>
      </c>
      <c r="J1330" s="42">
        <v>7710</v>
      </c>
      <c r="K1330" s="225">
        <f t="shared" si="180"/>
        <v>47.012195121951216</v>
      </c>
      <c r="L1330" s="114"/>
      <c r="M1330" s="42"/>
      <c r="N1330" s="42"/>
      <c r="O1330" s="225"/>
      <c r="P1330" s="114"/>
      <c r="Q1330" s="42">
        <f t="shared" si="183"/>
        <v>16400</v>
      </c>
      <c r="R1330" s="42">
        <f t="shared" si="186"/>
        <v>7710</v>
      </c>
      <c r="S1330" s="244">
        <f t="shared" si="181"/>
        <v>47.012195121951216</v>
      </c>
    </row>
    <row r="1331" spans="2:19" x14ac:dyDescent="0.2">
      <c r="B1331" s="67">
        <f t="shared" si="182"/>
        <v>567</v>
      </c>
      <c r="C1331" s="11"/>
      <c r="D1331" s="11"/>
      <c r="E1331" s="11"/>
      <c r="F1331" s="45" t="s">
        <v>165</v>
      </c>
      <c r="G1331" s="11">
        <v>620</v>
      </c>
      <c r="H1331" s="11" t="s">
        <v>130</v>
      </c>
      <c r="I1331" s="42">
        <v>6095</v>
      </c>
      <c r="J1331" s="42">
        <v>2663</v>
      </c>
      <c r="K1331" s="225">
        <f t="shared" si="180"/>
        <v>43.691550451189499</v>
      </c>
      <c r="L1331" s="114"/>
      <c r="M1331" s="42"/>
      <c r="N1331" s="42"/>
      <c r="O1331" s="225"/>
      <c r="P1331" s="114"/>
      <c r="Q1331" s="42">
        <f t="shared" si="183"/>
        <v>6095</v>
      </c>
      <c r="R1331" s="42">
        <f t="shared" si="186"/>
        <v>2663</v>
      </c>
      <c r="S1331" s="244">
        <f t="shared" si="181"/>
        <v>43.691550451189499</v>
      </c>
    </row>
    <row r="1332" spans="2:19" x14ac:dyDescent="0.2">
      <c r="B1332" s="67">
        <f t="shared" si="182"/>
        <v>568</v>
      </c>
      <c r="C1332" s="11"/>
      <c r="D1332" s="11"/>
      <c r="E1332" s="11"/>
      <c r="F1332" s="45" t="s">
        <v>165</v>
      </c>
      <c r="G1332" s="11">
        <v>630</v>
      </c>
      <c r="H1332" s="11" t="s">
        <v>127</v>
      </c>
      <c r="I1332" s="42">
        <f>I1335+I1334+I1333</f>
        <v>2665</v>
      </c>
      <c r="J1332" s="42">
        <f>J1335+J1334+J1333</f>
        <v>1076</v>
      </c>
      <c r="K1332" s="225">
        <f t="shared" si="180"/>
        <v>40.37523452157599</v>
      </c>
      <c r="L1332" s="114"/>
      <c r="M1332" s="42">
        <f>M1335+M1334+M1333</f>
        <v>0</v>
      </c>
      <c r="N1332" s="42">
        <f>N1335+N1334+N1333</f>
        <v>0</v>
      </c>
      <c r="O1332" s="225"/>
      <c r="P1332" s="114"/>
      <c r="Q1332" s="42">
        <f t="shared" si="183"/>
        <v>2665</v>
      </c>
      <c r="R1332" s="42">
        <f t="shared" si="186"/>
        <v>1076</v>
      </c>
      <c r="S1332" s="244">
        <f t="shared" si="181"/>
        <v>40.37523452157599</v>
      </c>
    </row>
    <row r="1333" spans="2:19" x14ac:dyDescent="0.2">
      <c r="B1333" s="67">
        <f t="shared" si="182"/>
        <v>569</v>
      </c>
      <c r="C1333" s="2"/>
      <c r="D1333" s="2"/>
      <c r="E1333" s="2"/>
      <c r="F1333" s="46" t="s">
        <v>165</v>
      </c>
      <c r="G1333" s="2">
        <v>633</v>
      </c>
      <c r="H1333" s="2" t="s">
        <v>131</v>
      </c>
      <c r="I1333" s="22">
        <v>1550</v>
      </c>
      <c r="J1333" s="22">
        <v>865</v>
      </c>
      <c r="K1333" s="225">
        <f t="shared" si="180"/>
        <v>55.806451612903231</v>
      </c>
      <c r="L1333" s="68"/>
      <c r="M1333" s="22"/>
      <c r="N1333" s="22"/>
      <c r="O1333" s="225"/>
      <c r="P1333" s="68"/>
      <c r="Q1333" s="22">
        <f t="shared" si="183"/>
        <v>1550</v>
      </c>
      <c r="R1333" s="22">
        <f t="shared" si="186"/>
        <v>865</v>
      </c>
      <c r="S1333" s="244">
        <f t="shared" si="181"/>
        <v>55.806451612903231</v>
      </c>
    </row>
    <row r="1334" spans="2:19" x14ac:dyDescent="0.2">
      <c r="B1334" s="67">
        <f t="shared" si="182"/>
        <v>570</v>
      </c>
      <c r="C1334" s="2"/>
      <c r="D1334" s="2"/>
      <c r="E1334" s="2"/>
      <c r="F1334" s="46" t="s">
        <v>165</v>
      </c>
      <c r="G1334" s="2">
        <v>635</v>
      </c>
      <c r="H1334" s="2" t="s">
        <v>137</v>
      </c>
      <c r="I1334" s="22">
        <v>150</v>
      </c>
      <c r="J1334" s="22">
        <v>0</v>
      </c>
      <c r="K1334" s="225">
        <f t="shared" si="180"/>
        <v>0</v>
      </c>
      <c r="L1334" s="68"/>
      <c r="M1334" s="22"/>
      <c r="N1334" s="22"/>
      <c r="O1334" s="225"/>
      <c r="P1334" s="68"/>
      <c r="Q1334" s="22">
        <f t="shared" si="183"/>
        <v>150</v>
      </c>
      <c r="R1334" s="22">
        <f t="shared" si="186"/>
        <v>0</v>
      </c>
      <c r="S1334" s="244">
        <f t="shared" si="181"/>
        <v>0</v>
      </c>
    </row>
    <row r="1335" spans="2:19" x14ac:dyDescent="0.2">
      <c r="B1335" s="67">
        <f t="shared" si="182"/>
        <v>571</v>
      </c>
      <c r="C1335" s="2"/>
      <c r="D1335" s="2"/>
      <c r="E1335" s="2"/>
      <c r="F1335" s="46" t="s">
        <v>165</v>
      </c>
      <c r="G1335" s="2">
        <v>637</v>
      </c>
      <c r="H1335" s="2" t="s">
        <v>128</v>
      </c>
      <c r="I1335" s="22">
        <v>965</v>
      </c>
      <c r="J1335" s="22">
        <v>211</v>
      </c>
      <c r="K1335" s="225">
        <f t="shared" si="180"/>
        <v>21.865284974093264</v>
      </c>
      <c r="L1335" s="68"/>
      <c r="M1335" s="22"/>
      <c r="N1335" s="22"/>
      <c r="O1335" s="225"/>
      <c r="P1335" s="68"/>
      <c r="Q1335" s="22">
        <f t="shared" si="183"/>
        <v>965</v>
      </c>
      <c r="R1335" s="22">
        <f t="shared" si="186"/>
        <v>211</v>
      </c>
      <c r="S1335" s="244">
        <f t="shared" si="181"/>
        <v>21.865284974093264</v>
      </c>
    </row>
    <row r="1336" spans="2:19" x14ac:dyDescent="0.2">
      <c r="B1336" s="67">
        <f t="shared" si="182"/>
        <v>572</v>
      </c>
      <c r="C1336" s="2"/>
      <c r="D1336" s="2"/>
      <c r="E1336" s="2"/>
      <c r="F1336" s="45" t="s">
        <v>165</v>
      </c>
      <c r="G1336" s="11">
        <v>640</v>
      </c>
      <c r="H1336" s="11" t="s">
        <v>134</v>
      </c>
      <c r="I1336" s="42">
        <v>0</v>
      </c>
      <c r="J1336" s="42">
        <v>67</v>
      </c>
      <c r="K1336" s="225"/>
      <c r="L1336" s="114"/>
      <c r="M1336" s="42"/>
      <c r="N1336" s="42"/>
      <c r="O1336" s="225"/>
      <c r="P1336" s="114"/>
      <c r="Q1336" s="42">
        <f t="shared" ref="Q1336" si="187">M1336+I1336</f>
        <v>0</v>
      </c>
      <c r="R1336" s="42">
        <f t="shared" si="186"/>
        <v>67</v>
      </c>
      <c r="S1336" s="244">
        <v>0</v>
      </c>
    </row>
    <row r="1337" spans="2:19" x14ac:dyDescent="0.2">
      <c r="B1337" s="67">
        <f t="shared" si="182"/>
        <v>573</v>
      </c>
      <c r="C1337" s="10"/>
      <c r="D1337" s="10"/>
      <c r="E1337" s="10" t="s">
        <v>87</v>
      </c>
      <c r="F1337" s="44"/>
      <c r="G1337" s="10"/>
      <c r="H1337" s="10" t="s">
        <v>62</v>
      </c>
      <c r="I1337" s="41">
        <f>I1340+I1339+I1338</f>
        <v>18879</v>
      </c>
      <c r="J1337" s="41">
        <f>J1340+J1339+J1338+J1344</f>
        <v>8676</v>
      </c>
      <c r="K1337" s="225">
        <f t="shared" si="180"/>
        <v>45.955823931352299</v>
      </c>
      <c r="L1337" s="114"/>
      <c r="M1337" s="41">
        <v>0</v>
      </c>
      <c r="N1337" s="41"/>
      <c r="O1337" s="225"/>
      <c r="P1337" s="114"/>
      <c r="Q1337" s="41">
        <f t="shared" si="183"/>
        <v>18879</v>
      </c>
      <c r="R1337" s="41">
        <f t="shared" si="186"/>
        <v>8676</v>
      </c>
      <c r="S1337" s="244">
        <f t="shared" si="181"/>
        <v>45.955823931352299</v>
      </c>
    </row>
    <row r="1338" spans="2:19" x14ac:dyDescent="0.2">
      <c r="B1338" s="67">
        <f t="shared" si="182"/>
        <v>574</v>
      </c>
      <c r="C1338" s="11"/>
      <c r="D1338" s="11"/>
      <c r="E1338" s="11"/>
      <c r="F1338" s="45" t="s">
        <v>165</v>
      </c>
      <c r="G1338" s="11">
        <v>610</v>
      </c>
      <c r="H1338" s="11" t="s">
        <v>135</v>
      </c>
      <c r="I1338" s="42">
        <f>10924+1000</f>
        <v>11924</v>
      </c>
      <c r="J1338" s="42">
        <v>5654</v>
      </c>
      <c r="K1338" s="225">
        <f t="shared" si="180"/>
        <v>47.4169741697417</v>
      </c>
      <c r="L1338" s="114"/>
      <c r="M1338" s="42"/>
      <c r="N1338" s="42"/>
      <c r="O1338" s="225"/>
      <c r="P1338" s="114"/>
      <c r="Q1338" s="42">
        <f t="shared" si="183"/>
        <v>11924</v>
      </c>
      <c r="R1338" s="42">
        <f t="shared" si="186"/>
        <v>5654</v>
      </c>
      <c r="S1338" s="244">
        <f t="shared" si="181"/>
        <v>47.4169741697417</v>
      </c>
    </row>
    <row r="1339" spans="2:19" x14ac:dyDescent="0.2">
      <c r="B1339" s="67">
        <f t="shared" si="182"/>
        <v>575</v>
      </c>
      <c r="C1339" s="11"/>
      <c r="D1339" s="11"/>
      <c r="E1339" s="11"/>
      <c r="F1339" s="45" t="s">
        <v>165</v>
      </c>
      <c r="G1339" s="11">
        <v>620</v>
      </c>
      <c r="H1339" s="11" t="s">
        <v>130</v>
      </c>
      <c r="I1339" s="42">
        <v>4475</v>
      </c>
      <c r="J1339" s="42">
        <v>2038</v>
      </c>
      <c r="K1339" s="225">
        <f t="shared" si="180"/>
        <v>45.541899441340782</v>
      </c>
      <c r="L1339" s="114"/>
      <c r="M1339" s="42"/>
      <c r="N1339" s="42"/>
      <c r="O1339" s="225"/>
      <c r="P1339" s="114"/>
      <c r="Q1339" s="42">
        <f t="shared" si="183"/>
        <v>4475</v>
      </c>
      <c r="R1339" s="42">
        <f t="shared" si="186"/>
        <v>2038</v>
      </c>
      <c r="S1339" s="244">
        <f t="shared" si="181"/>
        <v>45.541899441340782</v>
      </c>
    </row>
    <row r="1340" spans="2:19" x14ac:dyDescent="0.2">
      <c r="B1340" s="67">
        <f t="shared" si="182"/>
        <v>576</v>
      </c>
      <c r="C1340" s="11"/>
      <c r="D1340" s="11"/>
      <c r="E1340" s="11"/>
      <c r="F1340" s="45" t="s">
        <v>165</v>
      </c>
      <c r="G1340" s="11">
        <v>630</v>
      </c>
      <c r="H1340" s="11" t="s">
        <v>127</v>
      </c>
      <c r="I1340" s="42">
        <f>I1343+I1342+I1341</f>
        <v>2480</v>
      </c>
      <c r="J1340" s="42">
        <f>J1343+J1342+J1341</f>
        <v>957</v>
      </c>
      <c r="K1340" s="225">
        <f t="shared" si="180"/>
        <v>38.588709677419352</v>
      </c>
      <c r="L1340" s="114"/>
      <c r="M1340" s="42">
        <f>M1343+M1342+M1341</f>
        <v>0</v>
      </c>
      <c r="N1340" s="42">
        <f>N1343+N1342+N1341</f>
        <v>0</v>
      </c>
      <c r="O1340" s="225"/>
      <c r="P1340" s="114"/>
      <c r="Q1340" s="42">
        <f t="shared" si="183"/>
        <v>2480</v>
      </c>
      <c r="R1340" s="42">
        <f t="shared" si="186"/>
        <v>957</v>
      </c>
      <c r="S1340" s="244">
        <f t="shared" si="181"/>
        <v>38.588709677419352</v>
      </c>
    </row>
    <row r="1341" spans="2:19" x14ac:dyDescent="0.2">
      <c r="B1341" s="67">
        <f t="shared" si="182"/>
        <v>577</v>
      </c>
      <c r="C1341" s="2"/>
      <c r="D1341" s="2"/>
      <c r="E1341" s="2"/>
      <c r="F1341" s="46" t="s">
        <v>165</v>
      </c>
      <c r="G1341" s="2">
        <v>633</v>
      </c>
      <c r="H1341" s="2" t="s">
        <v>131</v>
      </c>
      <c r="I1341" s="22">
        <v>1500</v>
      </c>
      <c r="J1341" s="22">
        <v>697</v>
      </c>
      <c r="K1341" s="225">
        <f t="shared" si="180"/>
        <v>46.466666666666669</v>
      </c>
      <c r="L1341" s="68"/>
      <c r="M1341" s="22"/>
      <c r="N1341" s="22"/>
      <c r="O1341" s="225"/>
      <c r="P1341" s="68"/>
      <c r="Q1341" s="22">
        <f t="shared" si="183"/>
        <v>1500</v>
      </c>
      <c r="R1341" s="22">
        <f t="shared" si="186"/>
        <v>697</v>
      </c>
      <c r="S1341" s="244">
        <f t="shared" si="181"/>
        <v>46.466666666666669</v>
      </c>
    </row>
    <row r="1342" spans="2:19" x14ac:dyDescent="0.2">
      <c r="B1342" s="67">
        <f t="shared" si="182"/>
        <v>578</v>
      </c>
      <c r="C1342" s="2"/>
      <c r="D1342" s="2"/>
      <c r="E1342" s="2"/>
      <c r="F1342" s="46" t="s">
        <v>165</v>
      </c>
      <c r="G1342" s="2">
        <v>635</v>
      </c>
      <c r="H1342" s="2" t="s">
        <v>137</v>
      </c>
      <c r="I1342" s="22">
        <v>100</v>
      </c>
      <c r="J1342" s="22">
        <v>0</v>
      </c>
      <c r="K1342" s="225">
        <f t="shared" si="180"/>
        <v>0</v>
      </c>
      <c r="L1342" s="68"/>
      <c r="M1342" s="22"/>
      <c r="N1342" s="22"/>
      <c r="O1342" s="225"/>
      <c r="P1342" s="68"/>
      <c r="Q1342" s="22">
        <f t="shared" si="183"/>
        <v>100</v>
      </c>
      <c r="R1342" s="22">
        <f t="shared" si="186"/>
        <v>0</v>
      </c>
      <c r="S1342" s="244">
        <f t="shared" si="181"/>
        <v>0</v>
      </c>
    </row>
    <row r="1343" spans="2:19" x14ac:dyDescent="0.2">
      <c r="B1343" s="67">
        <f t="shared" si="182"/>
        <v>579</v>
      </c>
      <c r="C1343" s="2"/>
      <c r="D1343" s="2"/>
      <c r="E1343" s="2"/>
      <c r="F1343" s="46" t="s">
        <v>165</v>
      </c>
      <c r="G1343" s="2">
        <v>637</v>
      </c>
      <c r="H1343" s="2" t="s">
        <v>128</v>
      </c>
      <c r="I1343" s="22">
        <v>880</v>
      </c>
      <c r="J1343" s="22">
        <v>260</v>
      </c>
      <c r="K1343" s="225">
        <f t="shared" si="180"/>
        <v>29.545454545454547</v>
      </c>
      <c r="L1343" s="68"/>
      <c r="M1343" s="22"/>
      <c r="N1343" s="22"/>
      <c r="O1343" s="225"/>
      <c r="P1343" s="68"/>
      <c r="Q1343" s="22">
        <f t="shared" si="183"/>
        <v>880</v>
      </c>
      <c r="R1343" s="22">
        <f t="shared" si="186"/>
        <v>260</v>
      </c>
      <c r="S1343" s="244">
        <f t="shared" si="181"/>
        <v>29.545454545454547</v>
      </c>
    </row>
    <row r="1344" spans="2:19" x14ac:dyDescent="0.2">
      <c r="B1344" s="67">
        <f t="shared" si="182"/>
        <v>580</v>
      </c>
      <c r="C1344" s="2"/>
      <c r="D1344" s="2"/>
      <c r="E1344" s="2"/>
      <c r="F1344" s="45" t="s">
        <v>165</v>
      </c>
      <c r="G1344" s="11">
        <v>640</v>
      </c>
      <c r="H1344" s="11" t="s">
        <v>134</v>
      </c>
      <c r="I1344" s="42">
        <v>0</v>
      </c>
      <c r="J1344" s="42">
        <v>27</v>
      </c>
      <c r="K1344" s="225"/>
      <c r="L1344" s="114"/>
      <c r="M1344" s="42"/>
      <c r="N1344" s="42"/>
      <c r="O1344" s="225"/>
      <c r="P1344" s="114"/>
      <c r="Q1344" s="42">
        <f t="shared" si="183"/>
        <v>0</v>
      </c>
      <c r="R1344" s="42">
        <f t="shared" ref="R1344" si="188">N1344+J1344</f>
        <v>27</v>
      </c>
      <c r="S1344" s="244">
        <v>0</v>
      </c>
    </row>
    <row r="1345" spans="2:19" x14ac:dyDescent="0.2">
      <c r="B1345" s="67">
        <f t="shared" si="182"/>
        <v>581</v>
      </c>
      <c r="C1345" s="10"/>
      <c r="D1345" s="10"/>
      <c r="E1345" s="10" t="s">
        <v>97</v>
      </c>
      <c r="F1345" s="44"/>
      <c r="G1345" s="10"/>
      <c r="H1345" s="10" t="s">
        <v>98</v>
      </c>
      <c r="I1345" s="41">
        <f>I1348+I1347+I1346</f>
        <v>23954</v>
      </c>
      <c r="J1345" s="41">
        <f>J1348+J1347+J1346</f>
        <v>11144</v>
      </c>
      <c r="K1345" s="225">
        <f t="shared" si="180"/>
        <v>46.522501461133842</v>
      </c>
      <c r="L1345" s="114"/>
      <c r="M1345" s="41">
        <f>M1348+M1347+M1346</f>
        <v>0</v>
      </c>
      <c r="N1345" s="41">
        <f>N1348+N1347+N1346</f>
        <v>0</v>
      </c>
      <c r="O1345" s="225"/>
      <c r="P1345" s="114"/>
      <c r="Q1345" s="41">
        <f t="shared" si="183"/>
        <v>23954</v>
      </c>
      <c r="R1345" s="41">
        <f t="shared" si="186"/>
        <v>11144</v>
      </c>
      <c r="S1345" s="244">
        <f t="shared" si="181"/>
        <v>46.522501461133842</v>
      </c>
    </row>
    <row r="1346" spans="2:19" x14ac:dyDescent="0.2">
      <c r="B1346" s="67">
        <f t="shared" si="182"/>
        <v>582</v>
      </c>
      <c r="C1346" s="11"/>
      <c r="D1346" s="11"/>
      <c r="E1346" s="11"/>
      <c r="F1346" s="45" t="s">
        <v>165</v>
      </c>
      <c r="G1346" s="11">
        <v>610</v>
      </c>
      <c r="H1346" s="11" t="s">
        <v>135</v>
      </c>
      <c r="I1346" s="42">
        <v>15482</v>
      </c>
      <c r="J1346" s="42">
        <v>7471</v>
      </c>
      <c r="K1346" s="225">
        <f t="shared" ref="K1346:K1412" si="189">J1346/I1346*100</f>
        <v>48.256039271411957</v>
      </c>
      <c r="L1346" s="114"/>
      <c r="M1346" s="42"/>
      <c r="N1346" s="42"/>
      <c r="O1346" s="225"/>
      <c r="P1346" s="114"/>
      <c r="Q1346" s="42">
        <f t="shared" si="183"/>
        <v>15482</v>
      </c>
      <c r="R1346" s="42">
        <f t="shared" si="186"/>
        <v>7471</v>
      </c>
      <c r="S1346" s="244">
        <f t="shared" ref="S1346:S1412" si="190">R1346/Q1346*100</f>
        <v>48.256039271411957</v>
      </c>
    </row>
    <row r="1347" spans="2:19" x14ac:dyDescent="0.2">
      <c r="B1347" s="67">
        <f t="shared" si="182"/>
        <v>583</v>
      </c>
      <c r="C1347" s="11"/>
      <c r="D1347" s="11"/>
      <c r="E1347" s="11"/>
      <c r="F1347" s="45" t="s">
        <v>165</v>
      </c>
      <c r="G1347" s="11">
        <v>620</v>
      </c>
      <c r="H1347" s="11" t="s">
        <v>130</v>
      </c>
      <c r="I1347" s="42">
        <v>5752</v>
      </c>
      <c r="J1347" s="42">
        <v>2691</v>
      </c>
      <c r="K1347" s="225">
        <f t="shared" si="189"/>
        <v>46.783727399165507</v>
      </c>
      <c r="L1347" s="114"/>
      <c r="M1347" s="42"/>
      <c r="N1347" s="42"/>
      <c r="O1347" s="225"/>
      <c r="P1347" s="114"/>
      <c r="Q1347" s="42">
        <f t="shared" si="183"/>
        <v>5752</v>
      </c>
      <c r="R1347" s="42">
        <f t="shared" si="186"/>
        <v>2691</v>
      </c>
      <c r="S1347" s="244">
        <f t="shared" si="190"/>
        <v>46.783727399165507</v>
      </c>
    </row>
    <row r="1348" spans="2:19" x14ac:dyDescent="0.2">
      <c r="B1348" s="67">
        <f t="shared" si="182"/>
        <v>584</v>
      </c>
      <c r="C1348" s="11"/>
      <c r="D1348" s="11"/>
      <c r="E1348" s="11"/>
      <c r="F1348" s="45" t="s">
        <v>165</v>
      </c>
      <c r="G1348" s="11">
        <v>630</v>
      </c>
      <c r="H1348" s="11" t="s">
        <v>127</v>
      </c>
      <c r="I1348" s="42">
        <f>I1351+I1350+I1349</f>
        <v>2720</v>
      </c>
      <c r="J1348" s="42">
        <f>J1351+J1350+J1349</f>
        <v>982</v>
      </c>
      <c r="K1348" s="225">
        <f t="shared" si="189"/>
        <v>36.102941176470587</v>
      </c>
      <c r="L1348" s="114"/>
      <c r="M1348" s="42">
        <f>M1351+M1350+M1349</f>
        <v>0</v>
      </c>
      <c r="N1348" s="42">
        <f>N1351+N1350+N1349</f>
        <v>0</v>
      </c>
      <c r="O1348" s="225"/>
      <c r="P1348" s="114"/>
      <c r="Q1348" s="42">
        <f t="shared" si="183"/>
        <v>2720</v>
      </c>
      <c r="R1348" s="42">
        <f t="shared" si="186"/>
        <v>982</v>
      </c>
      <c r="S1348" s="244">
        <f t="shared" si="190"/>
        <v>36.102941176470587</v>
      </c>
    </row>
    <row r="1349" spans="2:19" x14ac:dyDescent="0.2">
      <c r="B1349" s="67">
        <f t="shared" si="182"/>
        <v>585</v>
      </c>
      <c r="C1349" s="2"/>
      <c r="D1349" s="2"/>
      <c r="E1349" s="2"/>
      <c r="F1349" s="46" t="s">
        <v>165</v>
      </c>
      <c r="G1349" s="2">
        <v>633</v>
      </c>
      <c r="H1349" s="2" t="s">
        <v>131</v>
      </c>
      <c r="I1349" s="22">
        <v>1760</v>
      </c>
      <c r="J1349" s="22">
        <v>720</v>
      </c>
      <c r="K1349" s="225">
        <f t="shared" si="189"/>
        <v>40.909090909090914</v>
      </c>
      <c r="L1349" s="68"/>
      <c r="M1349" s="22"/>
      <c r="N1349" s="22"/>
      <c r="O1349" s="225"/>
      <c r="P1349" s="68"/>
      <c r="Q1349" s="22">
        <f t="shared" si="183"/>
        <v>1760</v>
      </c>
      <c r="R1349" s="22">
        <f t="shared" si="186"/>
        <v>720</v>
      </c>
      <c r="S1349" s="244">
        <f t="shared" si="190"/>
        <v>40.909090909090914</v>
      </c>
    </row>
    <row r="1350" spans="2:19" x14ac:dyDescent="0.2">
      <c r="B1350" s="67">
        <f t="shared" ref="B1350:B1368" si="191">B1349+1</f>
        <v>586</v>
      </c>
      <c r="C1350" s="2"/>
      <c r="D1350" s="2"/>
      <c r="E1350" s="2"/>
      <c r="F1350" s="46" t="s">
        <v>165</v>
      </c>
      <c r="G1350" s="2">
        <v>635</v>
      </c>
      <c r="H1350" s="2" t="s">
        <v>137</v>
      </c>
      <c r="I1350" s="22">
        <v>100</v>
      </c>
      <c r="J1350" s="22">
        <v>0</v>
      </c>
      <c r="K1350" s="225">
        <f t="shared" si="189"/>
        <v>0</v>
      </c>
      <c r="L1350" s="68"/>
      <c r="M1350" s="22"/>
      <c r="N1350" s="22"/>
      <c r="O1350" s="225"/>
      <c r="P1350" s="68"/>
      <c r="Q1350" s="22">
        <f t="shared" si="183"/>
        <v>100</v>
      </c>
      <c r="R1350" s="22">
        <f t="shared" si="186"/>
        <v>0</v>
      </c>
      <c r="S1350" s="244">
        <f t="shared" si="190"/>
        <v>0</v>
      </c>
    </row>
    <row r="1351" spans="2:19" x14ac:dyDescent="0.2">
      <c r="B1351" s="67">
        <f t="shared" si="191"/>
        <v>587</v>
      </c>
      <c r="C1351" s="2"/>
      <c r="D1351" s="2"/>
      <c r="E1351" s="2"/>
      <c r="F1351" s="46" t="s">
        <v>165</v>
      </c>
      <c r="G1351" s="2">
        <v>637</v>
      </c>
      <c r="H1351" s="2" t="s">
        <v>128</v>
      </c>
      <c r="I1351" s="22">
        <v>860</v>
      </c>
      <c r="J1351" s="22">
        <v>262</v>
      </c>
      <c r="K1351" s="225">
        <f t="shared" si="189"/>
        <v>30.465116279069765</v>
      </c>
      <c r="L1351" s="68"/>
      <c r="M1351" s="22"/>
      <c r="N1351" s="22"/>
      <c r="O1351" s="225"/>
      <c r="P1351" s="68"/>
      <c r="Q1351" s="22">
        <f t="shared" si="183"/>
        <v>860</v>
      </c>
      <c r="R1351" s="22">
        <f t="shared" si="186"/>
        <v>262</v>
      </c>
      <c r="S1351" s="244">
        <f t="shared" si="190"/>
        <v>30.465116279069765</v>
      </c>
    </row>
    <row r="1352" spans="2:19" x14ac:dyDescent="0.2">
      <c r="B1352" s="67">
        <f t="shared" si="191"/>
        <v>588</v>
      </c>
      <c r="C1352" s="10"/>
      <c r="D1352" s="10"/>
      <c r="E1352" s="10" t="s">
        <v>100</v>
      </c>
      <c r="F1352" s="44"/>
      <c r="G1352" s="10"/>
      <c r="H1352" s="10" t="s">
        <v>101</v>
      </c>
      <c r="I1352" s="41">
        <f>I1355+I1354+I1353</f>
        <v>25578</v>
      </c>
      <c r="J1352" s="41">
        <f>J1355+J1354+J1353</f>
        <v>11746</v>
      </c>
      <c r="K1352" s="225">
        <f t="shared" si="189"/>
        <v>45.922276956759717</v>
      </c>
      <c r="L1352" s="114"/>
      <c r="M1352" s="41">
        <v>0</v>
      </c>
      <c r="N1352" s="41"/>
      <c r="O1352" s="225"/>
      <c r="P1352" s="114"/>
      <c r="Q1352" s="41">
        <f t="shared" si="183"/>
        <v>25578</v>
      </c>
      <c r="R1352" s="41">
        <f t="shared" si="186"/>
        <v>11746</v>
      </c>
      <c r="S1352" s="244">
        <f t="shared" si="190"/>
        <v>45.922276956759717</v>
      </c>
    </row>
    <row r="1353" spans="2:19" x14ac:dyDescent="0.2">
      <c r="B1353" s="67">
        <f t="shared" si="191"/>
        <v>589</v>
      </c>
      <c r="C1353" s="11"/>
      <c r="D1353" s="11"/>
      <c r="E1353" s="11"/>
      <c r="F1353" s="45" t="s">
        <v>165</v>
      </c>
      <c r="G1353" s="11">
        <v>610</v>
      </c>
      <c r="H1353" s="11" t="s">
        <v>135</v>
      </c>
      <c r="I1353" s="42">
        <v>16198</v>
      </c>
      <c r="J1353" s="42">
        <v>7784</v>
      </c>
      <c r="K1353" s="225">
        <f t="shared" si="189"/>
        <v>48.055315471045809</v>
      </c>
      <c r="L1353" s="114"/>
      <c r="M1353" s="42"/>
      <c r="N1353" s="42"/>
      <c r="O1353" s="225"/>
      <c r="P1353" s="114"/>
      <c r="Q1353" s="42">
        <f t="shared" si="183"/>
        <v>16198</v>
      </c>
      <c r="R1353" s="42">
        <f t="shared" si="186"/>
        <v>7784</v>
      </c>
      <c r="S1353" s="244">
        <f t="shared" si="190"/>
        <v>48.055315471045809</v>
      </c>
    </row>
    <row r="1354" spans="2:19" x14ac:dyDescent="0.2">
      <c r="B1354" s="67">
        <f t="shared" si="191"/>
        <v>590</v>
      </c>
      <c r="C1354" s="11"/>
      <c r="D1354" s="11"/>
      <c r="E1354" s="11"/>
      <c r="F1354" s="45" t="s">
        <v>165</v>
      </c>
      <c r="G1354" s="11">
        <v>620</v>
      </c>
      <c r="H1354" s="11" t="s">
        <v>130</v>
      </c>
      <c r="I1354" s="42">
        <v>6020</v>
      </c>
      <c r="J1354" s="42">
        <v>2941</v>
      </c>
      <c r="K1354" s="225">
        <f t="shared" si="189"/>
        <v>48.853820598006642</v>
      </c>
      <c r="L1354" s="114"/>
      <c r="M1354" s="42"/>
      <c r="N1354" s="42"/>
      <c r="O1354" s="225"/>
      <c r="P1354" s="114"/>
      <c r="Q1354" s="42">
        <f t="shared" si="183"/>
        <v>6020</v>
      </c>
      <c r="R1354" s="42">
        <f t="shared" si="186"/>
        <v>2941</v>
      </c>
      <c r="S1354" s="244">
        <f t="shared" si="190"/>
        <v>48.853820598006642</v>
      </c>
    </row>
    <row r="1355" spans="2:19" x14ac:dyDescent="0.2">
      <c r="B1355" s="67">
        <f t="shared" si="191"/>
        <v>591</v>
      </c>
      <c r="C1355" s="11"/>
      <c r="D1355" s="11"/>
      <c r="E1355" s="11"/>
      <c r="F1355" s="45" t="s">
        <v>165</v>
      </c>
      <c r="G1355" s="11">
        <v>630</v>
      </c>
      <c r="H1355" s="11" t="s">
        <v>127</v>
      </c>
      <c r="I1355" s="42">
        <f>I1358+I1357+I1356</f>
        <v>3360</v>
      </c>
      <c r="J1355" s="42">
        <f>J1358+J1357+J1356</f>
        <v>1021</v>
      </c>
      <c r="K1355" s="225">
        <f t="shared" si="189"/>
        <v>30.386904761904759</v>
      </c>
      <c r="L1355" s="114"/>
      <c r="M1355" s="42">
        <f>M1358+M1357+M1356</f>
        <v>0</v>
      </c>
      <c r="N1355" s="42">
        <f>N1358+N1357+N1356</f>
        <v>0</v>
      </c>
      <c r="O1355" s="225"/>
      <c r="P1355" s="114"/>
      <c r="Q1355" s="42">
        <f t="shared" si="183"/>
        <v>3360</v>
      </c>
      <c r="R1355" s="42">
        <f t="shared" si="186"/>
        <v>1021</v>
      </c>
      <c r="S1355" s="244">
        <f t="shared" si="190"/>
        <v>30.386904761904759</v>
      </c>
    </row>
    <row r="1356" spans="2:19" x14ac:dyDescent="0.2">
      <c r="B1356" s="67">
        <f t="shared" si="191"/>
        <v>592</v>
      </c>
      <c r="C1356" s="2"/>
      <c r="D1356" s="2"/>
      <c r="E1356" s="2"/>
      <c r="F1356" s="46" t="s">
        <v>165</v>
      </c>
      <c r="G1356" s="2">
        <v>633</v>
      </c>
      <c r="H1356" s="2" t="s">
        <v>131</v>
      </c>
      <c r="I1356" s="22">
        <v>2000</v>
      </c>
      <c r="J1356" s="22">
        <v>754</v>
      </c>
      <c r="K1356" s="225">
        <f t="shared" si="189"/>
        <v>37.700000000000003</v>
      </c>
      <c r="L1356" s="68"/>
      <c r="M1356" s="22"/>
      <c r="N1356" s="22"/>
      <c r="O1356" s="225"/>
      <c r="P1356" s="68"/>
      <c r="Q1356" s="22">
        <f t="shared" si="183"/>
        <v>2000</v>
      </c>
      <c r="R1356" s="22">
        <f t="shared" si="186"/>
        <v>754</v>
      </c>
      <c r="S1356" s="244">
        <f t="shared" si="190"/>
        <v>37.700000000000003</v>
      </c>
    </row>
    <row r="1357" spans="2:19" x14ac:dyDescent="0.2">
      <c r="B1357" s="67">
        <f t="shared" si="191"/>
        <v>593</v>
      </c>
      <c r="C1357" s="2"/>
      <c r="D1357" s="2"/>
      <c r="E1357" s="2"/>
      <c r="F1357" s="46" t="s">
        <v>165</v>
      </c>
      <c r="G1357" s="2">
        <v>635</v>
      </c>
      <c r="H1357" s="2" t="s">
        <v>137</v>
      </c>
      <c r="I1357" s="22">
        <v>200</v>
      </c>
      <c r="J1357" s="22">
        <v>162</v>
      </c>
      <c r="K1357" s="225">
        <f t="shared" si="189"/>
        <v>81</v>
      </c>
      <c r="L1357" s="68"/>
      <c r="M1357" s="22"/>
      <c r="N1357" s="22"/>
      <c r="O1357" s="225"/>
      <c r="P1357" s="68"/>
      <c r="Q1357" s="22">
        <f t="shared" si="183"/>
        <v>200</v>
      </c>
      <c r="R1357" s="22">
        <f t="shared" si="186"/>
        <v>162</v>
      </c>
      <c r="S1357" s="244">
        <f t="shared" si="190"/>
        <v>81</v>
      </c>
    </row>
    <row r="1358" spans="2:19" x14ac:dyDescent="0.2">
      <c r="B1358" s="67">
        <f t="shared" si="191"/>
        <v>594</v>
      </c>
      <c r="C1358" s="2"/>
      <c r="D1358" s="2"/>
      <c r="E1358" s="2"/>
      <c r="F1358" s="46" t="s">
        <v>165</v>
      </c>
      <c r="G1358" s="2">
        <v>637</v>
      </c>
      <c r="H1358" s="2" t="s">
        <v>128</v>
      </c>
      <c r="I1358" s="22">
        <v>1160</v>
      </c>
      <c r="J1358" s="22">
        <v>105</v>
      </c>
      <c r="K1358" s="225">
        <f t="shared" si="189"/>
        <v>9.0517241379310338</v>
      </c>
      <c r="L1358" s="68"/>
      <c r="M1358" s="22"/>
      <c r="N1358" s="22"/>
      <c r="O1358" s="225"/>
      <c r="P1358" s="68"/>
      <c r="Q1358" s="22">
        <f t="shared" ref="Q1358:Q1424" si="192">M1358+I1358</f>
        <v>1160</v>
      </c>
      <c r="R1358" s="22">
        <f t="shared" si="186"/>
        <v>105</v>
      </c>
      <c r="S1358" s="244">
        <f t="shared" si="190"/>
        <v>9.0517241379310338</v>
      </c>
    </row>
    <row r="1359" spans="2:19" x14ac:dyDescent="0.2">
      <c r="B1359" s="67">
        <f t="shared" si="191"/>
        <v>595</v>
      </c>
      <c r="C1359" s="10"/>
      <c r="D1359" s="10"/>
      <c r="E1359" s="10" t="s">
        <v>85</v>
      </c>
      <c r="F1359" s="44"/>
      <c r="G1359" s="10"/>
      <c r="H1359" s="10" t="s">
        <v>86</v>
      </c>
      <c r="I1359" s="41">
        <f>I1362+I1361+I1360+I1366</f>
        <v>39490</v>
      </c>
      <c r="J1359" s="41">
        <f>J1362+J1361+J1360+J1366</f>
        <v>17216</v>
      </c>
      <c r="K1359" s="225">
        <f t="shared" si="189"/>
        <v>43.595847049886046</v>
      </c>
      <c r="L1359" s="114"/>
      <c r="M1359" s="41">
        <v>0</v>
      </c>
      <c r="N1359" s="41"/>
      <c r="O1359" s="225"/>
      <c r="P1359" s="114"/>
      <c r="Q1359" s="41">
        <f t="shared" si="192"/>
        <v>39490</v>
      </c>
      <c r="R1359" s="41">
        <f t="shared" si="186"/>
        <v>17216</v>
      </c>
      <c r="S1359" s="244">
        <f t="shared" si="190"/>
        <v>43.595847049886046</v>
      </c>
    </row>
    <row r="1360" spans="2:19" x14ac:dyDescent="0.2">
      <c r="B1360" s="67">
        <f t="shared" si="191"/>
        <v>596</v>
      </c>
      <c r="C1360" s="11"/>
      <c r="D1360" s="11"/>
      <c r="E1360" s="11"/>
      <c r="F1360" s="45" t="s">
        <v>165</v>
      </c>
      <c r="G1360" s="11">
        <v>610</v>
      </c>
      <c r="H1360" s="11" t="s">
        <v>135</v>
      </c>
      <c r="I1360" s="42">
        <v>24710</v>
      </c>
      <c r="J1360" s="42">
        <v>11712</v>
      </c>
      <c r="K1360" s="225">
        <f t="shared" si="189"/>
        <v>47.397814649939299</v>
      </c>
      <c r="L1360" s="114"/>
      <c r="M1360" s="42"/>
      <c r="N1360" s="42"/>
      <c r="O1360" s="225"/>
      <c r="P1360" s="114"/>
      <c r="Q1360" s="42">
        <f t="shared" si="192"/>
        <v>24710</v>
      </c>
      <c r="R1360" s="42">
        <f t="shared" si="186"/>
        <v>11712</v>
      </c>
      <c r="S1360" s="244">
        <f t="shared" si="190"/>
        <v>47.397814649939299</v>
      </c>
    </row>
    <row r="1361" spans="2:19" x14ac:dyDescent="0.2">
      <c r="B1361" s="67">
        <f t="shared" si="191"/>
        <v>597</v>
      </c>
      <c r="C1361" s="11"/>
      <c r="D1361" s="11"/>
      <c r="E1361" s="11"/>
      <c r="F1361" s="45" t="s">
        <v>165</v>
      </c>
      <c r="G1361" s="11">
        <v>620</v>
      </c>
      <c r="H1361" s="11" t="s">
        <v>130</v>
      </c>
      <c r="I1361" s="42">
        <v>9180</v>
      </c>
      <c r="J1361" s="42">
        <v>4449</v>
      </c>
      <c r="K1361" s="225">
        <f t="shared" si="189"/>
        <v>48.464052287581701</v>
      </c>
      <c r="L1361" s="114"/>
      <c r="M1361" s="42"/>
      <c r="N1361" s="42"/>
      <c r="O1361" s="225"/>
      <c r="P1361" s="114"/>
      <c r="Q1361" s="42">
        <f t="shared" si="192"/>
        <v>9180</v>
      </c>
      <c r="R1361" s="42">
        <f t="shared" si="186"/>
        <v>4449</v>
      </c>
      <c r="S1361" s="244">
        <f t="shared" si="190"/>
        <v>48.464052287581701</v>
      </c>
    </row>
    <row r="1362" spans="2:19" x14ac:dyDescent="0.2">
      <c r="B1362" s="67">
        <f t="shared" si="191"/>
        <v>598</v>
      </c>
      <c r="C1362" s="11"/>
      <c r="D1362" s="11"/>
      <c r="E1362" s="11"/>
      <c r="F1362" s="45" t="s">
        <v>165</v>
      </c>
      <c r="G1362" s="11">
        <v>630</v>
      </c>
      <c r="H1362" s="11" t="s">
        <v>127</v>
      </c>
      <c r="I1362" s="42">
        <f>I1365+I1364+I1363+I1366</f>
        <v>5600</v>
      </c>
      <c r="J1362" s="42">
        <f>J1365+J1364+J1363</f>
        <v>869</v>
      </c>
      <c r="K1362" s="225">
        <f t="shared" si="189"/>
        <v>15.517857142857142</v>
      </c>
      <c r="L1362" s="114"/>
      <c r="M1362" s="42">
        <f>M1365+M1364+M1363</f>
        <v>0</v>
      </c>
      <c r="N1362" s="42">
        <f>N1365+N1364+N1363</f>
        <v>0</v>
      </c>
      <c r="O1362" s="225"/>
      <c r="P1362" s="114"/>
      <c r="Q1362" s="42">
        <f t="shared" si="192"/>
        <v>5600</v>
      </c>
      <c r="R1362" s="42">
        <f t="shared" si="186"/>
        <v>869</v>
      </c>
      <c r="S1362" s="244">
        <f t="shared" si="190"/>
        <v>15.517857142857142</v>
      </c>
    </row>
    <row r="1363" spans="2:19" x14ac:dyDescent="0.2">
      <c r="B1363" s="67">
        <f t="shared" si="191"/>
        <v>599</v>
      </c>
      <c r="C1363" s="2"/>
      <c r="D1363" s="2"/>
      <c r="E1363" s="2"/>
      <c r="F1363" s="46" t="s">
        <v>165</v>
      </c>
      <c r="G1363" s="2">
        <v>633</v>
      </c>
      <c r="H1363" s="2" t="s">
        <v>131</v>
      </c>
      <c r="I1363" s="22">
        <v>4000</v>
      </c>
      <c r="J1363" s="22">
        <v>712</v>
      </c>
      <c r="K1363" s="225">
        <f t="shared" si="189"/>
        <v>17.8</v>
      </c>
      <c r="L1363" s="68"/>
      <c r="M1363" s="22"/>
      <c r="N1363" s="22"/>
      <c r="O1363" s="225"/>
      <c r="P1363" s="68"/>
      <c r="Q1363" s="22">
        <f t="shared" si="192"/>
        <v>4000</v>
      </c>
      <c r="R1363" s="22">
        <f t="shared" si="186"/>
        <v>712</v>
      </c>
      <c r="S1363" s="244">
        <f t="shared" si="190"/>
        <v>17.8</v>
      </c>
    </row>
    <row r="1364" spans="2:19" x14ac:dyDescent="0.2">
      <c r="B1364" s="67">
        <f t="shared" si="191"/>
        <v>600</v>
      </c>
      <c r="C1364" s="2"/>
      <c r="D1364" s="2"/>
      <c r="E1364" s="2"/>
      <c r="F1364" s="46" t="s">
        <v>165</v>
      </c>
      <c r="G1364" s="2">
        <v>635</v>
      </c>
      <c r="H1364" s="2" t="s">
        <v>137</v>
      </c>
      <c r="I1364" s="22">
        <v>150</v>
      </c>
      <c r="J1364" s="22">
        <v>0</v>
      </c>
      <c r="K1364" s="225">
        <f t="shared" si="189"/>
        <v>0</v>
      </c>
      <c r="L1364" s="68"/>
      <c r="M1364" s="22"/>
      <c r="N1364" s="22"/>
      <c r="O1364" s="225"/>
      <c r="P1364" s="68"/>
      <c r="Q1364" s="22">
        <f t="shared" si="192"/>
        <v>150</v>
      </c>
      <c r="R1364" s="22">
        <f t="shared" si="186"/>
        <v>0</v>
      </c>
      <c r="S1364" s="244">
        <f t="shared" si="190"/>
        <v>0</v>
      </c>
    </row>
    <row r="1365" spans="2:19" x14ac:dyDescent="0.2">
      <c r="B1365" s="67">
        <f t="shared" si="191"/>
        <v>601</v>
      </c>
      <c r="C1365" s="2"/>
      <c r="D1365" s="2"/>
      <c r="E1365" s="2"/>
      <c r="F1365" s="46" t="s">
        <v>165</v>
      </c>
      <c r="G1365" s="2">
        <v>637</v>
      </c>
      <c r="H1365" s="2" t="s">
        <v>128</v>
      </c>
      <c r="I1365" s="22">
        <v>1450</v>
      </c>
      <c r="J1365" s="22">
        <v>157</v>
      </c>
      <c r="K1365" s="225">
        <f t="shared" si="189"/>
        <v>10.827586206896552</v>
      </c>
      <c r="L1365" s="68"/>
      <c r="M1365" s="22"/>
      <c r="N1365" s="22"/>
      <c r="O1365" s="225"/>
      <c r="P1365" s="68"/>
      <c r="Q1365" s="22">
        <f t="shared" si="192"/>
        <v>1450</v>
      </c>
      <c r="R1365" s="22">
        <f t="shared" si="186"/>
        <v>157</v>
      </c>
      <c r="S1365" s="244">
        <f t="shared" si="190"/>
        <v>10.827586206896552</v>
      </c>
    </row>
    <row r="1366" spans="2:19" x14ac:dyDescent="0.2">
      <c r="B1366" s="67">
        <f t="shared" si="191"/>
        <v>602</v>
      </c>
      <c r="C1366" s="2"/>
      <c r="D1366" s="2"/>
      <c r="E1366" s="2"/>
      <c r="F1366" s="45" t="s">
        <v>165</v>
      </c>
      <c r="G1366" s="11">
        <v>640</v>
      </c>
      <c r="H1366" s="11" t="s">
        <v>134</v>
      </c>
      <c r="I1366" s="42">
        <v>0</v>
      </c>
      <c r="J1366" s="42">
        <v>186</v>
      </c>
      <c r="K1366" s="225"/>
      <c r="L1366" s="114"/>
      <c r="M1366" s="42"/>
      <c r="N1366" s="42"/>
      <c r="O1366" s="225"/>
      <c r="P1366" s="114"/>
      <c r="Q1366" s="42">
        <f t="shared" si="192"/>
        <v>0</v>
      </c>
      <c r="R1366" s="42">
        <f t="shared" si="186"/>
        <v>186</v>
      </c>
      <c r="S1366" s="244">
        <v>0</v>
      </c>
    </row>
    <row r="1367" spans="2:19" x14ac:dyDescent="0.2">
      <c r="B1367" s="67">
        <f t="shared" si="191"/>
        <v>603</v>
      </c>
      <c r="C1367" s="10"/>
      <c r="D1367" s="10"/>
      <c r="E1367" s="10" t="s">
        <v>82</v>
      </c>
      <c r="F1367" s="44"/>
      <c r="G1367" s="10"/>
      <c r="H1367" s="10" t="s">
        <v>83</v>
      </c>
      <c r="I1367" s="41">
        <f>I1370+I1369+I1368</f>
        <v>42440</v>
      </c>
      <c r="J1367" s="41">
        <f>J1370+J1369+J1368+J1374</f>
        <v>19329</v>
      </c>
      <c r="K1367" s="225">
        <f t="shared" si="189"/>
        <v>45.544297832233745</v>
      </c>
      <c r="L1367" s="114"/>
      <c r="M1367" s="41">
        <v>0</v>
      </c>
      <c r="N1367" s="41"/>
      <c r="O1367" s="225"/>
      <c r="P1367" s="114"/>
      <c r="Q1367" s="41">
        <f t="shared" si="192"/>
        <v>42440</v>
      </c>
      <c r="R1367" s="41">
        <f t="shared" si="186"/>
        <v>19329</v>
      </c>
      <c r="S1367" s="244">
        <f t="shared" si="190"/>
        <v>45.544297832233745</v>
      </c>
    </row>
    <row r="1368" spans="2:19" x14ac:dyDescent="0.2">
      <c r="B1368" s="67">
        <f t="shared" si="191"/>
        <v>604</v>
      </c>
      <c r="C1368" s="11"/>
      <c r="D1368" s="11"/>
      <c r="E1368" s="11"/>
      <c r="F1368" s="45" t="s">
        <v>165</v>
      </c>
      <c r="G1368" s="11">
        <v>610</v>
      </c>
      <c r="H1368" s="11" t="s">
        <v>135</v>
      </c>
      <c r="I1368" s="42">
        <v>27000</v>
      </c>
      <c r="J1368" s="42">
        <v>13058</v>
      </c>
      <c r="K1368" s="225">
        <f t="shared" si="189"/>
        <v>48.36296296296296</v>
      </c>
      <c r="L1368" s="114"/>
      <c r="M1368" s="42"/>
      <c r="N1368" s="42"/>
      <c r="O1368" s="225"/>
      <c r="P1368" s="114"/>
      <c r="Q1368" s="42">
        <f t="shared" si="192"/>
        <v>27000</v>
      </c>
      <c r="R1368" s="42">
        <f t="shared" si="186"/>
        <v>13058</v>
      </c>
      <c r="S1368" s="244">
        <f t="shared" si="190"/>
        <v>48.36296296296296</v>
      </c>
    </row>
    <row r="1369" spans="2:19" x14ac:dyDescent="0.2">
      <c r="B1369" s="67">
        <f t="shared" ref="B1369:B1416" si="193">B1368+1</f>
        <v>605</v>
      </c>
      <c r="C1369" s="11"/>
      <c r="D1369" s="11"/>
      <c r="E1369" s="11"/>
      <c r="F1369" s="45" t="s">
        <v>165</v>
      </c>
      <c r="G1369" s="11">
        <v>620</v>
      </c>
      <c r="H1369" s="11" t="s">
        <v>130</v>
      </c>
      <c r="I1369" s="42">
        <v>10030</v>
      </c>
      <c r="J1369" s="42">
        <v>4461</v>
      </c>
      <c r="K1369" s="225">
        <f t="shared" si="189"/>
        <v>44.476570289132603</v>
      </c>
      <c r="L1369" s="114"/>
      <c r="M1369" s="42"/>
      <c r="N1369" s="42"/>
      <c r="O1369" s="225"/>
      <c r="P1369" s="114"/>
      <c r="Q1369" s="42">
        <f t="shared" si="192"/>
        <v>10030</v>
      </c>
      <c r="R1369" s="42">
        <f t="shared" si="186"/>
        <v>4461</v>
      </c>
      <c r="S1369" s="244">
        <f t="shared" si="190"/>
        <v>44.476570289132603</v>
      </c>
    </row>
    <row r="1370" spans="2:19" x14ac:dyDescent="0.2">
      <c r="B1370" s="67">
        <f t="shared" si="193"/>
        <v>606</v>
      </c>
      <c r="C1370" s="11"/>
      <c r="D1370" s="11"/>
      <c r="E1370" s="11"/>
      <c r="F1370" s="45" t="s">
        <v>165</v>
      </c>
      <c r="G1370" s="11">
        <v>630</v>
      </c>
      <c r="H1370" s="11" t="s">
        <v>127</v>
      </c>
      <c r="I1370" s="42">
        <f>I1373+I1372+I1371</f>
        <v>5410</v>
      </c>
      <c r="J1370" s="42">
        <f>J1373+J1372+J1371</f>
        <v>1522</v>
      </c>
      <c r="K1370" s="225">
        <f t="shared" si="189"/>
        <v>28.133086876155268</v>
      </c>
      <c r="L1370" s="114"/>
      <c r="M1370" s="42">
        <f>M1373+M1372+M1371</f>
        <v>0</v>
      </c>
      <c r="N1370" s="42">
        <f>N1373+N1372+N1371</f>
        <v>0</v>
      </c>
      <c r="O1370" s="225"/>
      <c r="P1370" s="114"/>
      <c r="Q1370" s="42">
        <f t="shared" si="192"/>
        <v>5410</v>
      </c>
      <c r="R1370" s="42">
        <f t="shared" si="186"/>
        <v>1522</v>
      </c>
      <c r="S1370" s="244">
        <f t="shared" si="190"/>
        <v>28.133086876155268</v>
      </c>
    </row>
    <row r="1371" spans="2:19" x14ac:dyDescent="0.2">
      <c r="B1371" s="67">
        <f t="shared" si="193"/>
        <v>607</v>
      </c>
      <c r="C1371" s="2"/>
      <c r="D1371" s="2"/>
      <c r="E1371" s="2"/>
      <c r="F1371" s="46" t="s">
        <v>165</v>
      </c>
      <c r="G1371" s="2">
        <v>633</v>
      </c>
      <c r="H1371" s="2" t="s">
        <v>131</v>
      </c>
      <c r="I1371" s="22">
        <v>4050</v>
      </c>
      <c r="J1371" s="22">
        <v>1156</v>
      </c>
      <c r="K1371" s="225">
        <f t="shared" si="189"/>
        <v>28.543209876543209</v>
      </c>
      <c r="L1371" s="68"/>
      <c r="M1371" s="22"/>
      <c r="N1371" s="22"/>
      <c r="O1371" s="225"/>
      <c r="P1371" s="68"/>
      <c r="Q1371" s="22">
        <f t="shared" si="192"/>
        <v>4050</v>
      </c>
      <c r="R1371" s="22">
        <f t="shared" si="186"/>
        <v>1156</v>
      </c>
      <c r="S1371" s="244">
        <f t="shared" si="190"/>
        <v>28.543209876543209</v>
      </c>
    </row>
    <row r="1372" spans="2:19" x14ac:dyDescent="0.2">
      <c r="B1372" s="67">
        <f t="shared" si="193"/>
        <v>608</v>
      </c>
      <c r="C1372" s="2"/>
      <c r="D1372" s="2"/>
      <c r="E1372" s="2"/>
      <c r="F1372" s="46" t="s">
        <v>165</v>
      </c>
      <c r="G1372" s="2">
        <v>635</v>
      </c>
      <c r="H1372" s="2" t="s">
        <v>137</v>
      </c>
      <c r="I1372" s="22">
        <v>200</v>
      </c>
      <c r="J1372" s="22">
        <v>0</v>
      </c>
      <c r="K1372" s="225">
        <f t="shared" si="189"/>
        <v>0</v>
      </c>
      <c r="L1372" s="68"/>
      <c r="M1372" s="22"/>
      <c r="N1372" s="22"/>
      <c r="O1372" s="225"/>
      <c r="P1372" s="68"/>
      <c r="Q1372" s="22">
        <f t="shared" si="192"/>
        <v>200</v>
      </c>
      <c r="R1372" s="22">
        <f t="shared" si="186"/>
        <v>0</v>
      </c>
      <c r="S1372" s="244">
        <f t="shared" si="190"/>
        <v>0</v>
      </c>
    </row>
    <row r="1373" spans="2:19" x14ac:dyDescent="0.2">
      <c r="B1373" s="67">
        <f t="shared" si="193"/>
        <v>609</v>
      </c>
      <c r="C1373" s="2"/>
      <c r="D1373" s="2"/>
      <c r="E1373" s="2"/>
      <c r="F1373" s="46" t="s">
        <v>165</v>
      </c>
      <c r="G1373" s="2">
        <v>637</v>
      </c>
      <c r="H1373" s="2" t="s">
        <v>128</v>
      </c>
      <c r="I1373" s="22">
        <v>1160</v>
      </c>
      <c r="J1373" s="22">
        <v>366</v>
      </c>
      <c r="K1373" s="225">
        <f t="shared" si="189"/>
        <v>31.551724137931036</v>
      </c>
      <c r="L1373" s="68"/>
      <c r="M1373" s="22"/>
      <c r="N1373" s="22"/>
      <c r="O1373" s="225"/>
      <c r="P1373" s="68"/>
      <c r="Q1373" s="22">
        <f t="shared" si="192"/>
        <v>1160</v>
      </c>
      <c r="R1373" s="22">
        <f t="shared" si="186"/>
        <v>366</v>
      </c>
      <c r="S1373" s="244">
        <f t="shared" si="190"/>
        <v>31.551724137931036</v>
      </c>
    </row>
    <row r="1374" spans="2:19" x14ac:dyDescent="0.2">
      <c r="B1374" s="67">
        <f t="shared" si="193"/>
        <v>610</v>
      </c>
      <c r="C1374" s="2"/>
      <c r="D1374" s="2"/>
      <c r="E1374" s="2"/>
      <c r="F1374" s="45" t="s">
        <v>165</v>
      </c>
      <c r="G1374" s="11">
        <v>640</v>
      </c>
      <c r="H1374" s="11" t="s">
        <v>134</v>
      </c>
      <c r="I1374" s="42">
        <v>0</v>
      </c>
      <c r="J1374" s="42">
        <v>288</v>
      </c>
      <c r="K1374" s="225"/>
      <c r="L1374" s="114"/>
      <c r="M1374" s="42"/>
      <c r="N1374" s="42"/>
      <c r="O1374" s="225"/>
      <c r="P1374" s="114"/>
      <c r="Q1374" s="42">
        <f t="shared" ref="Q1374" si="194">M1374+I1374</f>
        <v>0</v>
      </c>
      <c r="R1374" s="42">
        <f t="shared" ref="R1374" si="195">N1374+J1374</f>
        <v>288</v>
      </c>
      <c r="S1374" s="244">
        <v>0</v>
      </c>
    </row>
    <row r="1375" spans="2:19" x14ac:dyDescent="0.2">
      <c r="B1375" s="67">
        <f t="shared" si="193"/>
        <v>611</v>
      </c>
      <c r="C1375" s="10"/>
      <c r="D1375" s="10"/>
      <c r="E1375" s="10" t="s">
        <v>104</v>
      </c>
      <c r="F1375" s="44"/>
      <c r="G1375" s="10"/>
      <c r="H1375" s="10" t="s">
        <v>105</v>
      </c>
      <c r="I1375" s="41">
        <f>I1378+I1377+I1376</f>
        <v>25805</v>
      </c>
      <c r="J1375" s="41">
        <f>J1378+J1377+J1376</f>
        <v>11402</v>
      </c>
      <c r="K1375" s="225">
        <f t="shared" si="189"/>
        <v>44.185235419492344</v>
      </c>
      <c r="L1375" s="114"/>
      <c r="M1375" s="41">
        <f>M1378+M1377+M1376</f>
        <v>0</v>
      </c>
      <c r="N1375" s="41">
        <f>N1378+N1377+N1376</f>
        <v>0</v>
      </c>
      <c r="O1375" s="225"/>
      <c r="P1375" s="114"/>
      <c r="Q1375" s="41">
        <f t="shared" si="192"/>
        <v>25805</v>
      </c>
      <c r="R1375" s="41">
        <f t="shared" si="186"/>
        <v>11402</v>
      </c>
      <c r="S1375" s="244">
        <f t="shared" si="190"/>
        <v>44.185235419492344</v>
      </c>
    </row>
    <row r="1376" spans="2:19" x14ac:dyDescent="0.2">
      <c r="B1376" s="67">
        <f t="shared" si="193"/>
        <v>612</v>
      </c>
      <c r="C1376" s="11"/>
      <c r="D1376" s="11"/>
      <c r="E1376" s="11"/>
      <c r="F1376" s="45" t="s">
        <v>165</v>
      </c>
      <c r="G1376" s="11">
        <v>610</v>
      </c>
      <c r="H1376" s="11" t="s">
        <v>135</v>
      </c>
      <c r="I1376" s="42">
        <v>16175</v>
      </c>
      <c r="J1376" s="42">
        <v>7892</v>
      </c>
      <c r="K1376" s="225">
        <f t="shared" si="189"/>
        <v>48.791344667697061</v>
      </c>
      <c r="L1376" s="114"/>
      <c r="M1376" s="42"/>
      <c r="N1376" s="42"/>
      <c r="O1376" s="225"/>
      <c r="P1376" s="114"/>
      <c r="Q1376" s="42">
        <f t="shared" si="192"/>
        <v>16175</v>
      </c>
      <c r="R1376" s="42">
        <f t="shared" si="186"/>
        <v>7892</v>
      </c>
      <c r="S1376" s="244">
        <f t="shared" si="190"/>
        <v>48.791344667697061</v>
      </c>
    </row>
    <row r="1377" spans="2:19" x14ac:dyDescent="0.2">
      <c r="B1377" s="67">
        <f t="shared" si="193"/>
        <v>613</v>
      </c>
      <c r="C1377" s="11"/>
      <c r="D1377" s="11"/>
      <c r="E1377" s="11"/>
      <c r="F1377" s="45" t="s">
        <v>165</v>
      </c>
      <c r="G1377" s="11">
        <v>620</v>
      </c>
      <c r="H1377" s="11" t="s">
        <v>130</v>
      </c>
      <c r="I1377" s="42">
        <v>6010</v>
      </c>
      <c r="J1377" s="42">
        <v>2822</v>
      </c>
      <c r="K1377" s="225">
        <f t="shared" si="189"/>
        <v>46.955074875207984</v>
      </c>
      <c r="L1377" s="114"/>
      <c r="M1377" s="42"/>
      <c r="N1377" s="42"/>
      <c r="O1377" s="225"/>
      <c r="P1377" s="114"/>
      <c r="Q1377" s="42">
        <f t="shared" si="192"/>
        <v>6010</v>
      </c>
      <c r="R1377" s="42">
        <f t="shared" si="186"/>
        <v>2822</v>
      </c>
      <c r="S1377" s="244">
        <f t="shared" si="190"/>
        <v>46.955074875207984</v>
      </c>
    </row>
    <row r="1378" spans="2:19" x14ac:dyDescent="0.2">
      <c r="B1378" s="67">
        <f t="shared" si="193"/>
        <v>614</v>
      </c>
      <c r="C1378" s="11"/>
      <c r="D1378" s="11"/>
      <c r="E1378" s="11"/>
      <c r="F1378" s="45" t="s">
        <v>165</v>
      </c>
      <c r="G1378" s="11">
        <v>630</v>
      </c>
      <c r="H1378" s="11" t="s">
        <v>127</v>
      </c>
      <c r="I1378" s="42">
        <f>I1381+I1380+I1379</f>
        <v>3620</v>
      </c>
      <c r="J1378" s="42">
        <f>J1381+J1380+J1379</f>
        <v>688</v>
      </c>
      <c r="K1378" s="225">
        <f t="shared" si="189"/>
        <v>19.005524861878452</v>
      </c>
      <c r="L1378" s="114"/>
      <c r="M1378" s="42">
        <f>M1381+M1380+M1379</f>
        <v>0</v>
      </c>
      <c r="N1378" s="42">
        <f>N1381+N1380+N1379</f>
        <v>0</v>
      </c>
      <c r="O1378" s="225"/>
      <c r="P1378" s="114"/>
      <c r="Q1378" s="42">
        <f t="shared" si="192"/>
        <v>3620</v>
      </c>
      <c r="R1378" s="42">
        <f t="shared" si="186"/>
        <v>688</v>
      </c>
      <c r="S1378" s="244">
        <f t="shared" si="190"/>
        <v>19.005524861878452</v>
      </c>
    </row>
    <row r="1379" spans="2:19" x14ac:dyDescent="0.2">
      <c r="B1379" s="67">
        <f t="shared" si="193"/>
        <v>615</v>
      </c>
      <c r="C1379" s="2"/>
      <c r="D1379" s="2"/>
      <c r="E1379" s="2"/>
      <c r="F1379" s="46" t="s">
        <v>165</v>
      </c>
      <c r="G1379" s="2">
        <v>633</v>
      </c>
      <c r="H1379" s="2" t="s">
        <v>131</v>
      </c>
      <c r="I1379" s="22">
        <v>2590</v>
      </c>
      <c r="J1379" s="22">
        <v>503</v>
      </c>
      <c r="K1379" s="225">
        <f t="shared" si="189"/>
        <v>19.420849420849422</v>
      </c>
      <c r="L1379" s="68"/>
      <c r="M1379" s="22"/>
      <c r="N1379" s="22"/>
      <c r="O1379" s="225"/>
      <c r="P1379" s="68"/>
      <c r="Q1379" s="22">
        <f t="shared" si="192"/>
        <v>2590</v>
      </c>
      <c r="R1379" s="22">
        <f t="shared" si="186"/>
        <v>503</v>
      </c>
      <c r="S1379" s="244">
        <f t="shared" si="190"/>
        <v>19.420849420849422</v>
      </c>
    </row>
    <row r="1380" spans="2:19" x14ac:dyDescent="0.2">
      <c r="B1380" s="67">
        <f t="shared" si="193"/>
        <v>616</v>
      </c>
      <c r="C1380" s="2"/>
      <c r="D1380" s="2"/>
      <c r="E1380" s="2"/>
      <c r="F1380" s="46" t="s">
        <v>165</v>
      </c>
      <c r="G1380" s="2">
        <v>635</v>
      </c>
      <c r="H1380" s="2" t="s">
        <v>137</v>
      </c>
      <c r="I1380" s="22">
        <v>200</v>
      </c>
      <c r="J1380" s="22">
        <v>0</v>
      </c>
      <c r="K1380" s="225">
        <f t="shared" si="189"/>
        <v>0</v>
      </c>
      <c r="L1380" s="68"/>
      <c r="M1380" s="22"/>
      <c r="N1380" s="22"/>
      <c r="O1380" s="225"/>
      <c r="P1380" s="68"/>
      <c r="Q1380" s="22">
        <f t="shared" si="192"/>
        <v>200</v>
      </c>
      <c r="R1380" s="22">
        <f t="shared" si="186"/>
        <v>0</v>
      </c>
      <c r="S1380" s="244">
        <f t="shared" si="190"/>
        <v>0</v>
      </c>
    </row>
    <row r="1381" spans="2:19" x14ac:dyDescent="0.2">
      <c r="B1381" s="67">
        <f t="shared" si="193"/>
        <v>617</v>
      </c>
      <c r="C1381" s="2"/>
      <c r="D1381" s="2"/>
      <c r="E1381" s="2"/>
      <c r="F1381" s="46" t="s">
        <v>165</v>
      </c>
      <c r="G1381" s="2">
        <v>637</v>
      </c>
      <c r="H1381" s="2" t="s">
        <v>128</v>
      </c>
      <c r="I1381" s="22">
        <v>830</v>
      </c>
      <c r="J1381" s="22">
        <v>185</v>
      </c>
      <c r="K1381" s="225">
        <f t="shared" si="189"/>
        <v>22.289156626506024</v>
      </c>
      <c r="L1381" s="68"/>
      <c r="M1381" s="22"/>
      <c r="N1381" s="22"/>
      <c r="O1381" s="225"/>
      <c r="P1381" s="68"/>
      <c r="Q1381" s="22">
        <f t="shared" si="192"/>
        <v>830</v>
      </c>
      <c r="R1381" s="22">
        <f t="shared" si="186"/>
        <v>185</v>
      </c>
      <c r="S1381" s="244">
        <f t="shared" si="190"/>
        <v>22.289156626506024</v>
      </c>
    </row>
    <row r="1382" spans="2:19" x14ac:dyDescent="0.2">
      <c r="B1382" s="67">
        <f t="shared" si="193"/>
        <v>618</v>
      </c>
      <c r="C1382" s="10"/>
      <c r="D1382" s="10"/>
      <c r="E1382" s="10" t="s">
        <v>103</v>
      </c>
      <c r="F1382" s="44"/>
      <c r="G1382" s="10"/>
      <c r="H1382" s="10" t="s">
        <v>249</v>
      </c>
      <c r="I1382" s="41">
        <f>I1389+I1385+I1384+I1383</f>
        <v>32277</v>
      </c>
      <c r="J1382" s="41">
        <f>J1389+J1385+J1384+J1383</f>
        <v>10448</v>
      </c>
      <c r="K1382" s="225">
        <f t="shared" si="189"/>
        <v>32.369798928029248</v>
      </c>
      <c r="L1382" s="114"/>
      <c r="M1382" s="41">
        <f>M1389+M1385+M1384+M1383</f>
        <v>0</v>
      </c>
      <c r="N1382" s="41">
        <f>N1389+N1385+N1384+N1383</f>
        <v>0</v>
      </c>
      <c r="O1382" s="225"/>
      <c r="P1382" s="114"/>
      <c r="Q1382" s="41">
        <f t="shared" si="192"/>
        <v>32277</v>
      </c>
      <c r="R1382" s="41">
        <f t="shared" si="186"/>
        <v>10448</v>
      </c>
      <c r="S1382" s="244">
        <f t="shared" si="190"/>
        <v>32.369798928029248</v>
      </c>
    </row>
    <row r="1383" spans="2:19" x14ac:dyDescent="0.2">
      <c r="B1383" s="67">
        <f t="shared" si="193"/>
        <v>619</v>
      </c>
      <c r="C1383" s="11"/>
      <c r="D1383" s="11"/>
      <c r="E1383" s="11"/>
      <c r="F1383" s="45" t="s">
        <v>165</v>
      </c>
      <c r="G1383" s="11">
        <v>610</v>
      </c>
      <c r="H1383" s="11" t="s">
        <v>135</v>
      </c>
      <c r="I1383" s="42">
        <v>18251</v>
      </c>
      <c r="J1383" s="42">
        <v>7030</v>
      </c>
      <c r="K1383" s="225">
        <f t="shared" si="189"/>
        <v>38.518437345898853</v>
      </c>
      <c r="L1383" s="114"/>
      <c r="M1383" s="42"/>
      <c r="N1383" s="42"/>
      <c r="O1383" s="225"/>
      <c r="P1383" s="114"/>
      <c r="Q1383" s="42">
        <f t="shared" si="192"/>
        <v>18251</v>
      </c>
      <c r="R1383" s="42">
        <f t="shared" si="186"/>
        <v>7030</v>
      </c>
      <c r="S1383" s="244">
        <f t="shared" si="190"/>
        <v>38.518437345898853</v>
      </c>
    </row>
    <row r="1384" spans="2:19" x14ac:dyDescent="0.2">
      <c r="B1384" s="67">
        <f t="shared" si="193"/>
        <v>620</v>
      </c>
      <c r="C1384" s="11"/>
      <c r="D1384" s="11"/>
      <c r="E1384" s="11"/>
      <c r="F1384" s="45" t="s">
        <v>165</v>
      </c>
      <c r="G1384" s="11">
        <v>620</v>
      </c>
      <c r="H1384" s="11" t="s">
        <v>130</v>
      </c>
      <c r="I1384" s="42">
        <v>6781</v>
      </c>
      <c r="J1384" s="42">
        <v>2418</v>
      </c>
      <c r="K1384" s="225">
        <f t="shared" si="189"/>
        <v>35.658457454652705</v>
      </c>
      <c r="L1384" s="114"/>
      <c r="M1384" s="42"/>
      <c r="N1384" s="42"/>
      <c r="O1384" s="225"/>
      <c r="P1384" s="114"/>
      <c r="Q1384" s="42">
        <f t="shared" si="192"/>
        <v>6781</v>
      </c>
      <c r="R1384" s="42">
        <f t="shared" si="186"/>
        <v>2418</v>
      </c>
      <c r="S1384" s="244">
        <f t="shared" si="190"/>
        <v>35.658457454652705</v>
      </c>
    </row>
    <row r="1385" spans="2:19" x14ac:dyDescent="0.2">
      <c r="B1385" s="67">
        <f t="shared" si="193"/>
        <v>621</v>
      </c>
      <c r="C1385" s="11"/>
      <c r="D1385" s="11"/>
      <c r="E1385" s="11"/>
      <c r="F1385" s="45" t="s">
        <v>165</v>
      </c>
      <c r="G1385" s="11">
        <v>630</v>
      </c>
      <c r="H1385" s="11" t="s">
        <v>127</v>
      </c>
      <c r="I1385" s="42">
        <f>I1388+I1387+I1386</f>
        <v>6795</v>
      </c>
      <c r="J1385" s="42">
        <f>J1388+J1387+J1386</f>
        <v>849</v>
      </c>
      <c r="K1385" s="225">
        <f t="shared" si="189"/>
        <v>12.494481236203091</v>
      </c>
      <c r="L1385" s="114"/>
      <c r="M1385" s="42">
        <f>M1388+M1387+M1386</f>
        <v>0</v>
      </c>
      <c r="N1385" s="42">
        <f>N1388+N1387+N1386</f>
        <v>0</v>
      </c>
      <c r="O1385" s="225"/>
      <c r="P1385" s="114"/>
      <c r="Q1385" s="42">
        <f t="shared" si="192"/>
        <v>6795</v>
      </c>
      <c r="R1385" s="42">
        <f t="shared" si="186"/>
        <v>849</v>
      </c>
      <c r="S1385" s="244">
        <f t="shared" si="190"/>
        <v>12.494481236203091</v>
      </c>
    </row>
    <row r="1386" spans="2:19" x14ac:dyDescent="0.2">
      <c r="B1386" s="67">
        <f t="shared" si="193"/>
        <v>622</v>
      </c>
      <c r="C1386" s="2"/>
      <c r="D1386" s="2"/>
      <c r="E1386" s="2"/>
      <c r="F1386" s="46" t="s">
        <v>165</v>
      </c>
      <c r="G1386" s="2">
        <v>633</v>
      </c>
      <c r="H1386" s="2" t="s">
        <v>131</v>
      </c>
      <c r="I1386" s="22">
        <f>5200+350</f>
        <v>5550</v>
      </c>
      <c r="J1386" s="22">
        <v>644</v>
      </c>
      <c r="K1386" s="225">
        <f t="shared" si="189"/>
        <v>11.603603603603602</v>
      </c>
      <c r="L1386" s="68"/>
      <c r="M1386" s="22"/>
      <c r="N1386" s="22"/>
      <c r="O1386" s="225"/>
      <c r="P1386" s="68"/>
      <c r="Q1386" s="22">
        <f t="shared" si="192"/>
        <v>5550</v>
      </c>
      <c r="R1386" s="22">
        <f t="shared" si="186"/>
        <v>644</v>
      </c>
      <c r="S1386" s="244">
        <f t="shared" si="190"/>
        <v>11.603603603603602</v>
      </c>
    </row>
    <row r="1387" spans="2:19" x14ac:dyDescent="0.2">
      <c r="B1387" s="67">
        <f t="shared" si="193"/>
        <v>623</v>
      </c>
      <c r="C1387" s="2"/>
      <c r="D1387" s="2"/>
      <c r="E1387" s="2"/>
      <c r="F1387" s="46" t="s">
        <v>165</v>
      </c>
      <c r="G1387" s="2">
        <v>635</v>
      </c>
      <c r="H1387" s="2" t="s">
        <v>137</v>
      </c>
      <c r="I1387" s="22">
        <v>150</v>
      </c>
      <c r="J1387" s="22">
        <v>0</v>
      </c>
      <c r="K1387" s="225">
        <f t="shared" si="189"/>
        <v>0</v>
      </c>
      <c r="L1387" s="68"/>
      <c r="M1387" s="22"/>
      <c r="N1387" s="22"/>
      <c r="O1387" s="225"/>
      <c r="P1387" s="68"/>
      <c r="Q1387" s="22">
        <f t="shared" si="192"/>
        <v>150</v>
      </c>
      <c r="R1387" s="22">
        <f t="shared" si="186"/>
        <v>0</v>
      </c>
      <c r="S1387" s="244">
        <f t="shared" si="190"/>
        <v>0</v>
      </c>
    </row>
    <row r="1388" spans="2:19" x14ac:dyDescent="0.2">
      <c r="B1388" s="67">
        <f t="shared" si="193"/>
        <v>624</v>
      </c>
      <c r="C1388" s="2"/>
      <c r="D1388" s="2"/>
      <c r="E1388" s="2"/>
      <c r="F1388" s="46" t="s">
        <v>165</v>
      </c>
      <c r="G1388" s="2">
        <v>637</v>
      </c>
      <c r="H1388" s="2" t="s">
        <v>128</v>
      </c>
      <c r="I1388" s="22">
        <v>1095</v>
      </c>
      <c r="J1388" s="22">
        <v>205</v>
      </c>
      <c r="K1388" s="225">
        <f t="shared" si="189"/>
        <v>18.721461187214611</v>
      </c>
      <c r="L1388" s="68"/>
      <c r="M1388" s="22"/>
      <c r="N1388" s="22"/>
      <c r="O1388" s="225"/>
      <c r="P1388" s="68"/>
      <c r="Q1388" s="22">
        <f t="shared" si="192"/>
        <v>1095</v>
      </c>
      <c r="R1388" s="22">
        <f t="shared" si="186"/>
        <v>205</v>
      </c>
      <c r="S1388" s="244">
        <f t="shared" si="190"/>
        <v>18.721461187214611</v>
      </c>
    </row>
    <row r="1389" spans="2:19" x14ac:dyDescent="0.2">
      <c r="B1389" s="67">
        <f t="shared" si="193"/>
        <v>625</v>
      </c>
      <c r="C1389" s="11"/>
      <c r="D1389" s="11"/>
      <c r="E1389" s="11"/>
      <c r="F1389" s="45" t="s">
        <v>165</v>
      </c>
      <c r="G1389" s="11">
        <v>640</v>
      </c>
      <c r="H1389" s="11" t="s">
        <v>134</v>
      </c>
      <c r="I1389" s="42">
        <v>450</v>
      </c>
      <c r="J1389" s="42">
        <v>151</v>
      </c>
      <c r="K1389" s="225">
        <f t="shared" si="189"/>
        <v>33.555555555555557</v>
      </c>
      <c r="L1389" s="114"/>
      <c r="M1389" s="42"/>
      <c r="N1389" s="42"/>
      <c r="O1389" s="225"/>
      <c r="P1389" s="114"/>
      <c r="Q1389" s="42">
        <f t="shared" si="192"/>
        <v>450</v>
      </c>
      <c r="R1389" s="42">
        <f t="shared" si="186"/>
        <v>151</v>
      </c>
      <c r="S1389" s="244">
        <f t="shared" si="190"/>
        <v>33.555555555555557</v>
      </c>
    </row>
    <row r="1390" spans="2:19" x14ac:dyDescent="0.2">
      <c r="B1390" s="67">
        <f t="shared" si="193"/>
        <v>626</v>
      </c>
      <c r="C1390" s="10"/>
      <c r="D1390" s="10"/>
      <c r="E1390" s="10" t="s">
        <v>99</v>
      </c>
      <c r="F1390" s="44"/>
      <c r="G1390" s="10"/>
      <c r="H1390" s="10" t="s">
        <v>64</v>
      </c>
      <c r="I1390" s="41">
        <f>I1393+I1392+I1391</f>
        <v>33805</v>
      </c>
      <c r="J1390" s="41">
        <f>J1393+J1392+J1391</f>
        <v>14974</v>
      </c>
      <c r="K1390" s="225">
        <f t="shared" si="189"/>
        <v>44.295222600207069</v>
      </c>
      <c r="L1390" s="114"/>
      <c r="M1390" s="41">
        <f>M1393+M1392+M1391</f>
        <v>0</v>
      </c>
      <c r="N1390" s="41">
        <f>N1393+N1392+N1391</f>
        <v>0</v>
      </c>
      <c r="O1390" s="225"/>
      <c r="P1390" s="114"/>
      <c r="Q1390" s="41">
        <f t="shared" si="192"/>
        <v>33805</v>
      </c>
      <c r="R1390" s="41">
        <f t="shared" ref="R1390:R1455" si="196">N1390+J1390</f>
        <v>14974</v>
      </c>
      <c r="S1390" s="244">
        <f t="shared" si="190"/>
        <v>44.295222600207069</v>
      </c>
    </row>
    <row r="1391" spans="2:19" x14ac:dyDescent="0.2">
      <c r="B1391" s="67">
        <f t="shared" si="193"/>
        <v>627</v>
      </c>
      <c r="C1391" s="11"/>
      <c r="D1391" s="11"/>
      <c r="E1391" s="11"/>
      <c r="F1391" s="45" t="s">
        <v>165</v>
      </c>
      <c r="G1391" s="11">
        <v>610</v>
      </c>
      <c r="H1391" s="11" t="s">
        <v>135</v>
      </c>
      <c r="I1391" s="42">
        <v>21020</v>
      </c>
      <c r="J1391" s="42">
        <v>10108</v>
      </c>
      <c r="K1391" s="225">
        <f t="shared" si="189"/>
        <v>48.08753568030447</v>
      </c>
      <c r="L1391" s="114"/>
      <c r="M1391" s="42"/>
      <c r="N1391" s="42"/>
      <c r="O1391" s="225"/>
      <c r="P1391" s="114"/>
      <c r="Q1391" s="42">
        <f t="shared" si="192"/>
        <v>21020</v>
      </c>
      <c r="R1391" s="42">
        <f t="shared" si="196"/>
        <v>10108</v>
      </c>
      <c r="S1391" s="244">
        <f t="shared" si="190"/>
        <v>48.08753568030447</v>
      </c>
    </row>
    <row r="1392" spans="2:19" x14ac:dyDescent="0.2">
      <c r="B1392" s="67">
        <f t="shared" si="193"/>
        <v>628</v>
      </c>
      <c r="C1392" s="11"/>
      <c r="D1392" s="11"/>
      <c r="E1392" s="11"/>
      <c r="F1392" s="45" t="s">
        <v>165</v>
      </c>
      <c r="G1392" s="11">
        <v>620</v>
      </c>
      <c r="H1392" s="11" t="s">
        <v>130</v>
      </c>
      <c r="I1392" s="42">
        <v>7810</v>
      </c>
      <c r="J1392" s="42">
        <v>3656</v>
      </c>
      <c r="K1392" s="225">
        <f t="shared" si="189"/>
        <v>46.811779769526247</v>
      </c>
      <c r="L1392" s="114"/>
      <c r="M1392" s="42"/>
      <c r="N1392" s="42"/>
      <c r="O1392" s="225"/>
      <c r="P1392" s="114"/>
      <c r="Q1392" s="42">
        <f t="shared" si="192"/>
        <v>7810</v>
      </c>
      <c r="R1392" s="42">
        <f t="shared" si="196"/>
        <v>3656</v>
      </c>
      <c r="S1392" s="244">
        <f t="shared" si="190"/>
        <v>46.811779769526247</v>
      </c>
    </row>
    <row r="1393" spans="2:19" x14ac:dyDescent="0.2">
      <c r="B1393" s="67">
        <f t="shared" si="193"/>
        <v>629</v>
      </c>
      <c r="C1393" s="11"/>
      <c r="D1393" s="11"/>
      <c r="E1393" s="11"/>
      <c r="F1393" s="45" t="s">
        <v>165</v>
      </c>
      <c r="G1393" s="11">
        <v>630</v>
      </c>
      <c r="H1393" s="11" t="s">
        <v>127</v>
      </c>
      <c r="I1393" s="42">
        <f>I1396+I1395+I1394</f>
        <v>4975</v>
      </c>
      <c r="J1393" s="42">
        <f>J1396+J1395+J1394</f>
        <v>1210</v>
      </c>
      <c r="K1393" s="225">
        <f t="shared" si="189"/>
        <v>24.321608040201003</v>
      </c>
      <c r="L1393" s="114"/>
      <c r="M1393" s="42">
        <f>M1396+M1395+M1394</f>
        <v>0</v>
      </c>
      <c r="N1393" s="42">
        <f>N1396+N1395+N1394</f>
        <v>0</v>
      </c>
      <c r="O1393" s="225"/>
      <c r="P1393" s="114"/>
      <c r="Q1393" s="42">
        <f t="shared" si="192"/>
        <v>4975</v>
      </c>
      <c r="R1393" s="42">
        <f t="shared" si="196"/>
        <v>1210</v>
      </c>
      <c r="S1393" s="244">
        <f t="shared" si="190"/>
        <v>24.321608040201003</v>
      </c>
    </row>
    <row r="1394" spans="2:19" x14ac:dyDescent="0.2">
      <c r="B1394" s="67">
        <f t="shared" si="193"/>
        <v>630</v>
      </c>
      <c r="C1394" s="2"/>
      <c r="D1394" s="2"/>
      <c r="E1394" s="2"/>
      <c r="F1394" s="46" t="s">
        <v>165</v>
      </c>
      <c r="G1394" s="2">
        <v>633</v>
      </c>
      <c r="H1394" s="2" t="s">
        <v>131</v>
      </c>
      <c r="I1394" s="22">
        <v>3200</v>
      </c>
      <c r="J1394" s="22">
        <v>830</v>
      </c>
      <c r="K1394" s="225">
        <f t="shared" si="189"/>
        <v>25.937500000000004</v>
      </c>
      <c r="L1394" s="68"/>
      <c r="M1394" s="22"/>
      <c r="N1394" s="22"/>
      <c r="O1394" s="225"/>
      <c r="P1394" s="68"/>
      <c r="Q1394" s="22">
        <f t="shared" si="192"/>
        <v>3200</v>
      </c>
      <c r="R1394" s="22">
        <f t="shared" si="196"/>
        <v>830</v>
      </c>
      <c r="S1394" s="244">
        <f t="shared" si="190"/>
        <v>25.937500000000004</v>
      </c>
    </row>
    <row r="1395" spans="2:19" x14ac:dyDescent="0.2">
      <c r="B1395" s="67">
        <f t="shared" si="193"/>
        <v>631</v>
      </c>
      <c r="C1395" s="2"/>
      <c r="D1395" s="2"/>
      <c r="E1395" s="2"/>
      <c r="F1395" s="46" t="s">
        <v>165</v>
      </c>
      <c r="G1395" s="2">
        <v>635</v>
      </c>
      <c r="H1395" s="2" t="s">
        <v>137</v>
      </c>
      <c r="I1395" s="22">
        <v>150</v>
      </c>
      <c r="J1395" s="22">
        <v>0</v>
      </c>
      <c r="K1395" s="225">
        <f t="shared" si="189"/>
        <v>0</v>
      </c>
      <c r="L1395" s="68"/>
      <c r="M1395" s="22"/>
      <c r="N1395" s="22"/>
      <c r="O1395" s="225"/>
      <c r="P1395" s="68"/>
      <c r="Q1395" s="22">
        <f t="shared" si="192"/>
        <v>150</v>
      </c>
      <c r="R1395" s="22">
        <f t="shared" si="196"/>
        <v>0</v>
      </c>
      <c r="S1395" s="244">
        <f t="shared" si="190"/>
        <v>0</v>
      </c>
    </row>
    <row r="1396" spans="2:19" x14ac:dyDescent="0.2">
      <c r="B1396" s="67">
        <f t="shared" si="193"/>
        <v>632</v>
      </c>
      <c r="C1396" s="2"/>
      <c r="D1396" s="2"/>
      <c r="E1396" s="2"/>
      <c r="F1396" s="46" t="s">
        <v>165</v>
      </c>
      <c r="G1396" s="2">
        <v>637</v>
      </c>
      <c r="H1396" s="2" t="s">
        <v>128</v>
      </c>
      <c r="I1396" s="22">
        <v>1625</v>
      </c>
      <c r="J1396" s="22">
        <v>380</v>
      </c>
      <c r="K1396" s="225">
        <f t="shared" si="189"/>
        <v>23.384615384615383</v>
      </c>
      <c r="L1396" s="68"/>
      <c r="M1396" s="22"/>
      <c r="N1396" s="22"/>
      <c r="O1396" s="225"/>
      <c r="P1396" s="68"/>
      <c r="Q1396" s="22">
        <f t="shared" si="192"/>
        <v>1625</v>
      </c>
      <c r="R1396" s="22">
        <f t="shared" si="196"/>
        <v>380</v>
      </c>
      <c r="S1396" s="244">
        <f t="shared" si="190"/>
        <v>23.384615384615383</v>
      </c>
    </row>
    <row r="1397" spans="2:19" x14ac:dyDescent="0.2">
      <c r="B1397" s="67">
        <f t="shared" si="193"/>
        <v>633</v>
      </c>
      <c r="C1397" s="10"/>
      <c r="D1397" s="10"/>
      <c r="E1397" s="10" t="s">
        <v>102</v>
      </c>
      <c r="F1397" s="44"/>
      <c r="G1397" s="10"/>
      <c r="H1397" s="10" t="s">
        <v>65</v>
      </c>
      <c r="I1397" s="41">
        <f>I1400+I1399+I1398</f>
        <v>25635</v>
      </c>
      <c r="J1397" s="41">
        <f>J1400+J1399+J1398</f>
        <v>11678</v>
      </c>
      <c r="K1397" s="225">
        <f t="shared" si="189"/>
        <v>45.554905402769649</v>
      </c>
      <c r="L1397" s="114"/>
      <c r="M1397" s="41">
        <f>M1400+M1399+M1398</f>
        <v>0</v>
      </c>
      <c r="N1397" s="41">
        <f>N1400+N1399+N1398</f>
        <v>0</v>
      </c>
      <c r="O1397" s="225"/>
      <c r="P1397" s="114"/>
      <c r="Q1397" s="41">
        <f t="shared" si="192"/>
        <v>25635</v>
      </c>
      <c r="R1397" s="41">
        <f t="shared" si="196"/>
        <v>11678</v>
      </c>
      <c r="S1397" s="244">
        <f t="shared" si="190"/>
        <v>45.554905402769649</v>
      </c>
    </row>
    <row r="1398" spans="2:19" x14ac:dyDescent="0.2">
      <c r="B1398" s="67">
        <f t="shared" si="193"/>
        <v>634</v>
      </c>
      <c r="C1398" s="11"/>
      <c r="D1398" s="11"/>
      <c r="E1398" s="11"/>
      <c r="F1398" s="45" t="s">
        <v>165</v>
      </c>
      <c r="G1398" s="11">
        <v>610</v>
      </c>
      <c r="H1398" s="11" t="s">
        <v>135</v>
      </c>
      <c r="I1398" s="42">
        <v>16400</v>
      </c>
      <c r="J1398" s="42">
        <v>7915</v>
      </c>
      <c r="K1398" s="225">
        <f t="shared" si="189"/>
        <v>48.262195121951216</v>
      </c>
      <c r="L1398" s="114"/>
      <c r="M1398" s="42"/>
      <c r="N1398" s="42"/>
      <c r="O1398" s="225"/>
      <c r="P1398" s="114"/>
      <c r="Q1398" s="42">
        <f t="shared" si="192"/>
        <v>16400</v>
      </c>
      <c r="R1398" s="42">
        <f t="shared" si="196"/>
        <v>7915</v>
      </c>
      <c r="S1398" s="244">
        <f t="shared" si="190"/>
        <v>48.262195121951216</v>
      </c>
    </row>
    <row r="1399" spans="2:19" x14ac:dyDescent="0.2">
      <c r="B1399" s="67">
        <f t="shared" si="193"/>
        <v>635</v>
      </c>
      <c r="C1399" s="11"/>
      <c r="D1399" s="11"/>
      <c r="E1399" s="11"/>
      <c r="F1399" s="45" t="s">
        <v>165</v>
      </c>
      <c r="G1399" s="11">
        <v>620</v>
      </c>
      <c r="H1399" s="11" t="s">
        <v>130</v>
      </c>
      <c r="I1399" s="42">
        <v>6095</v>
      </c>
      <c r="J1399" s="42">
        <v>2987</v>
      </c>
      <c r="K1399" s="225">
        <f t="shared" si="189"/>
        <v>49.007383100902381</v>
      </c>
      <c r="L1399" s="114"/>
      <c r="M1399" s="42"/>
      <c r="N1399" s="42"/>
      <c r="O1399" s="225"/>
      <c r="P1399" s="114"/>
      <c r="Q1399" s="42">
        <f t="shared" si="192"/>
        <v>6095</v>
      </c>
      <c r="R1399" s="42">
        <f t="shared" si="196"/>
        <v>2987</v>
      </c>
      <c r="S1399" s="244">
        <f t="shared" si="190"/>
        <v>49.007383100902381</v>
      </c>
    </row>
    <row r="1400" spans="2:19" x14ac:dyDescent="0.2">
      <c r="B1400" s="67">
        <f t="shared" si="193"/>
        <v>636</v>
      </c>
      <c r="C1400" s="11"/>
      <c r="D1400" s="11"/>
      <c r="E1400" s="11"/>
      <c r="F1400" s="45" t="s">
        <v>165</v>
      </c>
      <c r="G1400" s="11">
        <v>630</v>
      </c>
      <c r="H1400" s="11" t="s">
        <v>127</v>
      </c>
      <c r="I1400" s="42">
        <f>I1403+I1402+I1401</f>
        <v>3140</v>
      </c>
      <c r="J1400" s="42">
        <f>J1403+J1402+J1401</f>
        <v>776</v>
      </c>
      <c r="K1400" s="225">
        <f t="shared" si="189"/>
        <v>24.713375796178344</v>
      </c>
      <c r="L1400" s="114"/>
      <c r="M1400" s="42">
        <f>M1403+M1402+M1401</f>
        <v>0</v>
      </c>
      <c r="N1400" s="42">
        <f>N1403+N1402+N1401</f>
        <v>0</v>
      </c>
      <c r="O1400" s="225"/>
      <c r="P1400" s="114"/>
      <c r="Q1400" s="42">
        <f t="shared" si="192"/>
        <v>3140</v>
      </c>
      <c r="R1400" s="42">
        <f t="shared" si="196"/>
        <v>776</v>
      </c>
      <c r="S1400" s="244">
        <f t="shared" si="190"/>
        <v>24.713375796178344</v>
      </c>
    </row>
    <row r="1401" spans="2:19" x14ac:dyDescent="0.2">
      <c r="B1401" s="67">
        <f t="shared" si="193"/>
        <v>637</v>
      </c>
      <c r="C1401" s="2"/>
      <c r="D1401" s="2"/>
      <c r="E1401" s="2"/>
      <c r="F1401" s="46" t="s">
        <v>165</v>
      </c>
      <c r="G1401" s="2">
        <v>633</v>
      </c>
      <c r="H1401" s="2" t="s">
        <v>131</v>
      </c>
      <c r="I1401" s="22">
        <v>1500</v>
      </c>
      <c r="J1401" s="22">
        <v>416</v>
      </c>
      <c r="K1401" s="225">
        <f t="shared" si="189"/>
        <v>27.733333333333331</v>
      </c>
      <c r="L1401" s="68"/>
      <c r="M1401" s="22"/>
      <c r="N1401" s="22"/>
      <c r="O1401" s="225"/>
      <c r="P1401" s="68"/>
      <c r="Q1401" s="22">
        <f t="shared" si="192"/>
        <v>1500</v>
      </c>
      <c r="R1401" s="22">
        <f t="shared" si="196"/>
        <v>416</v>
      </c>
      <c r="S1401" s="244">
        <f t="shared" si="190"/>
        <v>27.733333333333331</v>
      </c>
    </row>
    <row r="1402" spans="2:19" x14ac:dyDescent="0.2">
      <c r="B1402" s="67">
        <f t="shared" si="193"/>
        <v>638</v>
      </c>
      <c r="C1402" s="2"/>
      <c r="D1402" s="2"/>
      <c r="E1402" s="2"/>
      <c r="F1402" s="46" t="s">
        <v>165</v>
      </c>
      <c r="G1402" s="2">
        <v>635</v>
      </c>
      <c r="H1402" s="2" t="s">
        <v>137</v>
      </c>
      <c r="I1402" s="22">
        <v>200</v>
      </c>
      <c r="J1402" s="22">
        <v>174</v>
      </c>
      <c r="K1402" s="225">
        <f t="shared" si="189"/>
        <v>87</v>
      </c>
      <c r="L1402" s="68"/>
      <c r="M1402" s="22"/>
      <c r="N1402" s="22"/>
      <c r="O1402" s="225"/>
      <c r="P1402" s="68"/>
      <c r="Q1402" s="22">
        <f t="shared" si="192"/>
        <v>200</v>
      </c>
      <c r="R1402" s="22">
        <f t="shared" si="196"/>
        <v>174</v>
      </c>
      <c r="S1402" s="244">
        <f t="shared" si="190"/>
        <v>87</v>
      </c>
    </row>
    <row r="1403" spans="2:19" x14ac:dyDescent="0.2">
      <c r="B1403" s="67">
        <f t="shared" si="193"/>
        <v>639</v>
      </c>
      <c r="C1403" s="2"/>
      <c r="D1403" s="2"/>
      <c r="E1403" s="2"/>
      <c r="F1403" s="46" t="s">
        <v>165</v>
      </c>
      <c r="G1403" s="2">
        <v>637</v>
      </c>
      <c r="H1403" s="2" t="s">
        <v>128</v>
      </c>
      <c r="I1403" s="22">
        <v>1440</v>
      </c>
      <c r="J1403" s="22">
        <v>186</v>
      </c>
      <c r="K1403" s="225">
        <f t="shared" si="189"/>
        <v>12.916666666666668</v>
      </c>
      <c r="L1403" s="68"/>
      <c r="M1403" s="22"/>
      <c r="N1403" s="22"/>
      <c r="O1403" s="225"/>
      <c r="P1403" s="68"/>
      <c r="Q1403" s="22">
        <f t="shared" si="192"/>
        <v>1440</v>
      </c>
      <c r="R1403" s="22">
        <f t="shared" si="196"/>
        <v>186</v>
      </c>
      <c r="S1403" s="244">
        <f t="shared" si="190"/>
        <v>12.916666666666668</v>
      </c>
    </row>
    <row r="1404" spans="2:19" x14ac:dyDescent="0.2">
      <c r="B1404" s="67">
        <f t="shared" si="193"/>
        <v>640</v>
      </c>
      <c r="C1404" s="10"/>
      <c r="D1404" s="10"/>
      <c r="E1404" s="10" t="s">
        <v>95</v>
      </c>
      <c r="F1404" s="44"/>
      <c r="G1404" s="10"/>
      <c r="H1404" s="10" t="s">
        <v>96</v>
      </c>
      <c r="I1404" s="41">
        <f>I1407+I1406+I1405</f>
        <v>15992</v>
      </c>
      <c r="J1404" s="41">
        <f>J1407+J1406+J1405+J1411</f>
        <v>6386</v>
      </c>
      <c r="K1404" s="225">
        <f t="shared" si="189"/>
        <v>39.932466233116557</v>
      </c>
      <c r="L1404" s="114"/>
      <c r="M1404" s="41">
        <f>M1407+M1406+M1405</f>
        <v>0</v>
      </c>
      <c r="N1404" s="41">
        <f>N1407+N1406+N1405</f>
        <v>0</v>
      </c>
      <c r="O1404" s="225"/>
      <c r="P1404" s="114"/>
      <c r="Q1404" s="41">
        <f t="shared" si="192"/>
        <v>15992</v>
      </c>
      <c r="R1404" s="41">
        <f t="shared" si="196"/>
        <v>6386</v>
      </c>
      <c r="S1404" s="244">
        <f t="shared" si="190"/>
        <v>39.932466233116557</v>
      </c>
    </row>
    <row r="1405" spans="2:19" x14ac:dyDescent="0.2">
      <c r="B1405" s="67">
        <f t="shared" si="193"/>
        <v>641</v>
      </c>
      <c r="C1405" s="11"/>
      <c r="D1405" s="11"/>
      <c r="E1405" s="11"/>
      <c r="F1405" s="45" t="s">
        <v>165</v>
      </c>
      <c r="G1405" s="11">
        <v>610</v>
      </c>
      <c r="H1405" s="11" t="s">
        <v>135</v>
      </c>
      <c r="I1405" s="42">
        <v>8831</v>
      </c>
      <c r="J1405" s="42">
        <v>4454</v>
      </c>
      <c r="K1405" s="225">
        <f t="shared" si="189"/>
        <v>50.435964216962972</v>
      </c>
      <c r="L1405" s="114"/>
      <c r="M1405" s="42"/>
      <c r="N1405" s="42"/>
      <c r="O1405" s="225"/>
      <c r="P1405" s="114"/>
      <c r="Q1405" s="42">
        <f t="shared" si="192"/>
        <v>8831</v>
      </c>
      <c r="R1405" s="42">
        <f t="shared" si="196"/>
        <v>4454</v>
      </c>
      <c r="S1405" s="244">
        <f t="shared" si="190"/>
        <v>50.435964216962972</v>
      </c>
    </row>
    <row r="1406" spans="2:19" x14ac:dyDescent="0.2">
      <c r="B1406" s="67">
        <f t="shared" si="193"/>
        <v>642</v>
      </c>
      <c r="C1406" s="11"/>
      <c r="D1406" s="11"/>
      <c r="E1406" s="11"/>
      <c r="F1406" s="45" t="s">
        <v>165</v>
      </c>
      <c r="G1406" s="11">
        <v>620</v>
      </c>
      <c r="H1406" s="11" t="s">
        <v>130</v>
      </c>
      <c r="I1406" s="42">
        <v>3281</v>
      </c>
      <c r="J1406" s="42">
        <v>1381</v>
      </c>
      <c r="K1406" s="225">
        <f t="shared" si="189"/>
        <v>42.090825967692773</v>
      </c>
      <c r="L1406" s="114"/>
      <c r="M1406" s="42"/>
      <c r="N1406" s="42"/>
      <c r="O1406" s="225"/>
      <c r="P1406" s="114"/>
      <c r="Q1406" s="42">
        <f t="shared" si="192"/>
        <v>3281</v>
      </c>
      <c r="R1406" s="42">
        <f t="shared" si="196"/>
        <v>1381</v>
      </c>
      <c r="S1406" s="244">
        <f t="shared" si="190"/>
        <v>42.090825967692773</v>
      </c>
    </row>
    <row r="1407" spans="2:19" x14ac:dyDescent="0.2">
      <c r="B1407" s="67">
        <f t="shared" si="193"/>
        <v>643</v>
      </c>
      <c r="C1407" s="11"/>
      <c r="D1407" s="11"/>
      <c r="E1407" s="11"/>
      <c r="F1407" s="45" t="s">
        <v>165</v>
      </c>
      <c r="G1407" s="11">
        <v>630</v>
      </c>
      <c r="H1407" s="11" t="s">
        <v>127</v>
      </c>
      <c r="I1407" s="42">
        <f>I1410+I1409+I1408</f>
        <v>3880</v>
      </c>
      <c r="J1407" s="42">
        <f>J1410+J1409+J1408</f>
        <v>472</v>
      </c>
      <c r="K1407" s="225">
        <f t="shared" si="189"/>
        <v>12.164948453608247</v>
      </c>
      <c r="L1407" s="114"/>
      <c r="M1407" s="42">
        <f>M1410+M1409+M1408</f>
        <v>0</v>
      </c>
      <c r="N1407" s="42">
        <f>N1410+N1409+N1408</f>
        <v>0</v>
      </c>
      <c r="O1407" s="225"/>
      <c r="P1407" s="114"/>
      <c r="Q1407" s="42">
        <f t="shared" si="192"/>
        <v>3880</v>
      </c>
      <c r="R1407" s="42">
        <f t="shared" si="196"/>
        <v>472</v>
      </c>
      <c r="S1407" s="244">
        <f t="shared" si="190"/>
        <v>12.164948453608247</v>
      </c>
    </row>
    <row r="1408" spans="2:19" x14ac:dyDescent="0.2">
      <c r="B1408" s="67">
        <f t="shared" si="193"/>
        <v>644</v>
      </c>
      <c r="C1408" s="2"/>
      <c r="D1408" s="2"/>
      <c r="E1408" s="2"/>
      <c r="F1408" s="46" t="s">
        <v>165</v>
      </c>
      <c r="G1408" s="2">
        <v>633</v>
      </c>
      <c r="H1408" s="2" t="s">
        <v>131</v>
      </c>
      <c r="I1408" s="22">
        <v>2780</v>
      </c>
      <c r="J1408" s="22">
        <v>319</v>
      </c>
      <c r="K1408" s="225">
        <f t="shared" si="189"/>
        <v>11.474820143884893</v>
      </c>
      <c r="L1408" s="68"/>
      <c r="M1408" s="22"/>
      <c r="N1408" s="22"/>
      <c r="O1408" s="225"/>
      <c r="P1408" s="68"/>
      <c r="Q1408" s="22">
        <f t="shared" si="192"/>
        <v>2780</v>
      </c>
      <c r="R1408" s="22">
        <f t="shared" si="196"/>
        <v>319</v>
      </c>
      <c r="S1408" s="244">
        <f t="shared" si="190"/>
        <v>11.474820143884893</v>
      </c>
    </row>
    <row r="1409" spans="2:19" x14ac:dyDescent="0.2">
      <c r="B1409" s="67">
        <f t="shared" si="193"/>
        <v>645</v>
      </c>
      <c r="C1409" s="2"/>
      <c r="D1409" s="2"/>
      <c r="E1409" s="2"/>
      <c r="F1409" s="46" t="s">
        <v>165</v>
      </c>
      <c r="G1409" s="2">
        <v>635</v>
      </c>
      <c r="H1409" s="2" t="s">
        <v>137</v>
      </c>
      <c r="I1409" s="22">
        <v>200</v>
      </c>
      <c r="J1409" s="22">
        <v>0</v>
      </c>
      <c r="K1409" s="225">
        <f t="shared" si="189"/>
        <v>0</v>
      </c>
      <c r="L1409" s="68"/>
      <c r="M1409" s="22"/>
      <c r="N1409" s="22"/>
      <c r="O1409" s="225"/>
      <c r="P1409" s="68"/>
      <c r="Q1409" s="22">
        <f t="shared" si="192"/>
        <v>200</v>
      </c>
      <c r="R1409" s="22">
        <f t="shared" si="196"/>
        <v>0</v>
      </c>
      <c r="S1409" s="244">
        <f t="shared" si="190"/>
        <v>0</v>
      </c>
    </row>
    <row r="1410" spans="2:19" x14ac:dyDescent="0.2">
      <c r="B1410" s="67">
        <f t="shared" si="193"/>
        <v>646</v>
      </c>
      <c r="C1410" s="2"/>
      <c r="D1410" s="2"/>
      <c r="E1410" s="2"/>
      <c r="F1410" s="46" t="s">
        <v>165</v>
      </c>
      <c r="G1410" s="2">
        <v>637</v>
      </c>
      <c r="H1410" s="2" t="s">
        <v>128</v>
      </c>
      <c r="I1410" s="22">
        <v>900</v>
      </c>
      <c r="J1410" s="22">
        <v>153</v>
      </c>
      <c r="K1410" s="225">
        <f t="shared" si="189"/>
        <v>17</v>
      </c>
      <c r="L1410" s="68"/>
      <c r="M1410" s="22"/>
      <c r="N1410" s="22"/>
      <c r="O1410" s="225"/>
      <c r="P1410" s="68"/>
      <c r="Q1410" s="22">
        <f t="shared" si="192"/>
        <v>900</v>
      </c>
      <c r="R1410" s="22">
        <f t="shared" si="196"/>
        <v>153</v>
      </c>
      <c r="S1410" s="244">
        <f t="shared" si="190"/>
        <v>17</v>
      </c>
    </row>
    <row r="1411" spans="2:19" x14ac:dyDescent="0.2">
      <c r="B1411" s="67">
        <f t="shared" si="193"/>
        <v>647</v>
      </c>
      <c r="C1411" s="2"/>
      <c r="D1411" s="2"/>
      <c r="E1411" s="2"/>
      <c r="F1411" s="45" t="s">
        <v>165</v>
      </c>
      <c r="G1411" s="11">
        <v>640</v>
      </c>
      <c r="H1411" s="11" t="s">
        <v>134</v>
      </c>
      <c r="I1411" s="42">
        <v>0</v>
      </c>
      <c r="J1411" s="42">
        <v>79</v>
      </c>
      <c r="K1411" s="225"/>
      <c r="L1411" s="114"/>
      <c r="M1411" s="42"/>
      <c r="N1411" s="42"/>
      <c r="O1411" s="225"/>
      <c r="P1411" s="114"/>
      <c r="Q1411" s="42">
        <f t="shared" si="192"/>
        <v>0</v>
      </c>
      <c r="R1411" s="42">
        <f t="shared" si="196"/>
        <v>79</v>
      </c>
      <c r="S1411" s="244">
        <v>0</v>
      </c>
    </row>
    <row r="1412" spans="2:19" x14ac:dyDescent="0.2">
      <c r="B1412" s="67">
        <f t="shared" si="193"/>
        <v>648</v>
      </c>
      <c r="C1412" s="10"/>
      <c r="D1412" s="10"/>
      <c r="E1412" s="10" t="s">
        <v>88</v>
      </c>
      <c r="F1412" s="44"/>
      <c r="G1412" s="10"/>
      <c r="H1412" s="10" t="s">
        <v>208</v>
      </c>
      <c r="I1412" s="41">
        <f>I1415+I1414+I1413</f>
        <v>21353</v>
      </c>
      <c r="J1412" s="41">
        <f>J1415+J1414+J1413</f>
        <v>9426</v>
      </c>
      <c r="K1412" s="225">
        <f t="shared" si="189"/>
        <v>44.143680044958558</v>
      </c>
      <c r="L1412" s="114"/>
      <c r="M1412" s="41">
        <f>M1415+M1414+M1413</f>
        <v>0</v>
      </c>
      <c r="N1412" s="41">
        <f>N1415+N1414+N1413</f>
        <v>0</v>
      </c>
      <c r="O1412" s="225"/>
      <c r="P1412" s="114"/>
      <c r="Q1412" s="41">
        <f t="shared" si="192"/>
        <v>21353</v>
      </c>
      <c r="R1412" s="41">
        <f t="shared" si="196"/>
        <v>9426</v>
      </c>
      <c r="S1412" s="244">
        <f t="shared" si="190"/>
        <v>44.143680044958558</v>
      </c>
    </row>
    <row r="1413" spans="2:19" x14ac:dyDescent="0.2">
      <c r="B1413" s="67">
        <f t="shared" si="193"/>
        <v>649</v>
      </c>
      <c r="C1413" s="11"/>
      <c r="D1413" s="11"/>
      <c r="E1413" s="11"/>
      <c r="F1413" s="45" t="s">
        <v>165</v>
      </c>
      <c r="G1413" s="11">
        <v>610</v>
      </c>
      <c r="H1413" s="11" t="s">
        <v>135</v>
      </c>
      <c r="I1413" s="42">
        <v>13458</v>
      </c>
      <c r="J1413" s="42">
        <v>6460</v>
      </c>
      <c r="K1413" s="225">
        <f t="shared" ref="K1413:K1477" si="197">J1413/I1413*100</f>
        <v>48.001188883935207</v>
      </c>
      <c r="L1413" s="114"/>
      <c r="M1413" s="42"/>
      <c r="N1413" s="42"/>
      <c r="O1413" s="225"/>
      <c r="P1413" s="114"/>
      <c r="Q1413" s="42">
        <f t="shared" si="192"/>
        <v>13458</v>
      </c>
      <c r="R1413" s="42">
        <f t="shared" si="196"/>
        <v>6460</v>
      </c>
      <c r="S1413" s="244">
        <f t="shared" ref="S1413:S1477" si="198">R1413/Q1413*100</f>
        <v>48.001188883935207</v>
      </c>
    </row>
    <row r="1414" spans="2:19" x14ac:dyDescent="0.2">
      <c r="B1414" s="67">
        <f t="shared" si="193"/>
        <v>650</v>
      </c>
      <c r="C1414" s="11"/>
      <c r="D1414" s="11"/>
      <c r="E1414" s="11"/>
      <c r="F1414" s="45" t="s">
        <v>165</v>
      </c>
      <c r="G1414" s="11">
        <v>620</v>
      </c>
      <c r="H1414" s="11" t="s">
        <v>130</v>
      </c>
      <c r="I1414" s="42">
        <v>5000</v>
      </c>
      <c r="J1414" s="42">
        <v>2393</v>
      </c>
      <c r="K1414" s="225">
        <f t="shared" si="197"/>
        <v>47.86</v>
      </c>
      <c r="L1414" s="114"/>
      <c r="M1414" s="42"/>
      <c r="N1414" s="42"/>
      <c r="O1414" s="225"/>
      <c r="P1414" s="114"/>
      <c r="Q1414" s="42">
        <f t="shared" si="192"/>
        <v>5000</v>
      </c>
      <c r="R1414" s="42">
        <f t="shared" si="196"/>
        <v>2393</v>
      </c>
      <c r="S1414" s="244">
        <f t="shared" si="198"/>
        <v>47.86</v>
      </c>
    </row>
    <row r="1415" spans="2:19" x14ac:dyDescent="0.2">
      <c r="B1415" s="67">
        <f t="shared" si="193"/>
        <v>651</v>
      </c>
      <c r="C1415" s="11"/>
      <c r="D1415" s="11"/>
      <c r="E1415" s="11"/>
      <c r="F1415" s="45" t="s">
        <v>165</v>
      </c>
      <c r="G1415" s="11">
        <v>630</v>
      </c>
      <c r="H1415" s="11" t="s">
        <v>127</v>
      </c>
      <c r="I1415" s="42">
        <f>I1418+I1417+I1416</f>
        <v>2895</v>
      </c>
      <c r="J1415" s="42">
        <f>J1418+J1417+J1416</f>
        <v>573</v>
      </c>
      <c r="K1415" s="225">
        <f t="shared" si="197"/>
        <v>19.792746113989637</v>
      </c>
      <c r="L1415" s="114"/>
      <c r="M1415" s="42">
        <f>M1418+M1417+M1416</f>
        <v>0</v>
      </c>
      <c r="N1415" s="42">
        <f>N1418+N1417+N1416</f>
        <v>0</v>
      </c>
      <c r="O1415" s="225"/>
      <c r="P1415" s="114"/>
      <c r="Q1415" s="42">
        <f t="shared" si="192"/>
        <v>2895</v>
      </c>
      <c r="R1415" s="42">
        <f t="shared" si="196"/>
        <v>573</v>
      </c>
      <c r="S1415" s="244">
        <f t="shared" si="198"/>
        <v>19.792746113989637</v>
      </c>
    </row>
    <row r="1416" spans="2:19" x14ac:dyDescent="0.2">
      <c r="B1416" s="67">
        <f t="shared" si="193"/>
        <v>652</v>
      </c>
      <c r="C1416" s="2"/>
      <c r="D1416" s="2"/>
      <c r="E1416" s="2"/>
      <c r="F1416" s="46" t="s">
        <v>165</v>
      </c>
      <c r="G1416" s="2">
        <v>633</v>
      </c>
      <c r="H1416" s="2" t="s">
        <v>131</v>
      </c>
      <c r="I1416" s="22">
        <v>1720</v>
      </c>
      <c r="J1416" s="22">
        <v>390</v>
      </c>
      <c r="K1416" s="225">
        <f t="shared" si="197"/>
        <v>22.674418604651162</v>
      </c>
      <c r="L1416" s="68"/>
      <c r="M1416" s="22"/>
      <c r="N1416" s="22"/>
      <c r="O1416" s="225"/>
      <c r="P1416" s="68"/>
      <c r="Q1416" s="22">
        <f t="shared" si="192"/>
        <v>1720</v>
      </c>
      <c r="R1416" s="22">
        <f t="shared" si="196"/>
        <v>390</v>
      </c>
      <c r="S1416" s="244">
        <f t="shared" si="198"/>
        <v>22.674418604651162</v>
      </c>
    </row>
    <row r="1417" spans="2:19" x14ac:dyDescent="0.2">
      <c r="B1417" s="67">
        <f t="shared" ref="B1417:B1481" si="199">B1416+1</f>
        <v>653</v>
      </c>
      <c r="C1417" s="2"/>
      <c r="D1417" s="2"/>
      <c r="E1417" s="2"/>
      <c r="F1417" s="46" t="s">
        <v>165</v>
      </c>
      <c r="G1417" s="2">
        <v>635</v>
      </c>
      <c r="H1417" s="2" t="s">
        <v>137</v>
      </c>
      <c r="I1417" s="22">
        <v>50</v>
      </c>
      <c r="J1417" s="22">
        <v>10</v>
      </c>
      <c r="K1417" s="225">
        <f t="shared" si="197"/>
        <v>20</v>
      </c>
      <c r="L1417" s="68"/>
      <c r="M1417" s="22"/>
      <c r="N1417" s="22"/>
      <c r="O1417" s="225"/>
      <c r="P1417" s="68"/>
      <c r="Q1417" s="22">
        <f t="shared" si="192"/>
        <v>50</v>
      </c>
      <c r="R1417" s="22">
        <f t="shared" si="196"/>
        <v>10</v>
      </c>
      <c r="S1417" s="244">
        <f t="shared" si="198"/>
        <v>20</v>
      </c>
    </row>
    <row r="1418" spans="2:19" x14ac:dyDescent="0.2">
      <c r="B1418" s="67">
        <f t="shared" si="199"/>
        <v>654</v>
      </c>
      <c r="C1418" s="2"/>
      <c r="D1418" s="2"/>
      <c r="E1418" s="2"/>
      <c r="F1418" s="46" t="s">
        <v>165</v>
      </c>
      <c r="G1418" s="2">
        <v>637</v>
      </c>
      <c r="H1418" s="2" t="s">
        <v>128</v>
      </c>
      <c r="I1418" s="22">
        <v>1125</v>
      </c>
      <c r="J1418" s="22">
        <v>173</v>
      </c>
      <c r="K1418" s="225">
        <f t="shared" si="197"/>
        <v>15.37777777777778</v>
      </c>
      <c r="L1418" s="68"/>
      <c r="M1418" s="22"/>
      <c r="N1418" s="22"/>
      <c r="O1418" s="225"/>
      <c r="P1418" s="68"/>
      <c r="Q1418" s="22">
        <f t="shared" si="192"/>
        <v>1125</v>
      </c>
      <c r="R1418" s="22">
        <f t="shared" si="196"/>
        <v>173</v>
      </c>
      <c r="S1418" s="244">
        <f t="shared" si="198"/>
        <v>15.37777777777778</v>
      </c>
    </row>
    <row r="1419" spans="2:19" x14ac:dyDescent="0.2">
      <c r="B1419" s="67">
        <f t="shared" si="199"/>
        <v>655</v>
      </c>
      <c r="C1419" s="10"/>
      <c r="D1419" s="10"/>
      <c r="E1419" s="10" t="s">
        <v>89</v>
      </c>
      <c r="F1419" s="44"/>
      <c r="G1419" s="10"/>
      <c r="H1419" s="10" t="s">
        <v>90</v>
      </c>
      <c r="I1419" s="41">
        <f>I1422+I1421+I1420</f>
        <v>45709</v>
      </c>
      <c r="J1419" s="41">
        <f>J1422+J1421+J1420+J1427</f>
        <v>20762</v>
      </c>
      <c r="K1419" s="225">
        <f t="shared" si="197"/>
        <v>45.422126933426675</v>
      </c>
      <c r="L1419" s="114"/>
      <c r="M1419" s="41">
        <f>M1422+M1421+M1420</f>
        <v>0</v>
      </c>
      <c r="N1419" s="41">
        <f>N1422+N1421+N1420</f>
        <v>0</v>
      </c>
      <c r="O1419" s="225"/>
      <c r="P1419" s="114"/>
      <c r="Q1419" s="41">
        <f t="shared" si="192"/>
        <v>45709</v>
      </c>
      <c r="R1419" s="41">
        <f t="shared" si="196"/>
        <v>20762</v>
      </c>
      <c r="S1419" s="244">
        <f t="shared" si="198"/>
        <v>45.422126933426675</v>
      </c>
    </row>
    <row r="1420" spans="2:19" x14ac:dyDescent="0.2">
      <c r="B1420" s="67">
        <f t="shared" si="199"/>
        <v>656</v>
      </c>
      <c r="C1420" s="11"/>
      <c r="D1420" s="11"/>
      <c r="E1420" s="11"/>
      <c r="F1420" s="45" t="s">
        <v>165</v>
      </c>
      <c r="G1420" s="11">
        <v>610</v>
      </c>
      <c r="H1420" s="11" t="s">
        <v>135</v>
      </c>
      <c r="I1420" s="42">
        <v>27677</v>
      </c>
      <c r="J1420" s="42">
        <v>13410</v>
      </c>
      <c r="K1420" s="225">
        <f t="shared" si="197"/>
        <v>48.451783068974244</v>
      </c>
      <c r="L1420" s="114"/>
      <c r="M1420" s="42"/>
      <c r="N1420" s="42"/>
      <c r="O1420" s="225"/>
      <c r="P1420" s="114"/>
      <c r="Q1420" s="42">
        <f t="shared" si="192"/>
        <v>27677</v>
      </c>
      <c r="R1420" s="42">
        <f t="shared" si="196"/>
        <v>13410</v>
      </c>
      <c r="S1420" s="244">
        <f t="shared" si="198"/>
        <v>48.451783068974244</v>
      </c>
    </row>
    <row r="1421" spans="2:19" x14ac:dyDescent="0.2">
      <c r="B1421" s="67">
        <f t="shared" si="199"/>
        <v>657</v>
      </c>
      <c r="C1421" s="11"/>
      <c r="D1421" s="11"/>
      <c r="E1421" s="11"/>
      <c r="F1421" s="45" t="s">
        <v>165</v>
      </c>
      <c r="G1421" s="11">
        <v>620</v>
      </c>
      <c r="H1421" s="11" t="s">
        <v>130</v>
      </c>
      <c r="I1421" s="42">
        <v>10282</v>
      </c>
      <c r="J1421" s="42">
        <v>5203</v>
      </c>
      <c r="K1421" s="225">
        <f t="shared" si="197"/>
        <v>50.602995526162218</v>
      </c>
      <c r="L1421" s="114"/>
      <c r="M1421" s="42"/>
      <c r="N1421" s="42"/>
      <c r="O1421" s="225"/>
      <c r="P1421" s="114"/>
      <c r="Q1421" s="42">
        <f t="shared" si="192"/>
        <v>10282</v>
      </c>
      <c r="R1421" s="42">
        <f t="shared" si="196"/>
        <v>5203</v>
      </c>
      <c r="S1421" s="244">
        <f t="shared" si="198"/>
        <v>50.602995526162218</v>
      </c>
    </row>
    <row r="1422" spans="2:19" x14ac:dyDescent="0.2">
      <c r="B1422" s="67">
        <f t="shared" si="199"/>
        <v>658</v>
      </c>
      <c r="C1422" s="11"/>
      <c r="D1422" s="11"/>
      <c r="E1422" s="11"/>
      <c r="F1422" s="45" t="s">
        <v>165</v>
      </c>
      <c r="G1422" s="11">
        <v>630</v>
      </c>
      <c r="H1422" s="11" t="s">
        <v>127</v>
      </c>
      <c r="I1422" s="42">
        <f>I1426+I1425+I1424+I1423</f>
        <v>7750</v>
      </c>
      <c r="J1422" s="42">
        <f>J1426+J1425+J1424+J1423</f>
        <v>2065</v>
      </c>
      <c r="K1422" s="225">
        <f t="shared" si="197"/>
        <v>26.645161290322584</v>
      </c>
      <c r="L1422" s="114"/>
      <c r="M1422" s="42">
        <f>M1426+M1425+M1424+M1423</f>
        <v>0</v>
      </c>
      <c r="N1422" s="42">
        <f>N1426+N1425+N1424+N1423</f>
        <v>0</v>
      </c>
      <c r="O1422" s="225"/>
      <c r="P1422" s="114"/>
      <c r="Q1422" s="42">
        <f t="shared" si="192"/>
        <v>7750</v>
      </c>
      <c r="R1422" s="42">
        <f t="shared" si="196"/>
        <v>2065</v>
      </c>
      <c r="S1422" s="244">
        <f t="shared" si="198"/>
        <v>26.645161290322584</v>
      </c>
    </row>
    <row r="1423" spans="2:19" x14ac:dyDescent="0.2">
      <c r="B1423" s="67">
        <f t="shared" si="199"/>
        <v>659</v>
      </c>
      <c r="C1423" s="2"/>
      <c r="D1423" s="2"/>
      <c r="E1423" s="2"/>
      <c r="F1423" s="46" t="s">
        <v>165</v>
      </c>
      <c r="G1423" s="2">
        <v>632</v>
      </c>
      <c r="H1423" s="2" t="s">
        <v>138</v>
      </c>
      <c r="I1423" s="22">
        <v>580</v>
      </c>
      <c r="J1423" s="22">
        <v>334</v>
      </c>
      <c r="K1423" s="225">
        <f t="shared" si="197"/>
        <v>57.58620689655173</v>
      </c>
      <c r="L1423" s="68"/>
      <c r="M1423" s="22"/>
      <c r="N1423" s="22"/>
      <c r="O1423" s="225"/>
      <c r="P1423" s="68"/>
      <c r="Q1423" s="22">
        <f t="shared" si="192"/>
        <v>580</v>
      </c>
      <c r="R1423" s="22">
        <f t="shared" si="196"/>
        <v>334</v>
      </c>
      <c r="S1423" s="244">
        <f t="shared" si="198"/>
        <v>57.58620689655173</v>
      </c>
    </row>
    <row r="1424" spans="2:19" x14ac:dyDescent="0.2">
      <c r="B1424" s="67">
        <f t="shared" si="199"/>
        <v>660</v>
      </c>
      <c r="C1424" s="2"/>
      <c r="D1424" s="2"/>
      <c r="E1424" s="2"/>
      <c r="F1424" s="46" t="s">
        <v>165</v>
      </c>
      <c r="G1424" s="2">
        <v>633</v>
      </c>
      <c r="H1424" s="2" t="s">
        <v>131</v>
      </c>
      <c r="I1424" s="22">
        <v>4150</v>
      </c>
      <c r="J1424" s="22">
        <v>708</v>
      </c>
      <c r="K1424" s="225">
        <f t="shared" si="197"/>
        <v>17.060240963855421</v>
      </c>
      <c r="L1424" s="68"/>
      <c r="M1424" s="22"/>
      <c r="N1424" s="22"/>
      <c r="O1424" s="225"/>
      <c r="P1424" s="68"/>
      <c r="Q1424" s="22">
        <f t="shared" si="192"/>
        <v>4150</v>
      </c>
      <c r="R1424" s="22">
        <f t="shared" si="196"/>
        <v>708</v>
      </c>
      <c r="S1424" s="244">
        <f t="shared" si="198"/>
        <v>17.060240963855421</v>
      </c>
    </row>
    <row r="1425" spans="2:19" x14ac:dyDescent="0.2">
      <c r="B1425" s="67">
        <f t="shared" si="199"/>
        <v>661</v>
      </c>
      <c r="C1425" s="2"/>
      <c r="D1425" s="2"/>
      <c r="E1425" s="2"/>
      <c r="F1425" s="46" t="s">
        <v>165</v>
      </c>
      <c r="G1425" s="2">
        <v>635</v>
      </c>
      <c r="H1425" s="2" t="s">
        <v>137</v>
      </c>
      <c r="I1425" s="22">
        <v>100</v>
      </c>
      <c r="J1425" s="22">
        <v>0</v>
      </c>
      <c r="K1425" s="225">
        <f t="shared" si="197"/>
        <v>0</v>
      </c>
      <c r="L1425" s="68"/>
      <c r="M1425" s="22"/>
      <c r="N1425" s="22"/>
      <c r="O1425" s="225"/>
      <c r="P1425" s="68"/>
      <c r="Q1425" s="22">
        <f t="shared" ref="Q1425:Q1489" si="200">M1425+I1425</f>
        <v>100</v>
      </c>
      <c r="R1425" s="22">
        <f t="shared" si="196"/>
        <v>0</v>
      </c>
      <c r="S1425" s="244">
        <f t="shared" si="198"/>
        <v>0</v>
      </c>
    </row>
    <row r="1426" spans="2:19" x14ac:dyDescent="0.2">
      <c r="B1426" s="67">
        <f t="shared" si="199"/>
        <v>662</v>
      </c>
      <c r="C1426" s="2"/>
      <c r="D1426" s="2"/>
      <c r="E1426" s="2"/>
      <c r="F1426" s="46" t="s">
        <v>165</v>
      </c>
      <c r="G1426" s="2">
        <v>637</v>
      </c>
      <c r="H1426" s="2" t="s">
        <v>128</v>
      </c>
      <c r="I1426" s="22">
        <v>2920</v>
      </c>
      <c r="J1426" s="22">
        <v>1023</v>
      </c>
      <c r="K1426" s="225">
        <f t="shared" si="197"/>
        <v>35.034246575342465</v>
      </c>
      <c r="L1426" s="68"/>
      <c r="M1426" s="22"/>
      <c r="N1426" s="22"/>
      <c r="O1426" s="225"/>
      <c r="P1426" s="68"/>
      <c r="Q1426" s="22">
        <f t="shared" si="200"/>
        <v>2920</v>
      </c>
      <c r="R1426" s="22">
        <f t="shared" si="196"/>
        <v>1023</v>
      </c>
      <c r="S1426" s="244">
        <f t="shared" si="198"/>
        <v>35.034246575342465</v>
      </c>
    </row>
    <row r="1427" spans="2:19" x14ac:dyDescent="0.2">
      <c r="B1427" s="67">
        <f t="shared" si="199"/>
        <v>663</v>
      </c>
      <c r="C1427" s="2"/>
      <c r="D1427" s="2"/>
      <c r="E1427" s="2"/>
      <c r="F1427" s="45" t="s">
        <v>165</v>
      </c>
      <c r="G1427" s="11">
        <v>640</v>
      </c>
      <c r="H1427" s="11" t="s">
        <v>134</v>
      </c>
      <c r="I1427" s="42">
        <v>0</v>
      </c>
      <c r="J1427" s="42">
        <v>84</v>
      </c>
      <c r="K1427" s="225"/>
      <c r="L1427" s="114"/>
      <c r="M1427" s="42"/>
      <c r="N1427" s="42"/>
      <c r="O1427" s="225"/>
      <c r="P1427" s="114"/>
      <c r="Q1427" s="42">
        <f t="shared" si="200"/>
        <v>0</v>
      </c>
      <c r="R1427" s="42">
        <f t="shared" ref="R1427" si="201">N1427+J1427</f>
        <v>84</v>
      </c>
      <c r="S1427" s="244">
        <v>0</v>
      </c>
    </row>
    <row r="1428" spans="2:19" ht="15" x14ac:dyDescent="0.25">
      <c r="B1428" s="67">
        <f t="shared" si="199"/>
        <v>664</v>
      </c>
      <c r="C1428" s="14"/>
      <c r="D1428" s="14"/>
      <c r="E1428" s="14">
        <v>6</v>
      </c>
      <c r="F1428" s="43"/>
      <c r="G1428" s="14"/>
      <c r="H1428" s="14" t="s">
        <v>81</v>
      </c>
      <c r="I1428" s="40">
        <f>I1429+I1430+I1431+I1436+I1437+I1438+I1439+I1444</f>
        <v>68669</v>
      </c>
      <c r="J1428" s="40">
        <f>J1429+J1430+J1431+J1436+J1437+J1438+J1439+J1444</f>
        <v>27241</v>
      </c>
      <c r="K1428" s="225">
        <f t="shared" si="197"/>
        <v>39.670011213211204</v>
      </c>
      <c r="L1428" s="175"/>
      <c r="M1428" s="40">
        <f>M1429+M1430+M1431+M1436+M1437+M1438+M1439+M1444</f>
        <v>0</v>
      </c>
      <c r="N1428" s="40">
        <f>N1429+N1430+N1431+N1436+N1437+N1438+N1439+N1444</f>
        <v>0</v>
      </c>
      <c r="O1428" s="225"/>
      <c r="P1428" s="175"/>
      <c r="Q1428" s="40">
        <f t="shared" si="200"/>
        <v>68669</v>
      </c>
      <c r="R1428" s="40">
        <f t="shared" si="196"/>
        <v>27241</v>
      </c>
      <c r="S1428" s="244">
        <f t="shared" si="198"/>
        <v>39.670011213211204</v>
      </c>
    </row>
    <row r="1429" spans="2:19" x14ac:dyDescent="0.2">
      <c r="B1429" s="67">
        <f t="shared" si="199"/>
        <v>665</v>
      </c>
      <c r="C1429" s="11"/>
      <c r="D1429" s="11"/>
      <c r="E1429" s="11"/>
      <c r="F1429" s="45" t="s">
        <v>80</v>
      </c>
      <c r="G1429" s="11">
        <v>610</v>
      </c>
      <c r="H1429" s="11" t="s">
        <v>135</v>
      </c>
      <c r="I1429" s="42">
        <v>20231</v>
      </c>
      <c r="J1429" s="42">
        <v>8649</v>
      </c>
      <c r="K1429" s="225">
        <f t="shared" si="197"/>
        <v>42.751223370075628</v>
      </c>
      <c r="L1429" s="114"/>
      <c r="M1429" s="42"/>
      <c r="N1429" s="42"/>
      <c r="O1429" s="225"/>
      <c r="P1429" s="114"/>
      <c r="Q1429" s="42">
        <f t="shared" si="200"/>
        <v>20231</v>
      </c>
      <c r="R1429" s="42">
        <f t="shared" si="196"/>
        <v>8649</v>
      </c>
      <c r="S1429" s="244">
        <f t="shared" si="198"/>
        <v>42.751223370075628</v>
      </c>
    </row>
    <row r="1430" spans="2:19" x14ac:dyDescent="0.2">
      <c r="B1430" s="67">
        <f t="shared" si="199"/>
        <v>666</v>
      </c>
      <c r="C1430" s="11"/>
      <c r="D1430" s="11"/>
      <c r="E1430" s="11"/>
      <c r="F1430" s="45" t="s">
        <v>80</v>
      </c>
      <c r="G1430" s="11">
        <v>620</v>
      </c>
      <c r="H1430" s="11" t="s">
        <v>130</v>
      </c>
      <c r="I1430" s="42">
        <v>7616</v>
      </c>
      <c r="J1430" s="42">
        <v>2975</v>
      </c>
      <c r="K1430" s="225">
        <f t="shared" si="197"/>
        <v>39.0625</v>
      </c>
      <c r="L1430" s="114"/>
      <c r="M1430" s="42"/>
      <c r="N1430" s="42"/>
      <c r="O1430" s="225"/>
      <c r="P1430" s="114"/>
      <c r="Q1430" s="42">
        <f t="shared" si="200"/>
        <v>7616</v>
      </c>
      <c r="R1430" s="42">
        <f t="shared" si="196"/>
        <v>2975</v>
      </c>
      <c r="S1430" s="244">
        <f t="shared" si="198"/>
        <v>39.0625</v>
      </c>
    </row>
    <row r="1431" spans="2:19" x14ac:dyDescent="0.2">
      <c r="B1431" s="67">
        <f t="shared" si="199"/>
        <v>667</v>
      </c>
      <c r="C1431" s="11"/>
      <c r="D1431" s="11"/>
      <c r="E1431" s="11"/>
      <c r="F1431" s="45" t="s">
        <v>80</v>
      </c>
      <c r="G1431" s="11">
        <v>630</v>
      </c>
      <c r="H1431" s="11" t="s">
        <v>127</v>
      </c>
      <c r="I1431" s="42">
        <f>I1435+I1434+I1433+I1432</f>
        <v>6380</v>
      </c>
      <c r="J1431" s="42">
        <f>J1435+J1434+J1433+J1432</f>
        <v>2280</v>
      </c>
      <c r="K1431" s="225">
        <f t="shared" si="197"/>
        <v>35.736677115987462</v>
      </c>
      <c r="L1431" s="114"/>
      <c r="M1431" s="42">
        <f>M1435+M1434+M1433+M1432</f>
        <v>0</v>
      </c>
      <c r="N1431" s="42">
        <f>N1435+N1434+N1433+N1432</f>
        <v>0</v>
      </c>
      <c r="O1431" s="225"/>
      <c r="P1431" s="114"/>
      <c r="Q1431" s="42">
        <f t="shared" si="200"/>
        <v>6380</v>
      </c>
      <c r="R1431" s="42">
        <f t="shared" si="196"/>
        <v>2280</v>
      </c>
      <c r="S1431" s="244">
        <f t="shared" si="198"/>
        <v>35.736677115987462</v>
      </c>
    </row>
    <row r="1432" spans="2:19" x14ac:dyDescent="0.2">
      <c r="B1432" s="67">
        <f t="shared" si="199"/>
        <v>668</v>
      </c>
      <c r="C1432" s="2"/>
      <c r="D1432" s="2"/>
      <c r="E1432" s="2"/>
      <c r="F1432" s="46" t="s">
        <v>80</v>
      </c>
      <c r="G1432" s="2">
        <v>632</v>
      </c>
      <c r="H1432" s="2" t="s">
        <v>138</v>
      </c>
      <c r="I1432" s="22">
        <v>4534</v>
      </c>
      <c r="J1432" s="22">
        <v>1378</v>
      </c>
      <c r="K1432" s="225">
        <f t="shared" si="197"/>
        <v>30.392589325099252</v>
      </c>
      <c r="L1432" s="68"/>
      <c r="M1432" s="22"/>
      <c r="N1432" s="22"/>
      <c r="O1432" s="225"/>
      <c r="P1432" s="68"/>
      <c r="Q1432" s="22">
        <f t="shared" si="200"/>
        <v>4534</v>
      </c>
      <c r="R1432" s="22">
        <f t="shared" si="196"/>
        <v>1378</v>
      </c>
      <c r="S1432" s="244">
        <f t="shared" si="198"/>
        <v>30.392589325099252</v>
      </c>
    </row>
    <row r="1433" spans="2:19" x14ac:dyDescent="0.2">
      <c r="B1433" s="67">
        <f t="shared" si="199"/>
        <v>669</v>
      </c>
      <c r="C1433" s="2"/>
      <c r="D1433" s="2"/>
      <c r="E1433" s="2"/>
      <c r="F1433" s="46" t="s">
        <v>80</v>
      </c>
      <c r="G1433" s="2">
        <v>633</v>
      </c>
      <c r="H1433" s="2" t="s">
        <v>131</v>
      </c>
      <c r="I1433" s="22">
        <v>510</v>
      </c>
      <c r="J1433" s="22">
        <v>151</v>
      </c>
      <c r="K1433" s="225">
        <f t="shared" si="197"/>
        <v>29.607843137254903</v>
      </c>
      <c r="L1433" s="68"/>
      <c r="M1433" s="22"/>
      <c r="N1433" s="22"/>
      <c r="O1433" s="225"/>
      <c r="P1433" s="68"/>
      <c r="Q1433" s="22">
        <f t="shared" si="200"/>
        <v>510</v>
      </c>
      <c r="R1433" s="22">
        <f t="shared" si="196"/>
        <v>151</v>
      </c>
      <c r="S1433" s="244">
        <f t="shared" si="198"/>
        <v>29.607843137254903</v>
      </c>
    </row>
    <row r="1434" spans="2:19" x14ac:dyDescent="0.2">
      <c r="B1434" s="67">
        <f t="shared" si="199"/>
        <v>670</v>
      </c>
      <c r="C1434" s="2"/>
      <c r="D1434" s="2"/>
      <c r="E1434" s="2"/>
      <c r="F1434" s="46" t="s">
        <v>80</v>
      </c>
      <c r="G1434" s="2">
        <v>635</v>
      </c>
      <c r="H1434" s="2" t="s">
        <v>137</v>
      </c>
      <c r="I1434" s="22">
        <v>204</v>
      </c>
      <c r="J1434" s="22">
        <v>0</v>
      </c>
      <c r="K1434" s="225">
        <f t="shared" si="197"/>
        <v>0</v>
      </c>
      <c r="L1434" s="68"/>
      <c r="M1434" s="22"/>
      <c r="N1434" s="22"/>
      <c r="O1434" s="225"/>
      <c r="P1434" s="68"/>
      <c r="Q1434" s="22">
        <f t="shared" si="200"/>
        <v>204</v>
      </c>
      <c r="R1434" s="22">
        <f t="shared" si="196"/>
        <v>0</v>
      </c>
      <c r="S1434" s="244">
        <f t="shared" si="198"/>
        <v>0</v>
      </c>
    </row>
    <row r="1435" spans="2:19" x14ac:dyDescent="0.2">
      <c r="B1435" s="67">
        <f t="shared" si="199"/>
        <v>671</v>
      </c>
      <c r="C1435" s="2"/>
      <c r="D1435" s="2"/>
      <c r="E1435" s="2"/>
      <c r="F1435" s="46" t="s">
        <v>80</v>
      </c>
      <c r="G1435" s="2">
        <v>637</v>
      </c>
      <c r="H1435" s="2" t="s">
        <v>128</v>
      </c>
      <c r="I1435" s="22">
        <v>1132</v>
      </c>
      <c r="J1435" s="22">
        <v>751</v>
      </c>
      <c r="K1435" s="225">
        <f t="shared" si="197"/>
        <v>66.342756183745593</v>
      </c>
      <c r="L1435" s="68"/>
      <c r="M1435" s="22"/>
      <c r="N1435" s="22"/>
      <c r="O1435" s="225"/>
      <c r="P1435" s="68"/>
      <c r="Q1435" s="22">
        <f t="shared" si="200"/>
        <v>1132</v>
      </c>
      <c r="R1435" s="22">
        <f t="shared" si="196"/>
        <v>751</v>
      </c>
      <c r="S1435" s="244">
        <f t="shared" si="198"/>
        <v>66.342756183745593</v>
      </c>
    </row>
    <row r="1436" spans="2:19" x14ac:dyDescent="0.2">
      <c r="B1436" s="67">
        <f t="shared" si="199"/>
        <v>672</v>
      </c>
      <c r="C1436" s="11"/>
      <c r="D1436" s="11"/>
      <c r="E1436" s="11"/>
      <c r="F1436" s="45" t="s">
        <v>80</v>
      </c>
      <c r="G1436" s="11">
        <v>640</v>
      </c>
      <c r="H1436" s="11" t="s">
        <v>134</v>
      </c>
      <c r="I1436" s="42">
        <v>107</v>
      </c>
      <c r="J1436" s="42">
        <v>0</v>
      </c>
      <c r="K1436" s="225">
        <f t="shared" si="197"/>
        <v>0</v>
      </c>
      <c r="L1436" s="114"/>
      <c r="M1436" s="42"/>
      <c r="N1436" s="42"/>
      <c r="O1436" s="225"/>
      <c r="P1436" s="114"/>
      <c r="Q1436" s="42">
        <f t="shared" si="200"/>
        <v>107</v>
      </c>
      <c r="R1436" s="42">
        <f t="shared" si="196"/>
        <v>0</v>
      </c>
      <c r="S1436" s="244">
        <f t="shared" si="198"/>
        <v>0</v>
      </c>
    </row>
    <row r="1437" spans="2:19" x14ac:dyDescent="0.2">
      <c r="B1437" s="67">
        <f t="shared" si="199"/>
        <v>673</v>
      </c>
      <c r="C1437" s="11"/>
      <c r="D1437" s="11"/>
      <c r="E1437" s="11"/>
      <c r="F1437" s="45" t="s">
        <v>269</v>
      </c>
      <c r="G1437" s="11">
        <v>610</v>
      </c>
      <c r="H1437" s="11" t="s">
        <v>135</v>
      </c>
      <c r="I1437" s="42">
        <v>20232</v>
      </c>
      <c r="J1437" s="42">
        <v>7309</v>
      </c>
      <c r="K1437" s="225">
        <f t="shared" si="197"/>
        <v>36.125939106366154</v>
      </c>
      <c r="L1437" s="114"/>
      <c r="M1437" s="42"/>
      <c r="N1437" s="42"/>
      <c r="O1437" s="225"/>
      <c r="P1437" s="114"/>
      <c r="Q1437" s="42">
        <f t="shared" si="200"/>
        <v>20232</v>
      </c>
      <c r="R1437" s="42">
        <f t="shared" si="196"/>
        <v>7309</v>
      </c>
      <c r="S1437" s="244">
        <f t="shared" si="198"/>
        <v>36.125939106366154</v>
      </c>
    </row>
    <row r="1438" spans="2:19" x14ac:dyDescent="0.2">
      <c r="B1438" s="67">
        <f t="shared" si="199"/>
        <v>674</v>
      </c>
      <c r="C1438" s="11"/>
      <c r="D1438" s="11"/>
      <c r="E1438" s="11"/>
      <c r="F1438" s="45" t="s">
        <v>269</v>
      </c>
      <c r="G1438" s="11">
        <v>620</v>
      </c>
      <c r="H1438" s="11" t="s">
        <v>130</v>
      </c>
      <c r="I1438" s="42">
        <v>7616</v>
      </c>
      <c r="J1438" s="42">
        <v>2651</v>
      </c>
      <c r="K1438" s="225">
        <f t="shared" si="197"/>
        <v>34.808298319327733</v>
      </c>
      <c r="L1438" s="114"/>
      <c r="M1438" s="42"/>
      <c r="N1438" s="42"/>
      <c r="O1438" s="225"/>
      <c r="P1438" s="114"/>
      <c r="Q1438" s="42">
        <f t="shared" si="200"/>
        <v>7616</v>
      </c>
      <c r="R1438" s="42">
        <f t="shared" si="196"/>
        <v>2651</v>
      </c>
      <c r="S1438" s="244">
        <f t="shared" si="198"/>
        <v>34.808298319327733</v>
      </c>
    </row>
    <row r="1439" spans="2:19" x14ac:dyDescent="0.2">
      <c r="B1439" s="67">
        <f t="shared" si="199"/>
        <v>675</v>
      </c>
      <c r="C1439" s="11"/>
      <c r="D1439" s="11"/>
      <c r="E1439" s="11"/>
      <c r="F1439" s="45" t="s">
        <v>269</v>
      </c>
      <c r="G1439" s="11">
        <v>630</v>
      </c>
      <c r="H1439" s="11" t="s">
        <v>127</v>
      </c>
      <c r="I1439" s="42">
        <f>I1443+I1442+I1441+I1440</f>
        <v>6380</v>
      </c>
      <c r="J1439" s="42">
        <f>J1443+J1442+J1441+J1440</f>
        <v>2487</v>
      </c>
      <c r="K1439" s="225">
        <f t="shared" si="197"/>
        <v>38.98119122257053</v>
      </c>
      <c r="L1439" s="114"/>
      <c r="M1439" s="42">
        <f>M1443+M1442+M1441+M1440</f>
        <v>0</v>
      </c>
      <c r="N1439" s="42">
        <f>N1443+N1442+N1441+N1440</f>
        <v>0</v>
      </c>
      <c r="O1439" s="225"/>
      <c r="P1439" s="114"/>
      <c r="Q1439" s="42">
        <f t="shared" si="200"/>
        <v>6380</v>
      </c>
      <c r="R1439" s="42">
        <f t="shared" si="196"/>
        <v>2487</v>
      </c>
      <c r="S1439" s="244">
        <f t="shared" si="198"/>
        <v>38.98119122257053</v>
      </c>
    </row>
    <row r="1440" spans="2:19" x14ac:dyDescent="0.2">
      <c r="B1440" s="67">
        <f t="shared" si="199"/>
        <v>676</v>
      </c>
      <c r="C1440" s="2"/>
      <c r="D1440" s="2"/>
      <c r="E1440" s="2"/>
      <c r="F1440" s="46" t="s">
        <v>269</v>
      </c>
      <c r="G1440" s="2">
        <v>632</v>
      </c>
      <c r="H1440" s="2" t="s">
        <v>138</v>
      </c>
      <c r="I1440" s="22">
        <v>4534</v>
      </c>
      <c r="J1440" s="22">
        <v>1569</v>
      </c>
      <c r="K1440" s="225">
        <f t="shared" si="197"/>
        <v>34.605205116894574</v>
      </c>
      <c r="L1440" s="68"/>
      <c r="M1440" s="22"/>
      <c r="N1440" s="22"/>
      <c r="O1440" s="225"/>
      <c r="P1440" s="68"/>
      <c r="Q1440" s="22">
        <f t="shared" si="200"/>
        <v>4534</v>
      </c>
      <c r="R1440" s="22">
        <f t="shared" si="196"/>
        <v>1569</v>
      </c>
      <c r="S1440" s="244">
        <f t="shared" si="198"/>
        <v>34.605205116894574</v>
      </c>
    </row>
    <row r="1441" spans="2:19" x14ac:dyDescent="0.2">
      <c r="B1441" s="67">
        <f t="shared" si="199"/>
        <v>677</v>
      </c>
      <c r="C1441" s="2"/>
      <c r="D1441" s="2"/>
      <c r="E1441" s="2"/>
      <c r="F1441" s="46" t="s">
        <v>269</v>
      </c>
      <c r="G1441" s="2">
        <v>633</v>
      </c>
      <c r="H1441" s="2" t="s">
        <v>131</v>
      </c>
      <c r="I1441" s="22">
        <v>510</v>
      </c>
      <c r="J1441" s="22">
        <v>152</v>
      </c>
      <c r="K1441" s="225">
        <f t="shared" si="197"/>
        <v>29.803921568627452</v>
      </c>
      <c r="L1441" s="68"/>
      <c r="M1441" s="22"/>
      <c r="N1441" s="22"/>
      <c r="O1441" s="225"/>
      <c r="P1441" s="68"/>
      <c r="Q1441" s="22">
        <f t="shared" si="200"/>
        <v>510</v>
      </c>
      <c r="R1441" s="22">
        <f t="shared" si="196"/>
        <v>152</v>
      </c>
      <c r="S1441" s="244">
        <f t="shared" si="198"/>
        <v>29.803921568627452</v>
      </c>
    </row>
    <row r="1442" spans="2:19" x14ac:dyDescent="0.2">
      <c r="B1442" s="67">
        <f t="shared" si="199"/>
        <v>678</v>
      </c>
      <c r="C1442" s="2"/>
      <c r="D1442" s="2"/>
      <c r="E1442" s="2"/>
      <c r="F1442" s="46" t="s">
        <v>269</v>
      </c>
      <c r="G1442" s="2">
        <v>635</v>
      </c>
      <c r="H1442" s="2" t="s">
        <v>137</v>
      </c>
      <c r="I1442" s="22">
        <v>204</v>
      </c>
      <c r="J1442" s="22">
        <v>0</v>
      </c>
      <c r="K1442" s="225">
        <f t="shared" si="197"/>
        <v>0</v>
      </c>
      <c r="L1442" s="68"/>
      <c r="M1442" s="22"/>
      <c r="N1442" s="22"/>
      <c r="O1442" s="225"/>
      <c r="P1442" s="68"/>
      <c r="Q1442" s="22">
        <f t="shared" si="200"/>
        <v>204</v>
      </c>
      <c r="R1442" s="22">
        <f t="shared" si="196"/>
        <v>0</v>
      </c>
      <c r="S1442" s="244">
        <f t="shared" si="198"/>
        <v>0</v>
      </c>
    </row>
    <row r="1443" spans="2:19" x14ac:dyDescent="0.2">
      <c r="B1443" s="67">
        <f t="shared" si="199"/>
        <v>679</v>
      </c>
      <c r="C1443" s="2"/>
      <c r="D1443" s="2"/>
      <c r="E1443" s="2"/>
      <c r="F1443" s="46" t="s">
        <v>269</v>
      </c>
      <c r="G1443" s="2">
        <v>637</v>
      </c>
      <c r="H1443" s="2" t="s">
        <v>128</v>
      </c>
      <c r="I1443" s="22">
        <v>1132</v>
      </c>
      <c r="J1443" s="22">
        <v>766</v>
      </c>
      <c r="K1443" s="225">
        <f t="shared" si="197"/>
        <v>67.667844522968196</v>
      </c>
      <c r="L1443" s="68"/>
      <c r="M1443" s="22"/>
      <c r="N1443" s="22"/>
      <c r="O1443" s="225"/>
      <c r="P1443" s="68"/>
      <c r="Q1443" s="22">
        <f t="shared" si="200"/>
        <v>1132</v>
      </c>
      <c r="R1443" s="22">
        <f t="shared" si="196"/>
        <v>766</v>
      </c>
      <c r="S1443" s="244">
        <f t="shared" si="198"/>
        <v>67.667844522968196</v>
      </c>
    </row>
    <row r="1444" spans="2:19" x14ac:dyDescent="0.2">
      <c r="B1444" s="67">
        <f t="shared" si="199"/>
        <v>680</v>
      </c>
      <c r="C1444" s="11"/>
      <c r="D1444" s="11"/>
      <c r="E1444" s="11"/>
      <c r="F1444" s="45" t="s">
        <v>269</v>
      </c>
      <c r="G1444" s="11">
        <v>640</v>
      </c>
      <c r="H1444" s="11" t="s">
        <v>134</v>
      </c>
      <c r="I1444" s="42">
        <v>107</v>
      </c>
      <c r="J1444" s="42">
        <v>890</v>
      </c>
      <c r="K1444" s="225">
        <f t="shared" si="197"/>
        <v>831.77570093457939</v>
      </c>
      <c r="L1444" s="114"/>
      <c r="M1444" s="42"/>
      <c r="N1444" s="42"/>
      <c r="O1444" s="225"/>
      <c r="P1444" s="114"/>
      <c r="Q1444" s="42">
        <f t="shared" si="200"/>
        <v>107</v>
      </c>
      <c r="R1444" s="42">
        <f t="shared" si="196"/>
        <v>890</v>
      </c>
      <c r="S1444" s="244">
        <f t="shared" si="198"/>
        <v>831.77570093457939</v>
      </c>
    </row>
    <row r="1445" spans="2:19" ht="15" x14ac:dyDescent="0.25">
      <c r="B1445" s="67">
        <f t="shared" si="199"/>
        <v>681</v>
      </c>
      <c r="C1445" s="14"/>
      <c r="D1445" s="14"/>
      <c r="E1445" s="14">
        <v>7</v>
      </c>
      <c r="F1445" s="43"/>
      <c r="G1445" s="14"/>
      <c r="H1445" s="14" t="s">
        <v>316</v>
      </c>
      <c r="I1445" s="40">
        <f>I1446+I1447+I1448+I1453+I1454+I1455+I1456+I1461</f>
        <v>93601</v>
      </c>
      <c r="J1445" s="40">
        <f>J1446+J1447+J1448+J1453+J1454+J1455+J1456</f>
        <v>39757</v>
      </c>
      <c r="K1445" s="225">
        <f t="shared" si="197"/>
        <v>42.474973557974813</v>
      </c>
      <c r="L1445" s="175"/>
      <c r="M1445" s="40">
        <f>M1446+M1447+M1448+M1453+M1454+M1455+M1456+M1461</f>
        <v>0</v>
      </c>
      <c r="N1445" s="40">
        <f>N1446+N1447+N1448+N1453+N1454+N1455+N1456+N1461</f>
        <v>0</v>
      </c>
      <c r="O1445" s="225"/>
      <c r="P1445" s="175"/>
      <c r="Q1445" s="40">
        <f t="shared" si="200"/>
        <v>93601</v>
      </c>
      <c r="R1445" s="40">
        <f t="shared" si="196"/>
        <v>39757</v>
      </c>
      <c r="S1445" s="244">
        <f t="shared" si="198"/>
        <v>42.474973557974813</v>
      </c>
    </row>
    <row r="1446" spans="2:19" x14ac:dyDescent="0.2">
      <c r="B1446" s="67">
        <f t="shared" si="199"/>
        <v>682</v>
      </c>
      <c r="C1446" s="11"/>
      <c r="D1446" s="11"/>
      <c r="E1446" s="11"/>
      <c r="F1446" s="45" t="s">
        <v>80</v>
      </c>
      <c r="G1446" s="11">
        <v>610</v>
      </c>
      <c r="H1446" s="11" t="s">
        <v>135</v>
      </c>
      <c r="I1446" s="42">
        <f>21509+3470</f>
        <v>24979</v>
      </c>
      <c r="J1446" s="42">
        <v>9019</v>
      </c>
      <c r="K1446" s="225">
        <f t="shared" si="197"/>
        <v>36.106329316625967</v>
      </c>
      <c r="L1446" s="114"/>
      <c r="M1446" s="42"/>
      <c r="N1446" s="42"/>
      <c r="O1446" s="225"/>
      <c r="P1446" s="114"/>
      <c r="Q1446" s="42">
        <f t="shared" si="200"/>
        <v>24979</v>
      </c>
      <c r="R1446" s="42">
        <f t="shared" si="196"/>
        <v>9019</v>
      </c>
      <c r="S1446" s="244">
        <f t="shared" si="198"/>
        <v>36.106329316625967</v>
      </c>
    </row>
    <row r="1447" spans="2:19" x14ac:dyDescent="0.2">
      <c r="B1447" s="67">
        <f t="shared" si="199"/>
        <v>683</v>
      </c>
      <c r="C1447" s="11"/>
      <c r="D1447" s="11"/>
      <c r="E1447" s="11"/>
      <c r="F1447" s="45" t="s">
        <v>80</v>
      </c>
      <c r="G1447" s="11">
        <v>620</v>
      </c>
      <c r="H1447" s="11" t="s">
        <v>130</v>
      </c>
      <c r="I1447" s="42">
        <f>7983+1221</f>
        <v>9204</v>
      </c>
      <c r="J1447" s="42">
        <v>3226</v>
      </c>
      <c r="K1447" s="225">
        <f t="shared" si="197"/>
        <v>35.049978270317254</v>
      </c>
      <c r="L1447" s="114"/>
      <c r="M1447" s="42"/>
      <c r="N1447" s="42"/>
      <c r="O1447" s="225"/>
      <c r="P1447" s="114"/>
      <c r="Q1447" s="42">
        <f t="shared" si="200"/>
        <v>9204</v>
      </c>
      <c r="R1447" s="42">
        <f t="shared" si="196"/>
        <v>3226</v>
      </c>
      <c r="S1447" s="244">
        <f t="shared" si="198"/>
        <v>35.049978270317254</v>
      </c>
    </row>
    <row r="1448" spans="2:19" x14ac:dyDescent="0.2">
      <c r="B1448" s="67">
        <f t="shared" si="199"/>
        <v>684</v>
      </c>
      <c r="C1448" s="11"/>
      <c r="D1448" s="11"/>
      <c r="E1448" s="11"/>
      <c r="F1448" s="45" t="s">
        <v>80</v>
      </c>
      <c r="G1448" s="11">
        <v>630</v>
      </c>
      <c r="H1448" s="11" t="s">
        <v>127</v>
      </c>
      <c r="I1448" s="42">
        <f>I1452+I1451+I1450+I1449</f>
        <v>4756</v>
      </c>
      <c r="J1448" s="42">
        <f>J1452+J1451+J1450+J1449</f>
        <v>2444</v>
      </c>
      <c r="K1448" s="225">
        <f t="shared" si="197"/>
        <v>51.387720773759462</v>
      </c>
      <c r="L1448" s="114"/>
      <c r="M1448" s="42">
        <f>M1452+M1451+M1450+M1449</f>
        <v>0</v>
      </c>
      <c r="N1448" s="42">
        <f>N1452+N1451+N1450+N1449</f>
        <v>0</v>
      </c>
      <c r="O1448" s="225"/>
      <c r="P1448" s="114"/>
      <c r="Q1448" s="42">
        <f t="shared" si="200"/>
        <v>4756</v>
      </c>
      <c r="R1448" s="42">
        <f t="shared" si="196"/>
        <v>2444</v>
      </c>
      <c r="S1448" s="244">
        <f t="shared" si="198"/>
        <v>51.387720773759462</v>
      </c>
    </row>
    <row r="1449" spans="2:19" x14ac:dyDescent="0.2">
      <c r="B1449" s="67">
        <f t="shared" si="199"/>
        <v>685</v>
      </c>
      <c r="C1449" s="2"/>
      <c r="D1449" s="2"/>
      <c r="E1449" s="2"/>
      <c r="F1449" s="46" t="s">
        <v>80</v>
      </c>
      <c r="G1449" s="2">
        <v>632</v>
      </c>
      <c r="H1449" s="2" t="s">
        <v>138</v>
      </c>
      <c r="I1449" s="22">
        <v>1290</v>
      </c>
      <c r="J1449" s="22">
        <v>473</v>
      </c>
      <c r="K1449" s="225">
        <f t="shared" si="197"/>
        <v>36.666666666666664</v>
      </c>
      <c r="L1449" s="68"/>
      <c r="M1449" s="22"/>
      <c r="N1449" s="22"/>
      <c r="O1449" s="225"/>
      <c r="P1449" s="68"/>
      <c r="Q1449" s="22">
        <f t="shared" si="200"/>
        <v>1290</v>
      </c>
      <c r="R1449" s="22">
        <f t="shared" si="196"/>
        <v>473</v>
      </c>
      <c r="S1449" s="244">
        <f t="shared" si="198"/>
        <v>36.666666666666664</v>
      </c>
    </row>
    <row r="1450" spans="2:19" x14ac:dyDescent="0.2">
      <c r="B1450" s="67">
        <f t="shared" si="199"/>
        <v>686</v>
      </c>
      <c r="C1450" s="2"/>
      <c r="D1450" s="2"/>
      <c r="E1450" s="2"/>
      <c r="F1450" s="46" t="s">
        <v>80</v>
      </c>
      <c r="G1450" s="2">
        <v>633</v>
      </c>
      <c r="H1450" s="2" t="s">
        <v>131</v>
      </c>
      <c r="I1450" s="22">
        <v>1316</v>
      </c>
      <c r="J1450" s="22">
        <v>747</v>
      </c>
      <c r="K1450" s="225">
        <f t="shared" si="197"/>
        <v>56.762917933130694</v>
      </c>
      <c r="L1450" s="68"/>
      <c r="M1450" s="22"/>
      <c r="N1450" s="22"/>
      <c r="O1450" s="225"/>
      <c r="P1450" s="68"/>
      <c r="Q1450" s="22">
        <f t="shared" si="200"/>
        <v>1316</v>
      </c>
      <c r="R1450" s="22">
        <f t="shared" si="196"/>
        <v>747</v>
      </c>
      <c r="S1450" s="244">
        <f t="shared" si="198"/>
        <v>56.762917933130694</v>
      </c>
    </row>
    <row r="1451" spans="2:19" x14ac:dyDescent="0.2">
      <c r="B1451" s="67">
        <f t="shared" si="199"/>
        <v>687</v>
      </c>
      <c r="C1451" s="2"/>
      <c r="D1451" s="2"/>
      <c r="E1451" s="2"/>
      <c r="F1451" s="46" t="s">
        <v>80</v>
      </c>
      <c r="G1451" s="2">
        <v>635</v>
      </c>
      <c r="H1451" s="2" t="s">
        <v>137</v>
      </c>
      <c r="I1451" s="22">
        <v>645</v>
      </c>
      <c r="J1451" s="22">
        <v>601</v>
      </c>
      <c r="K1451" s="225">
        <f t="shared" si="197"/>
        <v>93.178294573643399</v>
      </c>
      <c r="L1451" s="68"/>
      <c r="M1451" s="22"/>
      <c r="N1451" s="22"/>
      <c r="O1451" s="225"/>
      <c r="P1451" s="68"/>
      <c r="Q1451" s="22">
        <f t="shared" si="200"/>
        <v>645</v>
      </c>
      <c r="R1451" s="22">
        <f t="shared" si="196"/>
        <v>601</v>
      </c>
      <c r="S1451" s="244">
        <f t="shared" si="198"/>
        <v>93.178294573643399</v>
      </c>
    </row>
    <row r="1452" spans="2:19" x14ac:dyDescent="0.2">
      <c r="B1452" s="67">
        <f t="shared" si="199"/>
        <v>688</v>
      </c>
      <c r="C1452" s="2"/>
      <c r="D1452" s="2"/>
      <c r="E1452" s="2"/>
      <c r="F1452" s="46" t="s">
        <v>80</v>
      </c>
      <c r="G1452" s="2">
        <v>637</v>
      </c>
      <c r="H1452" s="2" t="s">
        <v>128</v>
      </c>
      <c r="I1452" s="22">
        <v>1505</v>
      </c>
      <c r="J1452" s="22">
        <v>623</v>
      </c>
      <c r="K1452" s="225">
        <f t="shared" si="197"/>
        <v>41.395348837209298</v>
      </c>
      <c r="L1452" s="68"/>
      <c r="M1452" s="22"/>
      <c r="N1452" s="22"/>
      <c r="O1452" s="225"/>
      <c r="P1452" s="68"/>
      <c r="Q1452" s="22">
        <f t="shared" si="200"/>
        <v>1505</v>
      </c>
      <c r="R1452" s="22">
        <f t="shared" si="196"/>
        <v>623</v>
      </c>
      <c r="S1452" s="244">
        <f t="shared" si="198"/>
        <v>41.395348837209298</v>
      </c>
    </row>
    <row r="1453" spans="2:19" x14ac:dyDescent="0.2">
      <c r="B1453" s="67">
        <f t="shared" si="199"/>
        <v>689</v>
      </c>
      <c r="C1453" s="11"/>
      <c r="D1453" s="11"/>
      <c r="E1453" s="11"/>
      <c r="F1453" s="45" t="s">
        <v>80</v>
      </c>
      <c r="G1453" s="11">
        <v>640</v>
      </c>
      <c r="H1453" s="11" t="s">
        <v>134</v>
      </c>
      <c r="I1453" s="42">
        <v>758</v>
      </c>
      <c r="J1453" s="42">
        <v>0</v>
      </c>
      <c r="K1453" s="225">
        <f t="shared" si="197"/>
        <v>0</v>
      </c>
      <c r="L1453" s="114"/>
      <c r="M1453" s="42"/>
      <c r="N1453" s="42"/>
      <c r="O1453" s="225"/>
      <c r="P1453" s="114"/>
      <c r="Q1453" s="42">
        <f t="shared" si="200"/>
        <v>758</v>
      </c>
      <c r="R1453" s="42">
        <f t="shared" si="196"/>
        <v>0</v>
      </c>
      <c r="S1453" s="244">
        <f t="shared" si="198"/>
        <v>0</v>
      </c>
    </row>
    <row r="1454" spans="2:19" x14ac:dyDescent="0.2">
      <c r="B1454" s="67">
        <f t="shared" si="199"/>
        <v>690</v>
      </c>
      <c r="C1454" s="11"/>
      <c r="D1454" s="11"/>
      <c r="E1454" s="11"/>
      <c r="F1454" s="45" t="s">
        <v>269</v>
      </c>
      <c r="G1454" s="11">
        <v>610</v>
      </c>
      <c r="H1454" s="11" t="s">
        <v>135</v>
      </c>
      <c r="I1454" s="42">
        <f>28512+5015</f>
        <v>33527</v>
      </c>
      <c r="J1454" s="42">
        <v>16533</v>
      </c>
      <c r="K1454" s="225">
        <f t="shared" si="197"/>
        <v>49.312494407492466</v>
      </c>
      <c r="L1454" s="114"/>
      <c r="M1454" s="42"/>
      <c r="N1454" s="42"/>
      <c r="O1454" s="225"/>
      <c r="P1454" s="114"/>
      <c r="Q1454" s="42">
        <f t="shared" si="200"/>
        <v>33527</v>
      </c>
      <c r="R1454" s="42">
        <f t="shared" si="196"/>
        <v>16533</v>
      </c>
      <c r="S1454" s="244">
        <f t="shared" si="198"/>
        <v>49.312494407492466</v>
      </c>
    </row>
    <row r="1455" spans="2:19" x14ac:dyDescent="0.2">
      <c r="B1455" s="67">
        <f t="shared" si="199"/>
        <v>691</v>
      </c>
      <c r="C1455" s="11"/>
      <c r="D1455" s="11"/>
      <c r="E1455" s="11"/>
      <c r="F1455" s="45" t="s">
        <v>269</v>
      </c>
      <c r="G1455" s="11">
        <v>620</v>
      </c>
      <c r="H1455" s="11" t="s">
        <v>130</v>
      </c>
      <c r="I1455" s="42">
        <f>10581+1765</f>
        <v>12346</v>
      </c>
      <c r="J1455" s="42">
        <v>5761</v>
      </c>
      <c r="K1455" s="225">
        <f t="shared" si="197"/>
        <v>46.662886764944112</v>
      </c>
      <c r="L1455" s="114"/>
      <c r="M1455" s="42"/>
      <c r="N1455" s="42"/>
      <c r="O1455" s="225"/>
      <c r="P1455" s="114"/>
      <c r="Q1455" s="42">
        <f t="shared" si="200"/>
        <v>12346</v>
      </c>
      <c r="R1455" s="42">
        <f t="shared" si="196"/>
        <v>5761</v>
      </c>
      <c r="S1455" s="244">
        <f t="shared" si="198"/>
        <v>46.662886764944112</v>
      </c>
    </row>
    <row r="1456" spans="2:19" x14ac:dyDescent="0.2">
      <c r="B1456" s="67">
        <f t="shared" si="199"/>
        <v>692</v>
      </c>
      <c r="C1456" s="11"/>
      <c r="D1456" s="11"/>
      <c r="E1456" s="11"/>
      <c r="F1456" s="45" t="s">
        <v>269</v>
      </c>
      <c r="G1456" s="11">
        <v>630</v>
      </c>
      <c r="H1456" s="11" t="s">
        <v>127</v>
      </c>
      <c r="I1456" s="42">
        <f>I1460+I1459+I1458+I1457</f>
        <v>7049</v>
      </c>
      <c r="J1456" s="42">
        <f>J1460+J1459+J1458+J1457</f>
        <v>2774</v>
      </c>
      <c r="K1456" s="225">
        <f t="shared" si="197"/>
        <v>39.353099730458219</v>
      </c>
      <c r="L1456" s="114"/>
      <c r="M1456" s="42">
        <f>M1460+M1459+M1458+M1457</f>
        <v>0</v>
      </c>
      <c r="N1456" s="42">
        <f>N1460+N1459+N1458+N1457</f>
        <v>0</v>
      </c>
      <c r="O1456" s="225"/>
      <c r="P1456" s="114"/>
      <c r="Q1456" s="42">
        <f t="shared" si="200"/>
        <v>7049</v>
      </c>
      <c r="R1456" s="42">
        <f t="shared" ref="R1456:R1519" si="202">N1456+J1456</f>
        <v>2774</v>
      </c>
      <c r="S1456" s="244">
        <f t="shared" si="198"/>
        <v>39.353099730458219</v>
      </c>
    </row>
    <row r="1457" spans="2:19" x14ac:dyDescent="0.2">
      <c r="B1457" s="67">
        <f t="shared" si="199"/>
        <v>693</v>
      </c>
      <c r="C1457" s="2"/>
      <c r="D1457" s="2"/>
      <c r="E1457" s="2"/>
      <c r="F1457" s="46" t="s">
        <v>269</v>
      </c>
      <c r="G1457" s="2">
        <v>632</v>
      </c>
      <c r="H1457" s="2" t="s">
        <v>138</v>
      </c>
      <c r="I1457" s="22">
        <v>1710</v>
      </c>
      <c r="J1457" s="22">
        <v>277</v>
      </c>
      <c r="K1457" s="225">
        <f t="shared" si="197"/>
        <v>16.198830409356727</v>
      </c>
      <c r="L1457" s="68"/>
      <c r="M1457" s="22"/>
      <c r="N1457" s="22"/>
      <c r="O1457" s="225"/>
      <c r="P1457" s="68"/>
      <c r="Q1457" s="22">
        <f t="shared" si="200"/>
        <v>1710</v>
      </c>
      <c r="R1457" s="22">
        <f t="shared" si="202"/>
        <v>277</v>
      </c>
      <c r="S1457" s="244">
        <f t="shared" si="198"/>
        <v>16.198830409356727</v>
      </c>
    </row>
    <row r="1458" spans="2:19" x14ac:dyDescent="0.2">
      <c r="B1458" s="67">
        <f t="shared" si="199"/>
        <v>694</v>
      </c>
      <c r="C1458" s="2"/>
      <c r="D1458" s="2"/>
      <c r="E1458" s="2"/>
      <c r="F1458" s="46" t="s">
        <v>269</v>
      </c>
      <c r="G1458" s="2">
        <v>633</v>
      </c>
      <c r="H1458" s="2" t="s">
        <v>131</v>
      </c>
      <c r="I1458" s="22">
        <f>1744+745</f>
        <v>2489</v>
      </c>
      <c r="J1458" s="22">
        <v>927</v>
      </c>
      <c r="K1458" s="225">
        <f t="shared" si="197"/>
        <v>37.243873041382081</v>
      </c>
      <c r="L1458" s="68"/>
      <c r="M1458" s="22"/>
      <c r="N1458" s="22"/>
      <c r="O1458" s="225"/>
      <c r="P1458" s="68"/>
      <c r="Q1458" s="22">
        <f t="shared" si="200"/>
        <v>2489</v>
      </c>
      <c r="R1458" s="22">
        <f t="shared" si="202"/>
        <v>927</v>
      </c>
      <c r="S1458" s="244">
        <f t="shared" si="198"/>
        <v>37.243873041382081</v>
      </c>
    </row>
    <row r="1459" spans="2:19" x14ac:dyDescent="0.2">
      <c r="B1459" s="67">
        <f t="shared" si="199"/>
        <v>695</v>
      </c>
      <c r="C1459" s="2"/>
      <c r="D1459" s="2"/>
      <c r="E1459" s="2"/>
      <c r="F1459" s="46" t="s">
        <v>269</v>
      </c>
      <c r="G1459" s="2">
        <v>635</v>
      </c>
      <c r="H1459" s="2" t="s">
        <v>137</v>
      </c>
      <c r="I1459" s="22">
        <v>855</v>
      </c>
      <c r="J1459" s="22">
        <v>735</v>
      </c>
      <c r="K1459" s="225">
        <f t="shared" si="197"/>
        <v>85.964912280701753</v>
      </c>
      <c r="L1459" s="68"/>
      <c r="M1459" s="22"/>
      <c r="N1459" s="22"/>
      <c r="O1459" s="225"/>
      <c r="P1459" s="68"/>
      <c r="Q1459" s="22">
        <f t="shared" si="200"/>
        <v>855</v>
      </c>
      <c r="R1459" s="22">
        <f t="shared" si="202"/>
        <v>735</v>
      </c>
      <c r="S1459" s="244">
        <f t="shared" si="198"/>
        <v>85.964912280701753</v>
      </c>
    </row>
    <row r="1460" spans="2:19" x14ac:dyDescent="0.2">
      <c r="B1460" s="67">
        <f t="shared" si="199"/>
        <v>696</v>
      </c>
      <c r="C1460" s="2"/>
      <c r="D1460" s="2"/>
      <c r="E1460" s="2"/>
      <c r="F1460" s="46" t="s">
        <v>269</v>
      </c>
      <c r="G1460" s="2">
        <v>637</v>
      </c>
      <c r="H1460" s="2" t="s">
        <v>128</v>
      </c>
      <c r="I1460" s="22">
        <v>1995</v>
      </c>
      <c r="J1460" s="22">
        <v>835</v>
      </c>
      <c r="K1460" s="225">
        <f t="shared" si="197"/>
        <v>41.854636591478695</v>
      </c>
      <c r="L1460" s="68"/>
      <c r="M1460" s="22"/>
      <c r="N1460" s="22"/>
      <c r="O1460" s="225"/>
      <c r="P1460" s="68"/>
      <c r="Q1460" s="22">
        <f t="shared" si="200"/>
        <v>1995</v>
      </c>
      <c r="R1460" s="22">
        <f t="shared" si="202"/>
        <v>835</v>
      </c>
      <c r="S1460" s="244">
        <f t="shared" si="198"/>
        <v>41.854636591478695</v>
      </c>
    </row>
    <row r="1461" spans="2:19" x14ac:dyDescent="0.2">
      <c r="B1461" s="67">
        <f t="shared" si="199"/>
        <v>697</v>
      </c>
      <c r="C1461" s="11"/>
      <c r="D1461" s="11"/>
      <c r="E1461" s="11"/>
      <c r="F1461" s="45" t="s">
        <v>269</v>
      </c>
      <c r="G1461" s="11">
        <v>640</v>
      </c>
      <c r="H1461" s="11" t="s">
        <v>134</v>
      </c>
      <c r="I1461" s="42">
        <v>982</v>
      </c>
      <c r="J1461" s="42">
        <v>0</v>
      </c>
      <c r="K1461" s="225">
        <f t="shared" si="197"/>
        <v>0</v>
      </c>
      <c r="L1461" s="114"/>
      <c r="M1461" s="42"/>
      <c r="N1461" s="42"/>
      <c r="O1461" s="225"/>
      <c r="P1461" s="114"/>
      <c r="Q1461" s="42">
        <f t="shared" si="200"/>
        <v>982</v>
      </c>
      <c r="R1461" s="42">
        <f t="shared" si="202"/>
        <v>0</v>
      </c>
      <c r="S1461" s="244">
        <f t="shared" si="198"/>
        <v>0</v>
      </c>
    </row>
    <row r="1462" spans="2:19" ht="15" x14ac:dyDescent="0.25">
      <c r="B1462" s="67">
        <f t="shared" si="199"/>
        <v>698</v>
      </c>
      <c r="C1462" s="14"/>
      <c r="D1462" s="14"/>
      <c r="E1462" s="14">
        <v>8</v>
      </c>
      <c r="F1462" s="43"/>
      <c r="G1462" s="14"/>
      <c r="H1462" s="14" t="s">
        <v>314</v>
      </c>
      <c r="I1462" s="40">
        <f>I1463+I1465</f>
        <v>114240</v>
      </c>
      <c r="J1462" s="40">
        <f>J1463+J1465</f>
        <v>47507</v>
      </c>
      <c r="K1462" s="225">
        <f t="shared" si="197"/>
        <v>41.585259103641462</v>
      </c>
      <c r="L1462" s="175"/>
      <c r="M1462" s="40">
        <f>M1463+M1465</f>
        <v>0</v>
      </c>
      <c r="N1462" s="40">
        <f>N1463+N1465</f>
        <v>0</v>
      </c>
      <c r="O1462" s="225"/>
      <c r="P1462" s="175"/>
      <c r="Q1462" s="40">
        <f t="shared" si="200"/>
        <v>114240</v>
      </c>
      <c r="R1462" s="40">
        <f t="shared" si="202"/>
        <v>47507</v>
      </c>
      <c r="S1462" s="244">
        <f t="shared" si="198"/>
        <v>41.585259103641462</v>
      </c>
    </row>
    <row r="1463" spans="2:19" x14ac:dyDescent="0.2">
      <c r="B1463" s="67">
        <f t="shared" si="199"/>
        <v>699</v>
      </c>
      <c r="C1463" s="11"/>
      <c r="D1463" s="11"/>
      <c r="E1463" s="11"/>
      <c r="F1463" s="45" t="s">
        <v>80</v>
      </c>
      <c r="G1463" s="11">
        <v>630</v>
      </c>
      <c r="H1463" s="11" t="s">
        <v>127</v>
      </c>
      <c r="I1463" s="42">
        <f>I1464</f>
        <v>45696</v>
      </c>
      <c r="J1463" s="42">
        <f>J1464</f>
        <v>18999</v>
      </c>
      <c r="K1463" s="225">
        <f t="shared" si="197"/>
        <v>41.576943277310924</v>
      </c>
      <c r="L1463" s="114"/>
      <c r="M1463" s="42">
        <f>M1464</f>
        <v>0</v>
      </c>
      <c r="N1463" s="42">
        <f>N1464</f>
        <v>0</v>
      </c>
      <c r="O1463" s="225"/>
      <c r="P1463" s="114"/>
      <c r="Q1463" s="42">
        <f t="shared" si="200"/>
        <v>45696</v>
      </c>
      <c r="R1463" s="42">
        <f t="shared" si="202"/>
        <v>18999</v>
      </c>
      <c r="S1463" s="244">
        <f t="shared" si="198"/>
        <v>41.576943277310924</v>
      </c>
    </row>
    <row r="1464" spans="2:19" x14ac:dyDescent="0.2">
      <c r="B1464" s="67">
        <f t="shared" si="199"/>
        <v>700</v>
      </c>
      <c r="C1464" s="2"/>
      <c r="D1464" s="2"/>
      <c r="E1464" s="2"/>
      <c r="F1464" s="46" t="s">
        <v>80</v>
      </c>
      <c r="G1464" s="2">
        <v>637</v>
      </c>
      <c r="H1464" s="2" t="s">
        <v>128</v>
      </c>
      <c r="I1464" s="22">
        <v>45696</v>
      </c>
      <c r="J1464" s="22">
        <v>18999</v>
      </c>
      <c r="K1464" s="225">
        <f t="shared" si="197"/>
        <v>41.576943277310924</v>
      </c>
      <c r="L1464" s="68"/>
      <c r="M1464" s="22"/>
      <c r="N1464" s="22"/>
      <c r="O1464" s="225"/>
      <c r="P1464" s="68"/>
      <c r="Q1464" s="22">
        <f t="shared" si="200"/>
        <v>45696</v>
      </c>
      <c r="R1464" s="22">
        <f t="shared" si="202"/>
        <v>18999</v>
      </c>
      <c r="S1464" s="244">
        <f t="shared" si="198"/>
        <v>41.576943277310924</v>
      </c>
    </row>
    <row r="1465" spans="2:19" x14ac:dyDescent="0.2">
      <c r="B1465" s="67">
        <f t="shared" si="199"/>
        <v>701</v>
      </c>
      <c r="C1465" s="11"/>
      <c r="D1465" s="11"/>
      <c r="E1465" s="11"/>
      <c r="F1465" s="45" t="s">
        <v>269</v>
      </c>
      <c r="G1465" s="11">
        <v>630</v>
      </c>
      <c r="H1465" s="11" t="s">
        <v>127</v>
      </c>
      <c r="I1465" s="42">
        <f>I1466</f>
        <v>68544</v>
      </c>
      <c r="J1465" s="42">
        <f>J1466</f>
        <v>28508</v>
      </c>
      <c r="K1465" s="225">
        <f t="shared" si="197"/>
        <v>41.590802987861814</v>
      </c>
      <c r="L1465" s="114"/>
      <c r="M1465" s="42">
        <f>M1466</f>
        <v>0</v>
      </c>
      <c r="N1465" s="42">
        <f>N1466</f>
        <v>0</v>
      </c>
      <c r="O1465" s="225"/>
      <c r="P1465" s="114"/>
      <c r="Q1465" s="42">
        <f t="shared" si="200"/>
        <v>68544</v>
      </c>
      <c r="R1465" s="42">
        <f t="shared" si="202"/>
        <v>28508</v>
      </c>
      <c r="S1465" s="244">
        <f t="shared" si="198"/>
        <v>41.590802987861814</v>
      </c>
    </row>
    <row r="1466" spans="2:19" x14ac:dyDescent="0.2">
      <c r="B1466" s="67">
        <f t="shared" si="199"/>
        <v>702</v>
      </c>
      <c r="C1466" s="2"/>
      <c r="D1466" s="2"/>
      <c r="E1466" s="2"/>
      <c r="F1466" s="46" t="s">
        <v>269</v>
      </c>
      <c r="G1466" s="2">
        <v>637</v>
      </c>
      <c r="H1466" s="2" t="s">
        <v>128</v>
      </c>
      <c r="I1466" s="22">
        <v>68544</v>
      </c>
      <c r="J1466" s="22">
        <v>28508</v>
      </c>
      <c r="K1466" s="225">
        <f t="shared" si="197"/>
        <v>41.590802987861814</v>
      </c>
      <c r="L1466" s="68"/>
      <c r="M1466" s="22"/>
      <c r="N1466" s="22"/>
      <c r="O1466" s="225"/>
      <c r="P1466" s="68"/>
      <c r="Q1466" s="22">
        <f t="shared" si="200"/>
        <v>68544</v>
      </c>
      <c r="R1466" s="22">
        <f t="shared" si="202"/>
        <v>28508</v>
      </c>
      <c r="S1466" s="244">
        <f t="shared" si="198"/>
        <v>41.590802987861814</v>
      </c>
    </row>
    <row r="1467" spans="2:19" ht="15" x14ac:dyDescent="0.25">
      <c r="B1467" s="67">
        <f t="shared" si="199"/>
        <v>703</v>
      </c>
      <c r="C1467" s="14"/>
      <c r="D1467" s="14"/>
      <c r="E1467" s="14">
        <v>9</v>
      </c>
      <c r="F1467" s="43"/>
      <c r="G1467" s="14"/>
      <c r="H1467" s="14" t="s">
        <v>272</v>
      </c>
      <c r="I1467" s="40">
        <f>I1468+I1469+I1470+I1476+I1477+I1478+I1475+I1483</f>
        <v>77392</v>
      </c>
      <c r="J1467" s="40">
        <f>J1468+J1469+J1470+J1476+J1477+J1478+J1475+J1483</f>
        <v>39060</v>
      </c>
      <c r="K1467" s="225">
        <f t="shared" si="197"/>
        <v>50.470332850940672</v>
      </c>
      <c r="L1467" s="175"/>
      <c r="M1467" s="40">
        <f>M1468+M1469+M1470+M1476+M1477+M1478</f>
        <v>0</v>
      </c>
      <c r="N1467" s="40">
        <f>N1468+N1469+N1470+N1476+N1477+N1478</f>
        <v>0</v>
      </c>
      <c r="O1467" s="225"/>
      <c r="P1467" s="175"/>
      <c r="Q1467" s="40">
        <f t="shared" si="200"/>
        <v>77392</v>
      </c>
      <c r="R1467" s="40">
        <f t="shared" si="202"/>
        <v>39060</v>
      </c>
      <c r="S1467" s="244">
        <f t="shared" si="198"/>
        <v>50.470332850940672</v>
      </c>
    </row>
    <row r="1468" spans="2:19" x14ac:dyDescent="0.2">
      <c r="B1468" s="67">
        <f t="shared" si="199"/>
        <v>704</v>
      </c>
      <c r="C1468" s="11"/>
      <c r="D1468" s="11"/>
      <c r="E1468" s="11"/>
      <c r="F1468" s="45" t="s">
        <v>80</v>
      </c>
      <c r="G1468" s="11">
        <v>610</v>
      </c>
      <c r="H1468" s="11" t="s">
        <v>135</v>
      </c>
      <c r="I1468" s="42">
        <f>19004-71</f>
        <v>18933</v>
      </c>
      <c r="J1468" s="42">
        <v>8424</v>
      </c>
      <c r="K1468" s="225">
        <f t="shared" si="197"/>
        <v>44.493741086990966</v>
      </c>
      <c r="L1468" s="114"/>
      <c r="M1468" s="42"/>
      <c r="N1468" s="42"/>
      <c r="O1468" s="225"/>
      <c r="P1468" s="114"/>
      <c r="Q1468" s="42">
        <f t="shared" si="200"/>
        <v>18933</v>
      </c>
      <c r="R1468" s="42">
        <f t="shared" si="202"/>
        <v>8424</v>
      </c>
      <c r="S1468" s="244">
        <f t="shared" si="198"/>
        <v>44.493741086990966</v>
      </c>
    </row>
    <row r="1469" spans="2:19" x14ac:dyDescent="0.2">
      <c r="B1469" s="67">
        <f t="shared" si="199"/>
        <v>705</v>
      </c>
      <c r="C1469" s="11"/>
      <c r="D1469" s="11"/>
      <c r="E1469" s="11"/>
      <c r="F1469" s="45" t="s">
        <v>80</v>
      </c>
      <c r="G1469" s="11">
        <v>620</v>
      </c>
      <c r="H1469" s="11" t="s">
        <v>130</v>
      </c>
      <c r="I1469" s="42">
        <v>6642</v>
      </c>
      <c r="J1469" s="42">
        <v>2889</v>
      </c>
      <c r="K1469" s="225">
        <f t="shared" si="197"/>
        <v>43.49593495934959</v>
      </c>
      <c r="L1469" s="114"/>
      <c r="M1469" s="42"/>
      <c r="N1469" s="42"/>
      <c r="O1469" s="225"/>
      <c r="P1469" s="114"/>
      <c r="Q1469" s="42">
        <f t="shared" si="200"/>
        <v>6642</v>
      </c>
      <c r="R1469" s="42">
        <f t="shared" si="202"/>
        <v>2889</v>
      </c>
      <c r="S1469" s="244">
        <f t="shared" si="198"/>
        <v>43.49593495934959</v>
      </c>
    </row>
    <row r="1470" spans="2:19" x14ac:dyDescent="0.2">
      <c r="B1470" s="67">
        <f t="shared" si="199"/>
        <v>706</v>
      </c>
      <c r="C1470" s="11"/>
      <c r="D1470" s="11"/>
      <c r="E1470" s="11"/>
      <c r="F1470" s="45" t="s">
        <v>80</v>
      </c>
      <c r="G1470" s="11">
        <v>630</v>
      </c>
      <c r="H1470" s="11" t="s">
        <v>127</v>
      </c>
      <c r="I1470" s="42">
        <f>I1474+I1473+I1472+I1471</f>
        <v>13050</v>
      </c>
      <c r="J1470" s="42">
        <f>J1474+J1473+J1472+J1471</f>
        <v>7432</v>
      </c>
      <c r="K1470" s="225">
        <f t="shared" si="197"/>
        <v>56.950191570881223</v>
      </c>
      <c r="L1470" s="114"/>
      <c r="M1470" s="42">
        <f>M1474+M1473+M1472+M1471</f>
        <v>0</v>
      </c>
      <c r="N1470" s="42">
        <f>N1474+N1473+N1472+N1471</f>
        <v>0</v>
      </c>
      <c r="O1470" s="225"/>
      <c r="P1470" s="114"/>
      <c r="Q1470" s="42">
        <f t="shared" si="200"/>
        <v>13050</v>
      </c>
      <c r="R1470" s="42">
        <f t="shared" si="202"/>
        <v>7432</v>
      </c>
      <c r="S1470" s="244">
        <f t="shared" si="198"/>
        <v>56.950191570881223</v>
      </c>
    </row>
    <row r="1471" spans="2:19" x14ac:dyDescent="0.2">
      <c r="B1471" s="67">
        <f t="shared" si="199"/>
        <v>707</v>
      </c>
      <c r="C1471" s="2"/>
      <c r="D1471" s="2"/>
      <c r="E1471" s="2"/>
      <c r="F1471" s="46" t="s">
        <v>80</v>
      </c>
      <c r="G1471" s="2">
        <v>632</v>
      </c>
      <c r="H1471" s="2" t="s">
        <v>138</v>
      </c>
      <c r="I1471" s="22">
        <v>8464</v>
      </c>
      <c r="J1471" s="22">
        <v>4018</v>
      </c>
      <c r="K1471" s="225">
        <f t="shared" si="197"/>
        <v>47.471644612476368</v>
      </c>
      <c r="L1471" s="68"/>
      <c r="M1471" s="22"/>
      <c r="N1471" s="22"/>
      <c r="O1471" s="225"/>
      <c r="P1471" s="68"/>
      <c r="Q1471" s="22">
        <f t="shared" si="200"/>
        <v>8464</v>
      </c>
      <c r="R1471" s="22">
        <f t="shared" si="202"/>
        <v>4018</v>
      </c>
      <c r="S1471" s="244">
        <f t="shared" si="198"/>
        <v>47.471644612476368</v>
      </c>
    </row>
    <row r="1472" spans="2:19" x14ac:dyDescent="0.2">
      <c r="B1472" s="67">
        <f t="shared" si="199"/>
        <v>708</v>
      </c>
      <c r="C1472" s="2"/>
      <c r="D1472" s="2"/>
      <c r="E1472" s="2"/>
      <c r="F1472" s="46" t="s">
        <v>80</v>
      </c>
      <c r="G1472" s="2">
        <v>633</v>
      </c>
      <c r="H1472" s="2" t="s">
        <v>131</v>
      </c>
      <c r="I1472" s="22">
        <v>2060</v>
      </c>
      <c r="J1472" s="22">
        <v>924</v>
      </c>
      <c r="K1472" s="225">
        <f t="shared" si="197"/>
        <v>44.854368932038838</v>
      </c>
      <c r="L1472" s="68"/>
      <c r="M1472" s="22"/>
      <c r="N1472" s="22"/>
      <c r="O1472" s="225"/>
      <c r="P1472" s="68"/>
      <c r="Q1472" s="22">
        <f t="shared" si="200"/>
        <v>2060</v>
      </c>
      <c r="R1472" s="22">
        <f t="shared" si="202"/>
        <v>924</v>
      </c>
      <c r="S1472" s="244">
        <f t="shared" si="198"/>
        <v>44.854368932038838</v>
      </c>
    </row>
    <row r="1473" spans="2:19" x14ac:dyDescent="0.2">
      <c r="B1473" s="67">
        <f t="shared" si="199"/>
        <v>709</v>
      </c>
      <c r="C1473" s="2"/>
      <c r="D1473" s="2"/>
      <c r="E1473" s="2"/>
      <c r="F1473" s="46" t="s">
        <v>80</v>
      </c>
      <c r="G1473" s="2">
        <v>635</v>
      </c>
      <c r="H1473" s="2" t="s">
        <v>137</v>
      </c>
      <c r="I1473" s="22">
        <v>900</v>
      </c>
      <c r="J1473" s="51">
        <v>1491</v>
      </c>
      <c r="K1473" s="225">
        <f t="shared" si="197"/>
        <v>165.66666666666669</v>
      </c>
      <c r="L1473" s="68"/>
      <c r="M1473" s="22"/>
      <c r="N1473" s="22"/>
      <c r="O1473" s="225"/>
      <c r="P1473" s="68"/>
      <c r="Q1473" s="22">
        <f t="shared" si="200"/>
        <v>900</v>
      </c>
      <c r="R1473" s="22">
        <f t="shared" si="202"/>
        <v>1491</v>
      </c>
      <c r="S1473" s="244">
        <f t="shared" si="198"/>
        <v>165.66666666666669</v>
      </c>
    </row>
    <row r="1474" spans="2:19" x14ac:dyDescent="0.2">
      <c r="B1474" s="67">
        <f t="shared" si="199"/>
        <v>710</v>
      </c>
      <c r="C1474" s="2"/>
      <c r="D1474" s="2"/>
      <c r="E1474" s="2"/>
      <c r="F1474" s="46" t="s">
        <v>80</v>
      </c>
      <c r="G1474" s="2">
        <v>637</v>
      </c>
      <c r="H1474" s="2" t="s">
        <v>128</v>
      </c>
      <c r="I1474" s="22">
        <v>1626</v>
      </c>
      <c r="J1474" s="22">
        <v>999</v>
      </c>
      <c r="K1474" s="225">
        <f t="shared" si="197"/>
        <v>61.43911439114391</v>
      </c>
      <c r="L1474" s="68"/>
      <c r="M1474" s="22"/>
      <c r="N1474" s="22"/>
      <c r="O1474" s="225"/>
      <c r="P1474" s="68"/>
      <c r="Q1474" s="22">
        <f t="shared" si="200"/>
        <v>1626</v>
      </c>
      <c r="R1474" s="22">
        <f t="shared" si="202"/>
        <v>999</v>
      </c>
      <c r="S1474" s="244">
        <f t="shared" si="198"/>
        <v>61.43911439114391</v>
      </c>
    </row>
    <row r="1475" spans="2:19" x14ac:dyDescent="0.2">
      <c r="B1475" s="67">
        <f t="shared" si="199"/>
        <v>711</v>
      </c>
      <c r="C1475" s="2"/>
      <c r="D1475" s="2"/>
      <c r="E1475" s="2"/>
      <c r="F1475" s="94" t="s">
        <v>80</v>
      </c>
      <c r="G1475" s="1">
        <v>640</v>
      </c>
      <c r="H1475" s="1" t="s">
        <v>134</v>
      </c>
      <c r="I1475" s="21">
        <v>71</v>
      </c>
      <c r="J1475" s="21">
        <v>71</v>
      </c>
      <c r="K1475" s="225">
        <f t="shared" si="197"/>
        <v>100</v>
      </c>
      <c r="L1475" s="114"/>
      <c r="M1475" s="21"/>
      <c r="N1475" s="21"/>
      <c r="O1475" s="225"/>
      <c r="P1475" s="114"/>
      <c r="Q1475" s="21">
        <f t="shared" si="200"/>
        <v>71</v>
      </c>
      <c r="R1475" s="21">
        <f t="shared" si="202"/>
        <v>71</v>
      </c>
      <c r="S1475" s="244">
        <f t="shared" si="198"/>
        <v>100</v>
      </c>
    </row>
    <row r="1476" spans="2:19" x14ac:dyDescent="0.2">
      <c r="B1476" s="67">
        <f t="shared" si="199"/>
        <v>712</v>
      </c>
      <c r="C1476" s="11"/>
      <c r="D1476" s="11"/>
      <c r="E1476" s="11"/>
      <c r="F1476" s="45" t="s">
        <v>269</v>
      </c>
      <c r="G1476" s="11">
        <v>610</v>
      </c>
      <c r="H1476" s="11" t="s">
        <v>135</v>
      </c>
      <c r="I1476" s="42">
        <f>19004-71</f>
        <v>18933</v>
      </c>
      <c r="J1476" s="42">
        <v>8424</v>
      </c>
      <c r="K1476" s="225">
        <f t="shared" si="197"/>
        <v>44.493741086990966</v>
      </c>
      <c r="L1476" s="114"/>
      <c r="M1476" s="42"/>
      <c r="N1476" s="42"/>
      <c r="O1476" s="225"/>
      <c r="P1476" s="114"/>
      <c r="Q1476" s="42">
        <f t="shared" si="200"/>
        <v>18933</v>
      </c>
      <c r="R1476" s="42">
        <f t="shared" si="202"/>
        <v>8424</v>
      </c>
      <c r="S1476" s="244">
        <f t="shared" si="198"/>
        <v>44.493741086990966</v>
      </c>
    </row>
    <row r="1477" spans="2:19" x14ac:dyDescent="0.2">
      <c r="B1477" s="67">
        <f t="shared" si="199"/>
        <v>713</v>
      </c>
      <c r="C1477" s="11"/>
      <c r="D1477" s="11"/>
      <c r="E1477" s="11"/>
      <c r="F1477" s="45" t="s">
        <v>269</v>
      </c>
      <c r="G1477" s="11">
        <v>620</v>
      </c>
      <c r="H1477" s="11" t="s">
        <v>130</v>
      </c>
      <c r="I1477" s="42">
        <v>6642</v>
      </c>
      <c r="J1477" s="42">
        <v>2889</v>
      </c>
      <c r="K1477" s="225">
        <f t="shared" si="197"/>
        <v>43.49593495934959</v>
      </c>
      <c r="L1477" s="114"/>
      <c r="M1477" s="42"/>
      <c r="N1477" s="42"/>
      <c r="O1477" s="225"/>
      <c r="P1477" s="114"/>
      <c r="Q1477" s="42">
        <f t="shared" si="200"/>
        <v>6642</v>
      </c>
      <c r="R1477" s="42">
        <f t="shared" si="202"/>
        <v>2889</v>
      </c>
      <c r="S1477" s="244">
        <f t="shared" si="198"/>
        <v>43.49593495934959</v>
      </c>
    </row>
    <row r="1478" spans="2:19" x14ac:dyDescent="0.2">
      <c r="B1478" s="67">
        <f t="shared" si="199"/>
        <v>714</v>
      </c>
      <c r="C1478" s="11"/>
      <c r="D1478" s="11"/>
      <c r="E1478" s="11"/>
      <c r="F1478" s="45" t="s">
        <v>269</v>
      </c>
      <c r="G1478" s="11">
        <v>630</v>
      </c>
      <c r="H1478" s="11" t="s">
        <v>127</v>
      </c>
      <c r="I1478" s="42">
        <f>I1482+I1481+I1480+I1479</f>
        <v>13050</v>
      </c>
      <c r="J1478" s="42">
        <f>J1482+J1481+J1480+J1479</f>
        <v>8860</v>
      </c>
      <c r="K1478" s="225">
        <f t="shared" ref="K1478:K1540" si="203">J1478/I1478*100</f>
        <v>67.892720306513411</v>
      </c>
      <c r="L1478" s="114"/>
      <c r="M1478" s="42">
        <f>M1482+M1481+M1480+M1479</f>
        <v>0</v>
      </c>
      <c r="N1478" s="42">
        <f>N1482+N1481+N1480+N1479</f>
        <v>0</v>
      </c>
      <c r="O1478" s="225"/>
      <c r="P1478" s="114"/>
      <c r="Q1478" s="42">
        <f t="shared" si="200"/>
        <v>13050</v>
      </c>
      <c r="R1478" s="42">
        <f t="shared" si="202"/>
        <v>8860</v>
      </c>
      <c r="S1478" s="244">
        <f t="shared" ref="S1478:S1541" si="204">R1478/Q1478*100</f>
        <v>67.892720306513411</v>
      </c>
    </row>
    <row r="1479" spans="2:19" x14ac:dyDescent="0.2">
      <c r="B1479" s="67">
        <f t="shared" si="199"/>
        <v>715</v>
      </c>
      <c r="C1479" s="2"/>
      <c r="D1479" s="2"/>
      <c r="E1479" s="2"/>
      <c r="F1479" s="46" t="s">
        <v>269</v>
      </c>
      <c r="G1479" s="2">
        <v>632</v>
      </c>
      <c r="H1479" s="2" t="s">
        <v>138</v>
      </c>
      <c r="I1479" s="22">
        <v>8464</v>
      </c>
      <c r="J1479" s="22">
        <v>4018</v>
      </c>
      <c r="K1479" s="225">
        <f t="shared" si="203"/>
        <v>47.471644612476368</v>
      </c>
      <c r="L1479" s="68"/>
      <c r="M1479" s="22"/>
      <c r="N1479" s="22"/>
      <c r="O1479" s="225"/>
      <c r="P1479" s="68"/>
      <c r="Q1479" s="22">
        <f t="shared" si="200"/>
        <v>8464</v>
      </c>
      <c r="R1479" s="22">
        <f t="shared" si="202"/>
        <v>4018</v>
      </c>
      <c r="S1479" s="244">
        <f t="shared" si="204"/>
        <v>47.471644612476368</v>
      </c>
    </row>
    <row r="1480" spans="2:19" x14ac:dyDescent="0.2">
      <c r="B1480" s="67">
        <f t="shared" si="199"/>
        <v>716</v>
      </c>
      <c r="C1480" s="2"/>
      <c r="D1480" s="2"/>
      <c r="E1480" s="2"/>
      <c r="F1480" s="46" t="s">
        <v>269</v>
      </c>
      <c r="G1480" s="2">
        <v>633</v>
      </c>
      <c r="H1480" s="2" t="s">
        <v>131</v>
      </c>
      <c r="I1480" s="22">
        <v>2060</v>
      </c>
      <c r="J1480" s="22">
        <v>2352</v>
      </c>
      <c r="K1480" s="225">
        <f t="shared" si="203"/>
        <v>114.1747572815534</v>
      </c>
      <c r="L1480" s="68"/>
      <c r="M1480" s="22"/>
      <c r="N1480" s="22"/>
      <c r="O1480" s="225"/>
      <c r="P1480" s="68"/>
      <c r="Q1480" s="22">
        <f t="shared" si="200"/>
        <v>2060</v>
      </c>
      <c r="R1480" s="22">
        <f t="shared" si="202"/>
        <v>2352</v>
      </c>
      <c r="S1480" s="244">
        <f t="shared" si="204"/>
        <v>114.1747572815534</v>
      </c>
    </row>
    <row r="1481" spans="2:19" x14ac:dyDescent="0.2">
      <c r="B1481" s="67">
        <f t="shared" si="199"/>
        <v>717</v>
      </c>
      <c r="C1481" s="2"/>
      <c r="D1481" s="2"/>
      <c r="E1481" s="2"/>
      <c r="F1481" s="46" t="s">
        <v>269</v>
      </c>
      <c r="G1481" s="2">
        <v>635</v>
      </c>
      <c r="H1481" s="2" t="s">
        <v>137</v>
      </c>
      <c r="I1481" s="22">
        <v>900</v>
      </c>
      <c r="J1481" s="22">
        <v>1491</v>
      </c>
      <c r="K1481" s="225">
        <f t="shared" si="203"/>
        <v>165.66666666666669</v>
      </c>
      <c r="L1481" s="68"/>
      <c r="M1481" s="22"/>
      <c r="N1481" s="22"/>
      <c r="O1481" s="225"/>
      <c r="P1481" s="68"/>
      <c r="Q1481" s="22">
        <f t="shared" si="200"/>
        <v>900</v>
      </c>
      <c r="R1481" s="22">
        <f t="shared" si="202"/>
        <v>1491</v>
      </c>
      <c r="S1481" s="244">
        <f t="shared" si="204"/>
        <v>165.66666666666669</v>
      </c>
    </row>
    <row r="1482" spans="2:19" x14ac:dyDescent="0.2">
      <c r="B1482" s="67">
        <f t="shared" ref="B1482:B1545" si="205">B1481+1</f>
        <v>718</v>
      </c>
      <c r="C1482" s="2"/>
      <c r="D1482" s="2"/>
      <c r="E1482" s="2"/>
      <c r="F1482" s="46" t="s">
        <v>269</v>
      </c>
      <c r="G1482" s="2">
        <v>637</v>
      </c>
      <c r="H1482" s="2" t="s">
        <v>128</v>
      </c>
      <c r="I1482" s="22">
        <v>1626</v>
      </c>
      <c r="J1482" s="22">
        <v>999</v>
      </c>
      <c r="K1482" s="225">
        <f t="shared" si="203"/>
        <v>61.43911439114391</v>
      </c>
      <c r="L1482" s="68"/>
      <c r="M1482" s="22"/>
      <c r="N1482" s="22"/>
      <c r="O1482" s="225"/>
      <c r="P1482" s="68"/>
      <c r="Q1482" s="22">
        <f t="shared" si="200"/>
        <v>1626</v>
      </c>
      <c r="R1482" s="22">
        <f t="shared" si="202"/>
        <v>999</v>
      </c>
      <c r="S1482" s="244">
        <f t="shared" si="204"/>
        <v>61.43911439114391</v>
      </c>
    </row>
    <row r="1483" spans="2:19" x14ac:dyDescent="0.2">
      <c r="B1483" s="67">
        <f t="shared" si="205"/>
        <v>719</v>
      </c>
      <c r="C1483" s="2"/>
      <c r="D1483" s="2"/>
      <c r="E1483" s="2"/>
      <c r="F1483" s="94" t="s">
        <v>269</v>
      </c>
      <c r="G1483" s="1">
        <v>640</v>
      </c>
      <c r="H1483" s="1" t="s">
        <v>134</v>
      </c>
      <c r="I1483" s="21">
        <v>71</v>
      </c>
      <c r="J1483" s="21">
        <v>71</v>
      </c>
      <c r="K1483" s="225">
        <f t="shared" si="203"/>
        <v>100</v>
      </c>
      <c r="L1483" s="114"/>
      <c r="M1483" s="21"/>
      <c r="N1483" s="21"/>
      <c r="O1483" s="225"/>
      <c r="P1483" s="114"/>
      <c r="Q1483" s="21">
        <f t="shared" si="200"/>
        <v>71</v>
      </c>
      <c r="R1483" s="21">
        <f t="shared" si="202"/>
        <v>71</v>
      </c>
      <c r="S1483" s="244">
        <f t="shared" si="204"/>
        <v>100</v>
      </c>
    </row>
    <row r="1484" spans="2:19" ht="15" x14ac:dyDescent="0.25">
      <c r="B1484" s="67">
        <f t="shared" si="205"/>
        <v>720</v>
      </c>
      <c r="C1484" s="14"/>
      <c r="D1484" s="14"/>
      <c r="E1484" s="14">
        <v>10</v>
      </c>
      <c r="F1484" s="43"/>
      <c r="G1484" s="14"/>
      <c r="H1484" s="14" t="s">
        <v>254</v>
      </c>
      <c r="I1484" s="40">
        <f>I1485+I1486+I1487+I1492+I1493+I1494+I1495+I1500</f>
        <v>97912</v>
      </c>
      <c r="J1484" s="40">
        <f>J1485+J1486+J1487+J1492+J1493+J1494+J1495+J1500</f>
        <v>46605</v>
      </c>
      <c r="K1484" s="225">
        <f t="shared" si="203"/>
        <v>47.598864286297896</v>
      </c>
      <c r="L1484" s="175"/>
      <c r="M1484" s="40">
        <f>M1485+M1486+M1487+M1492+M1493+M1494+M1495+M1500</f>
        <v>0</v>
      </c>
      <c r="N1484" s="40">
        <f>N1485+N1486+N1487+N1492+N1493+N1494+N1495+N1500</f>
        <v>0</v>
      </c>
      <c r="O1484" s="225"/>
      <c r="P1484" s="175"/>
      <c r="Q1484" s="40">
        <f t="shared" si="200"/>
        <v>97912</v>
      </c>
      <c r="R1484" s="40">
        <f t="shared" si="202"/>
        <v>46605</v>
      </c>
      <c r="S1484" s="244">
        <f t="shared" si="204"/>
        <v>47.598864286297896</v>
      </c>
    </row>
    <row r="1485" spans="2:19" x14ac:dyDescent="0.2">
      <c r="B1485" s="67">
        <f t="shared" si="205"/>
        <v>721</v>
      </c>
      <c r="C1485" s="11"/>
      <c r="D1485" s="11"/>
      <c r="E1485" s="11"/>
      <c r="F1485" s="45" t="s">
        <v>80</v>
      </c>
      <c r="G1485" s="11">
        <v>610</v>
      </c>
      <c r="H1485" s="11" t="s">
        <v>135</v>
      </c>
      <c r="I1485" s="42">
        <v>19970</v>
      </c>
      <c r="J1485" s="42">
        <v>8128</v>
      </c>
      <c r="K1485" s="225">
        <f t="shared" si="203"/>
        <v>40.701051577366052</v>
      </c>
      <c r="L1485" s="114"/>
      <c r="M1485" s="42"/>
      <c r="N1485" s="42"/>
      <c r="O1485" s="225"/>
      <c r="P1485" s="114"/>
      <c r="Q1485" s="42">
        <f t="shared" si="200"/>
        <v>19970</v>
      </c>
      <c r="R1485" s="42">
        <f t="shared" si="202"/>
        <v>8128</v>
      </c>
      <c r="S1485" s="244">
        <f t="shared" si="204"/>
        <v>40.701051577366052</v>
      </c>
    </row>
    <row r="1486" spans="2:19" x14ac:dyDescent="0.2">
      <c r="B1486" s="67">
        <f t="shared" si="205"/>
        <v>722</v>
      </c>
      <c r="C1486" s="11"/>
      <c r="D1486" s="11"/>
      <c r="E1486" s="11"/>
      <c r="F1486" s="45" t="s">
        <v>80</v>
      </c>
      <c r="G1486" s="11">
        <v>620</v>
      </c>
      <c r="H1486" s="11" t="s">
        <v>130</v>
      </c>
      <c r="I1486" s="42">
        <v>6986</v>
      </c>
      <c r="J1486" s="42">
        <v>2341</v>
      </c>
      <c r="K1486" s="225">
        <f t="shared" si="203"/>
        <v>33.509876896650439</v>
      </c>
      <c r="L1486" s="114"/>
      <c r="M1486" s="42"/>
      <c r="N1486" s="42"/>
      <c r="O1486" s="225"/>
      <c r="P1486" s="114"/>
      <c r="Q1486" s="42">
        <f t="shared" si="200"/>
        <v>6986</v>
      </c>
      <c r="R1486" s="42">
        <f t="shared" si="202"/>
        <v>2341</v>
      </c>
      <c r="S1486" s="244">
        <f t="shared" si="204"/>
        <v>33.509876896650439</v>
      </c>
    </row>
    <row r="1487" spans="2:19" x14ac:dyDescent="0.2">
      <c r="B1487" s="67">
        <f t="shared" si="205"/>
        <v>723</v>
      </c>
      <c r="C1487" s="11"/>
      <c r="D1487" s="11"/>
      <c r="E1487" s="11"/>
      <c r="F1487" s="45" t="s">
        <v>80</v>
      </c>
      <c r="G1487" s="11">
        <v>630</v>
      </c>
      <c r="H1487" s="11" t="s">
        <v>127</v>
      </c>
      <c r="I1487" s="42">
        <f>I1491+I1490+I1489+I1488</f>
        <v>17391</v>
      </c>
      <c r="J1487" s="42">
        <f>J1491+J1490+J1489+J1488</f>
        <v>10135</v>
      </c>
      <c r="K1487" s="225">
        <f t="shared" si="203"/>
        <v>58.27726985222241</v>
      </c>
      <c r="L1487" s="114"/>
      <c r="M1487" s="42">
        <f>M1491+M1490+M1489+M1488</f>
        <v>0</v>
      </c>
      <c r="N1487" s="42">
        <f>N1491+N1490+N1489+N1488</f>
        <v>0</v>
      </c>
      <c r="O1487" s="225"/>
      <c r="P1487" s="114"/>
      <c r="Q1487" s="42">
        <f t="shared" si="200"/>
        <v>17391</v>
      </c>
      <c r="R1487" s="42">
        <f t="shared" si="202"/>
        <v>10135</v>
      </c>
      <c r="S1487" s="244">
        <f t="shared" si="204"/>
        <v>58.27726985222241</v>
      </c>
    </row>
    <row r="1488" spans="2:19" x14ac:dyDescent="0.2">
      <c r="B1488" s="67">
        <f t="shared" si="205"/>
        <v>724</v>
      </c>
      <c r="C1488" s="2"/>
      <c r="D1488" s="2"/>
      <c r="E1488" s="2"/>
      <c r="F1488" s="46" t="s">
        <v>80</v>
      </c>
      <c r="G1488" s="2">
        <v>632</v>
      </c>
      <c r="H1488" s="2" t="s">
        <v>138</v>
      </c>
      <c r="I1488" s="22">
        <v>12840</v>
      </c>
      <c r="J1488" s="22">
        <v>8655</v>
      </c>
      <c r="K1488" s="225">
        <f t="shared" si="203"/>
        <v>67.40654205607477</v>
      </c>
      <c r="L1488" s="68"/>
      <c r="M1488" s="22"/>
      <c r="N1488" s="22"/>
      <c r="O1488" s="225"/>
      <c r="P1488" s="68"/>
      <c r="Q1488" s="22">
        <f t="shared" si="200"/>
        <v>12840</v>
      </c>
      <c r="R1488" s="22">
        <f t="shared" si="202"/>
        <v>8655</v>
      </c>
      <c r="S1488" s="244">
        <f t="shared" si="204"/>
        <v>67.40654205607477</v>
      </c>
    </row>
    <row r="1489" spans="2:19" x14ac:dyDescent="0.2">
      <c r="B1489" s="67">
        <f t="shared" si="205"/>
        <v>725</v>
      </c>
      <c r="C1489" s="2"/>
      <c r="D1489" s="2"/>
      <c r="E1489" s="2"/>
      <c r="F1489" s="46" t="s">
        <v>80</v>
      </c>
      <c r="G1489" s="2">
        <v>633</v>
      </c>
      <c r="H1489" s="2" t="s">
        <v>131</v>
      </c>
      <c r="I1489" s="22">
        <v>1795</v>
      </c>
      <c r="J1489" s="22">
        <v>130</v>
      </c>
      <c r="K1489" s="225">
        <f t="shared" si="203"/>
        <v>7.2423398328690807</v>
      </c>
      <c r="L1489" s="68"/>
      <c r="M1489" s="22"/>
      <c r="N1489" s="22"/>
      <c r="O1489" s="225"/>
      <c r="P1489" s="68"/>
      <c r="Q1489" s="22">
        <f t="shared" si="200"/>
        <v>1795</v>
      </c>
      <c r="R1489" s="22">
        <f t="shared" si="202"/>
        <v>130</v>
      </c>
      <c r="S1489" s="244">
        <f t="shared" si="204"/>
        <v>7.2423398328690807</v>
      </c>
    </row>
    <row r="1490" spans="2:19" x14ac:dyDescent="0.2">
      <c r="B1490" s="67">
        <f t="shared" si="205"/>
        <v>726</v>
      </c>
      <c r="C1490" s="2"/>
      <c r="D1490" s="2"/>
      <c r="E1490" s="2"/>
      <c r="F1490" s="46" t="s">
        <v>80</v>
      </c>
      <c r="G1490" s="2">
        <v>635</v>
      </c>
      <c r="H1490" s="2" t="s">
        <v>137</v>
      </c>
      <c r="I1490" s="22">
        <v>410</v>
      </c>
      <c r="J1490" s="22">
        <v>110</v>
      </c>
      <c r="K1490" s="225">
        <f t="shared" si="203"/>
        <v>26.829268292682929</v>
      </c>
      <c r="L1490" s="68"/>
      <c r="M1490" s="22"/>
      <c r="N1490" s="22"/>
      <c r="O1490" s="225"/>
      <c r="P1490" s="68"/>
      <c r="Q1490" s="22">
        <f t="shared" ref="Q1490:Q1544" si="206">M1490+I1490</f>
        <v>410</v>
      </c>
      <c r="R1490" s="22">
        <f t="shared" si="202"/>
        <v>110</v>
      </c>
      <c r="S1490" s="244">
        <f t="shared" si="204"/>
        <v>26.829268292682929</v>
      </c>
    </row>
    <row r="1491" spans="2:19" x14ac:dyDescent="0.2">
      <c r="B1491" s="67">
        <f t="shared" si="205"/>
        <v>727</v>
      </c>
      <c r="C1491" s="2"/>
      <c r="D1491" s="2"/>
      <c r="E1491" s="2"/>
      <c r="F1491" s="46" t="s">
        <v>80</v>
      </c>
      <c r="G1491" s="2">
        <v>637</v>
      </c>
      <c r="H1491" s="2" t="s">
        <v>128</v>
      </c>
      <c r="I1491" s="22">
        <v>2346</v>
      </c>
      <c r="J1491" s="22">
        <v>1240</v>
      </c>
      <c r="K1491" s="225">
        <f t="shared" si="203"/>
        <v>52.855924978687128</v>
      </c>
      <c r="L1491" s="68"/>
      <c r="M1491" s="22"/>
      <c r="N1491" s="22"/>
      <c r="O1491" s="225"/>
      <c r="P1491" s="68"/>
      <c r="Q1491" s="22">
        <f t="shared" si="206"/>
        <v>2346</v>
      </c>
      <c r="R1491" s="22">
        <f t="shared" si="202"/>
        <v>1240</v>
      </c>
      <c r="S1491" s="244">
        <f t="shared" si="204"/>
        <v>52.855924978687128</v>
      </c>
    </row>
    <row r="1492" spans="2:19" x14ac:dyDescent="0.2">
      <c r="B1492" s="67">
        <f t="shared" si="205"/>
        <v>728</v>
      </c>
      <c r="C1492" s="11"/>
      <c r="D1492" s="11"/>
      <c r="E1492" s="11"/>
      <c r="F1492" s="45" t="s">
        <v>80</v>
      </c>
      <c r="G1492" s="11">
        <v>640</v>
      </c>
      <c r="H1492" s="11" t="s">
        <v>134</v>
      </c>
      <c r="I1492" s="42">
        <v>100</v>
      </c>
      <c r="J1492" s="42">
        <v>0</v>
      </c>
      <c r="K1492" s="225">
        <f t="shared" si="203"/>
        <v>0</v>
      </c>
      <c r="L1492" s="114"/>
      <c r="M1492" s="42"/>
      <c r="N1492" s="42"/>
      <c r="O1492" s="225"/>
      <c r="P1492" s="114"/>
      <c r="Q1492" s="42">
        <f t="shared" si="206"/>
        <v>100</v>
      </c>
      <c r="R1492" s="42">
        <f t="shared" si="202"/>
        <v>0</v>
      </c>
      <c r="S1492" s="244">
        <f t="shared" si="204"/>
        <v>0</v>
      </c>
    </row>
    <row r="1493" spans="2:19" x14ac:dyDescent="0.2">
      <c r="B1493" s="67">
        <f t="shared" si="205"/>
        <v>729</v>
      </c>
      <c r="C1493" s="11"/>
      <c r="D1493" s="11"/>
      <c r="E1493" s="11"/>
      <c r="F1493" s="45" t="s">
        <v>269</v>
      </c>
      <c r="G1493" s="11">
        <v>610</v>
      </c>
      <c r="H1493" s="11" t="s">
        <v>135</v>
      </c>
      <c r="I1493" s="42">
        <v>24655</v>
      </c>
      <c r="J1493" s="42">
        <v>10444</v>
      </c>
      <c r="K1493" s="225">
        <f t="shared" si="203"/>
        <v>42.36057594808355</v>
      </c>
      <c r="L1493" s="114"/>
      <c r="M1493" s="42"/>
      <c r="N1493" s="42"/>
      <c r="O1493" s="225"/>
      <c r="P1493" s="114"/>
      <c r="Q1493" s="42">
        <f t="shared" si="206"/>
        <v>24655</v>
      </c>
      <c r="R1493" s="42">
        <f t="shared" si="202"/>
        <v>10444</v>
      </c>
      <c r="S1493" s="244">
        <f t="shared" si="204"/>
        <v>42.36057594808355</v>
      </c>
    </row>
    <row r="1494" spans="2:19" x14ac:dyDescent="0.2">
      <c r="B1494" s="67">
        <f t="shared" si="205"/>
        <v>730</v>
      </c>
      <c r="C1494" s="11"/>
      <c r="D1494" s="11"/>
      <c r="E1494" s="11"/>
      <c r="F1494" s="45" t="s">
        <v>269</v>
      </c>
      <c r="G1494" s="11">
        <v>620</v>
      </c>
      <c r="H1494" s="11" t="s">
        <v>130</v>
      </c>
      <c r="I1494" s="42">
        <v>8611</v>
      </c>
      <c r="J1494" s="42">
        <v>3256</v>
      </c>
      <c r="K1494" s="225">
        <f t="shared" si="203"/>
        <v>37.812100801300666</v>
      </c>
      <c r="L1494" s="114"/>
      <c r="M1494" s="42"/>
      <c r="N1494" s="42"/>
      <c r="O1494" s="225"/>
      <c r="P1494" s="114"/>
      <c r="Q1494" s="42">
        <f t="shared" si="206"/>
        <v>8611</v>
      </c>
      <c r="R1494" s="42">
        <f t="shared" si="202"/>
        <v>3256</v>
      </c>
      <c r="S1494" s="244">
        <f t="shared" si="204"/>
        <v>37.812100801300666</v>
      </c>
    </row>
    <row r="1495" spans="2:19" x14ac:dyDescent="0.2">
      <c r="B1495" s="67">
        <f t="shared" si="205"/>
        <v>731</v>
      </c>
      <c r="C1495" s="11"/>
      <c r="D1495" s="11"/>
      <c r="E1495" s="11"/>
      <c r="F1495" s="45" t="s">
        <v>269</v>
      </c>
      <c r="G1495" s="11">
        <v>630</v>
      </c>
      <c r="H1495" s="11" t="s">
        <v>127</v>
      </c>
      <c r="I1495" s="42">
        <f>I1499+I1498+I1497+I1496</f>
        <v>20099</v>
      </c>
      <c r="J1495" s="42">
        <f>J1499+J1498+J1497+J1496</f>
        <v>12301</v>
      </c>
      <c r="K1495" s="225">
        <f t="shared" si="203"/>
        <v>61.202049853226526</v>
      </c>
      <c r="L1495" s="114"/>
      <c r="M1495" s="42">
        <f>M1499+M1498+M1497+M1496</f>
        <v>0</v>
      </c>
      <c r="N1495" s="42">
        <f>N1499+N1498+N1497+N1496</f>
        <v>0</v>
      </c>
      <c r="O1495" s="225"/>
      <c r="P1495" s="114"/>
      <c r="Q1495" s="42">
        <f t="shared" si="206"/>
        <v>20099</v>
      </c>
      <c r="R1495" s="42">
        <f t="shared" si="202"/>
        <v>12301</v>
      </c>
      <c r="S1495" s="244">
        <f t="shared" si="204"/>
        <v>61.202049853226526</v>
      </c>
    </row>
    <row r="1496" spans="2:19" x14ac:dyDescent="0.2">
      <c r="B1496" s="67">
        <f t="shared" si="205"/>
        <v>732</v>
      </c>
      <c r="C1496" s="2"/>
      <c r="D1496" s="2"/>
      <c r="E1496" s="2"/>
      <c r="F1496" s="46" t="s">
        <v>269</v>
      </c>
      <c r="G1496" s="2">
        <v>632</v>
      </c>
      <c r="H1496" s="2" t="s">
        <v>138</v>
      </c>
      <c r="I1496" s="22">
        <v>15150</v>
      </c>
      <c r="J1496" s="22">
        <v>10579</v>
      </c>
      <c r="K1496" s="225">
        <f t="shared" si="203"/>
        <v>69.828382838283829</v>
      </c>
      <c r="L1496" s="68"/>
      <c r="M1496" s="22"/>
      <c r="N1496" s="22"/>
      <c r="O1496" s="225"/>
      <c r="P1496" s="68"/>
      <c r="Q1496" s="22">
        <f t="shared" si="206"/>
        <v>15150</v>
      </c>
      <c r="R1496" s="22">
        <f t="shared" si="202"/>
        <v>10579</v>
      </c>
      <c r="S1496" s="244">
        <f t="shared" si="204"/>
        <v>69.828382838283829</v>
      </c>
    </row>
    <row r="1497" spans="2:19" x14ac:dyDescent="0.2">
      <c r="B1497" s="67">
        <f t="shared" si="205"/>
        <v>733</v>
      </c>
      <c r="C1497" s="2"/>
      <c r="D1497" s="2"/>
      <c r="E1497" s="2"/>
      <c r="F1497" s="46" t="s">
        <v>269</v>
      </c>
      <c r="G1497" s="2">
        <v>633</v>
      </c>
      <c r="H1497" s="2" t="s">
        <v>131</v>
      </c>
      <c r="I1497" s="22">
        <v>1725</v>
      </c>
      <c r="J1497" s="22">
        <v>159</v>
      </c>
      <c r="K1497" s="225">
        <f t="shared" si="203"/>
        <v>9.2173913043478262</v>
      </c>
      <c r="L1497" s="68"/>
      <c r="M1497" s="22"/>
      <c r="N1497" s="22"/>
      <c r="O1497" s="225"/>
      <c r="P1497" s="68"/>
      <c r="Q1497" s="22">
        <f t="shared" si="206"/>
        <v>1725</v>
      </c>
      <c r="R1497" s="22">
        <f t="shared" si="202"/>
        <v>159</v>
      </c>
      <c r="S1497" s="244">
        <f t="shared" si="204"/>
        <v>9.2173913043478262</v>
      </c>
    </row>
    <row r="1498" spans="2:19" x14ac:dyDescent="0.2">
      <c r="B1498" s="67">
        <f t="shared" si="205"/>
        <v>734</v>
      </c>
      <c r="C1498" s="2"/>
      <c r="D1498" s="2"/>
      <c r="E1498" s="2"/>
      <c r="F1498" s="46" t="s">
        <v>269</v>
      </c>
      <c r="G1498" s="2">
        <v>635</v>
      </c>
      <c r="H1498" s="2" t="s">
        <v>137</v>
      </c>
      <c r="I1498" s="22">
        <v>663</v>
      </c>
      <c r="J1498" s="22">
        <v>135</v>
      </c>
      <c r="K1498" s="225">
        <f t="shared" si="203"/>
        <v>20.361990950226243</v>
      </c>
      <c r="L1498" s="68"/>
      <c r="M1498" s="22"/>
      <c r="N1498" s="22"/>
      <c r="O1498" s="225"/>
      <c r="P1498" s="68"/>
      <c r="Q1498" s="22">
        <f t="shared" si="206"/>
        <v>663</v>
      </c>
      <c r="R1498" s="22">
        <f t="shared" si="202"/>
        <v>135</v>
      </c>
      <c r="S1498" s="244">
        <f t="shared" si="204"/>
        <v>20.361990950226243</v>
      </c>
    </row>
    <row r="1499" spans="2:19" x14ac:dyDescent="0.2">
      <c r="B1499" s="67">
        <f t="shared" si="205"/>
        <v>735</v>
      </c>
      <c r="C1499" s="2"/>
      <c r="D1499" s="2"/>
      <c r="E1499" s="2"/>
      <c r="F1499" s="46" t="s">
        <v>269</v>
      </c>
      <c r="G1499" s="2">
        <v>637</v>
      </c>
      <c r="H1499" s="2" t="s">
        <v>128</v>
      </c>
      <c r="I1499" s="22">
        <v>2561</v>
      </c>
      <c r="J1499" s="22">
        <v>1428</v>
      </c>
      <c r="K1499" s="225">
        <f t="shared" si="203"/>
        <v>55.759468957438493</v>
      </c>
      <c r="L1499" s="68"/>
      <c r="M1499" s="22"/>
      <c r="N1499" s="22"/>
      <c r="O1499" s="225"/>
      <c r="P1499" s="68"/>
      <c r="Q1499" s="22">
        <f t="shared" si="206"/>
        <v>2561</v>
      </c>
      <c r="R1499" s="22">
        <f t="shared" si="202"/>
        <v>1428</v>
      </c>
      <c r="S1499" s="244">
        <f t="shared" si="204"/>
        <v>55.759468957438493</v>
      </c>
    </row>
    <row r="1500" spans="2:19" x14ac:dyDescent="0.2">
      <c r="B1500" s="67">
        <f t="shared" si="205"/>
        <v>736</v>
      </c>
      <c r="C1500" s="11"/>
      <c r="D1500" s="11"/>
      <c r="E1500" s="11"/>
      <c r="F1500" s="45" t="s">
        <v>269</v>
      </c>
      <c r="G1500" s="11">
        <v>640</v>
      </c>
      <c r="H1500" s="11" t="s">
        <v>134</v>
      </c>
      <c r="I1500" s="42">
        <v>100</v>
      </c>
      <c r="J1500" s="42">
        <v>0</v>
      </c>
      <c r="K1500" s="225">
        <f t="shared" si="203"/>
        <v>0</v>
      </c>
      <c r="L1500" s="114"/>
      <c r="M1500" s="42"/>
      <c r="N1500" s="42"/>
      <c r="O1500" s="225"/>
      <c r="P1500" s="114"/>
      <c r="Q1500" s="42">
        <f t="shared" si="206"/>
        <v>100</v>
      </c>
      <c r="R1500" s="42">
        <f t="shared" si="202"/>
        <v>0</v>
      </c>
      <c r="S1500" s="244">
        <f t="shared" si="204"/>
        <v>0</v>
      </c>
    </row>
    <row r="1501" spans="2:19" ht="15" x14ac:dyDescent="0.25">
      <c r="B1501" s="67">
        <f t="shared" si="205"/>
        <v>737</v>
      </c>
      <c r="C1501" s="14"/>
      <c r="D1501" s="14"/>
      <c r="E1501" s="14">
        <v>11</v>
      </c>
      <c r="F1501" s="43"/>
      <c r="G1501" s="14"/>
      <c r="H1501" s="14" t="s">
        <v>271</v>
      </c>
      <c r="I1501" s="40">
        <f>I1502+I1503+I1504+I1510+I1511+I1512+I1519+I1513</f>
        <v>104990</v>
      </c>
      <c r="J1501" s="40">
        <f>J1502+J1503+J1504+J1510+J1511+J1512+J1519+J1513</f>
        <v>45576</v>
      </c>
      <c r="K1501" s="225">
        <f t="shared" si="203"/>
        <v>43.409848557005432</v>
      </c>
      <c r="L1501" s="175"/>
      <c r="M1501" s="40">
        <f>M1502+M1503+M1504+M1510+M1511+M1512+M1519+M1513+M1520</f>
        <v>10000</v>
      </c>
      <c r="N1501" s="40">
        <f>N1502+N1503+N1504+N1510+N1511+N1512+N1519+N1513+N1520</f>
        <v>0</v>
      </c>
      <c r="O1501" s="225">
        <f t="shared" ref="O1501:O1541" si="207">N1501/M1501*100</f>
        <v>0</v>
      </c>
      <c r="P1501" s="175"/>
      <c r="Q1501" s="40">
        <f t="shared" si="206"/>
        <v>114990</v>
      </c>
      <c r="R1501" s="40">
        <f t="shared" si="202"/>
        <v>45576</v>
      </c>
      <c r="S1501" s="244">
        <f t="shared" si="204"/>
        <v>39.634750847899817</v>
      </c>
    </row>
    <row r="1502" spans="2:19" x14ac:dyDescent="0.2">
      <c r="B1502" s="67">
        <f t="shared" si="205"/>
        <v>738</v>
      </c>
      <c r="C1502" s="11"/>
      <c r="D1502" s="11"/>
      <c r="E1502" s="11"/>
      <c r="F1502" s="45" t="s">
        <v>80</v>
      </c>
      <c r="G1502" s="11">
        <v>610</v>
      </c>
      <c r="H1502" s="11" t="s">
        <v>135</v>
      </c>
      <c r="I1502" s="42">
        <v>24537</v>
      </c>
      <c r="J1502" s="42">
        <v>12410</v>
      </c>
      <c r="K1502" s="225">
        <f t="shared" si="203"/>
        <v>50.576680115743564</v>
      </c>
      <c r="L1502" s="114"/>
      <c r="M1502" s="42"/>
      <c r="N1502" s="42"/>
      <c r="O1502" s="225"/>
      <c r="P1502" s="114"/>
      <c r="Q1502" s="42">
        <f t="shared" si="206"/>
        <v>24537</v>
      </c>
      <c r="R1502" s="42">
        <f t="shared" si="202"/>
        <v>12410</v>
      </c>
      <c r="S1502" s="244">
        <f t="shared" si="204"/>
        <v>50.576680115743564</v>
      </c>
    </row>
    <row r="1503" spans="2:19" x14ac:dyDescent="0.2">
      <c r="B1503" s="67">
        <f t="shared" si="205"/>
        <v>739</v>
      </c>
      <c r="C1503" s="11"/>
      <c r="D1503" s="11"/>
      <c r="E1503" s="11"/>
      <c r="F1503" s="45" t="s">
        <v>80</v>
      </c>
      <c r="G1503" s="11">
        <v>620</v>
      </c>
      <c r="H1503" s="11" t="s">
        <v>130</v>
      </c>
      <c r="I1503" s="42">
        <v>8588</v>
      </c>
      <c r="J1503" s="42">
        <v>4300</v>
      </c>
      <c r="K1503" s="225">
        <f t="shared" si="203"/>
        <v>50.069864927806243</v>
      </c>
      <c r="L1503" s="114"/>
      <c r="M1503" s="42"/>
      <c r="N1503" s="42"/>
      <c r="O1503" s="225"/>
      <c r="P1503" s="114"/>
      <c r="Q1503" s="42">
        <f t="shared" si="206"/>
        <v>8588</v>
      </c>
      <c r="R1503" s="42">
        <f t="shared" si="202"/>
        <v>4300</v>
      </c>
      <c r="S1503" s="244">
        <f t="shared" si="204"/>
        <v>50.069864927806243</v>
      </c>
    </row>
    <row r="1504" spans="2:19" x14ac:dyDescent="0.2">
      <c r="B1504" s="67">
        <f t="shared" si="205"/>
        <v>740</v>
      </c>
      <c r="C1504" s="11"/>
      <c r="D1504" s="11"/>
      <c r="E1504" s="11"/>
      <c r="F1504" s="45" t="s">
        <v>80</v>
      </c>
      <c r="G1504" s="11">
        <v>630</v>
      </c>
      <c r="H1504" s="11" t="s">
        <v>127</v>
      </c>
      <c r="I1504" s="42">
        <f>I1509+I1508+I1507+I1506+I1505</f>
        <v>5975</v>
      </c>
      <c r="J1504" s="42">
        <f>J1509+J1508+J1507+J1506+J1505</f>
        <v>2659</v>
      </c>
      <c r="K1504" s="225">
        <f t="shared" si="203"/>
        <v>44.502092050209207</v>
      </c>
      <c r="L1504" s="114"/>
      <c r="M1504" s="42">
        <f>M1509+M1508+M1507+M1506+M1505</f>
        <v>0</v>
      </c>
      <c r="N1504" s="42">
        <f>N1509+N1508+N1507+N1506+N1505</f>
        <v>0</v>
      </c>
      <c r="O1504" s="225"/>
      <c r="P1504" s="114"/>
      <c r="Q1504" s="42">
        <f t="shared" si="206"/>
        <v>5975</v>
      </c>
      <c r="R1504" s="42">
        <f t="shared" si="202"/>
        <v>2659</v>
      </c>
      <c r="S1504" s="244">
        <f t="shared" si="204"/>
        <v>44.502092050209207</v>
      </c>
    </row>
    <row r="1505" spans="2:19" x14ac:dyDescent="0.2">
      <c r="B1505" s="67">
        <f t="shared" si="205"/>
        <v>741</v>
      </c>
      <c r="C1505" s="2"/>
      <c r="D1505" s="2"/>
      <c r="E1505" s="2"/>
      <c r="F1505" s="46" t="s">
        <v>80</v>
      </c>
      <c r="G1505" s="2">
        <v>631</v>
      </c>
      <c r="H1505" s="2" t="s">
        <v>133</v>
      </c>
      <c r="I1505" s="22">
        <v>20</v>
      </c>
      <c r="J1505" s="22">
        <v>0</v>
      </c>
      <c r="K1505" s="225">
        <f t="shared" si="203"/>
        <v>0</v>
      </c>
      <c r="L1505" s="68"/>
      <c r="M1505" s="22"/>
      <c r="N1505" s="22"/>
      <c r="O1505" s="225"/>
      <c r="P1505" s="68"/>
      <c r="Q1505" s="22">
        <f t="shared" si="206"/>
        <v>20</v>
      </c>
      <c r="R1505" s="22">
        <f t="shared" si="202"/>
        <v>0</v>
      </c>
      <c r="S1505" s="244">
        <f t="shared" si="204"/>
        <v>0</v>
      </c>
    </row>
    <row r="1506" spans="2:19" x14ac:dyDescent="0.2">
      <c r="B1506" s="67">
        <f t="shared" si="205"/>
        <v>742</v>
      </c>
      <c r="C1506" s="2"/>
      <c r="D1506" s="2"/>
      <c r="E1506" s="2"/>
      <c r="F1506" s="46" t="s">
        <v>80</v>
      </c>
      <c r="G1506" s="2">
        <v>632</v>
      </c>
      <c r="H1506" s="2" t="s">
        <v>138</v>
      </c>
      <c r="I1506" s="22">
        <v>1860</v>
      </c>
      <c r="J1506" s="22">
        <v>51</v>
      </c>
      <c r="K1506" s="225">
        <f t="shared" si="203"/>
        <v>2.741935483870968</v>
      </c>
      <c r="L1506" s="68"/>
      <c r="M1506" s="22"/>
      <c r="N1506" s="22"/>
      <c r="O1506" s="225"/>
      <c r="P1506" s="68"/>
      <c r="Q1506" s="22">
        <f t="shared" si="206"/>
        <v>1860</v>
      </c>
      <c r="R1506" s="22">
        <f t="shared" si="202"/>
        <v>51</v>
      </c>
      <c r="S1506" s="244">
        <f t="shared" si="204"/>
        <v>2.741935483870968</v>
      </c>
    </row>
    <row r="1507" spans="2:19" x14ac:dyDescent="0.2">
      <c r="B1507" s="67">
        <f t="shared" si="205"/>
        <v>743</v>
      </c>
      <c r="C1507" s="2"/>
      <c r="D1507" s="2"/>
      <c r="E1507" s="2"/>
      <c r="F1507" s="46" t="s">
        <v>80</v>
      </c>
      <c r="G1507" s="2">
        <v>633</v>
      </c>
      <c r="H1507" s="2" t="s">
        <v>131</v>
      </c>
      <c r="I1507" s="22">
        <v>1561</v>
      </c>
      <c r="J1507" s="22">
        <v>769</v>
      </c>
      <c r="K1507" s="225">
        <f t="shared" si="203"/>
        <v>49.263292761050607</v>
      </c>
      <c r="L1507" s="68"/>
      <c r="M1507" s="22"/>
      <c r="N1507" s="22"/>
      <c r="O1507" s="225"/>
      <c r="P1507" s="68"/>
      <c r="Q1507" s="22">
        <f t="shared" si="206"/>
        <v>1561</v>
      </c>
      <c r="R1507" s="22">
        <f t="shared" si="202"/>
        <v>769</v>
      </c>
      <c r="S1507" s="244">
        <f t="shared" si="204"/>
        <v>49.263292761050607</v>
      </c>
    </row>
    <row r="1508" spans="2:19" x14ac:dyDescent="0.2">
      <c r="B1508" s="67">
        <f t="shared" si="205"/>
        <v>744</v>
      </c>
      <c r="C1508" s="2"/>
      <c r="D1508" s="2"/>
      <c r="E1508" s="2"/>
      <c r="F1508" s="46" t="s">
        <v>80</v>
      </c>
      <c r="G1508" s="2">
        <v>635</v>
      </c>
      <c r="H1508" s="2" t="s">
        <v>137</v>
      </c>
      <c r="I1508" s="22">
        <v>347</v>
      </c>
      <c r="J1508" s="22">
        <v>539</v>
      </c>
      <c r="K1508" s="225">
        <f t="shared" si="203"/>
        <v>155.3314121037464</v>
      </c>
      <c r="L1508" s="68"/>
      <c r="M1508" s="22"/>
      <c r="N1508" s="22"/>
      <c r="O1508" s="225"/>
      <c r="P1508" s="68"/>
      <c r="Q1508" s="22">
        <f t="shared" si="206"/>
        <v>347</v>
      </c>
      <c r="R1508" s="22">
        <f t="shared" si="202"/>
        <v>539</v>
      </c>
      <c r="S1508" s="244">
        <f t="shared" si="204"/>
        <v>155.3314121037464</v>
      </c>
    </row>
    <row r="1509" spans="2:19" x14ac:dyDescent="0.2">
      <c r="B1509" s="67">
        <f t="shared" si="205"/>
        <v>745</v>
      </c>
      <c r="C1509" s="2"/>
      <c r="D1509" s="2"/>
      <c r="E1509" s="2"/>
      <c r="F1509" s="46" t="s">
        <v>80</v>
      </c>
      <c r="G1509" s="2">
        <v>637</v>
      </c>
      <c r="H1509" s="2" t="s">
        <v>128</v>
      </c>
      <c r="I1509" s="22">
        <v>2187</v>
      </c>
      <c r="J1509" s="22">
        <v>1300</v>
      </c>
      <c r="K1509" s="225">
        <f t="shared" si="203"/>
        <v>59.442158207590303</v>
      </c>
      <c r="L1509" s="68"/>
      <c r="M1509" s="22"/>
      <c r="N1509" s="22"/>
      <c r="O1509" s="225"/>
      <c r="P1509" s="68"/>
      <c r="Q1509" s="22">
        <f t="shared" si="206"/>
        <v>2187</v>
      </c>
      <c r="R1509" s="22">
        <f t="shared" si="202"/>
        <v>1300</v>
      </c>
      <c r="S1509" s="244">
        <f t="shared" si="204"/>
        <v>59.442158207590303</v>
      </c>
    </row>
    <row r="1510" spans="2:19" x14ac:dyDescent="0.2">
      <c r="B1510" s="67">
        <f t="shared" si="205"/>
        <v>746</v>
      </c>
      <c r="C1510" s="11"/>
      <c r="D1510" s="11"/>
      <c r="E1510" s="11"/>
      <c r="F1510" s="45" t="s">
        <v>80</v>
      </c>
      <c r="G1510" s="11">
        <v>640</v>
      </c>
      <c r="H1510" s="11" t="s">
        <v>134</v>
      </c>
      <c r="I1510" s="42">
        <v>107</v>
      </c>
      <c r="J1510" s="42">
        <v>76</v>
      </c>
      <c r="K1510" s="225">
        <f t="shared" si="203"/>
        <v>71.028037383177562</v>
      </c>
      <c r="L1510" s="114"/>
      <c r="M1510" s="42"/>
      <c r="N1510" s="42"/>
      <c r="O1510" s="225"/>
      <c r="P1510" s="114"/>
      <c r="Q1510" s="42">
        <f t="shared" si="206"/>
        <v>107</v>
      </c>
      <c r="R1510" s="42">
        <f t="shared" si="202"/>
        <v>76</v>
      </c>
      <c r="S1510" s="244">
        <f t="shared" si="204"/>
        <v>71.028037383177562</v>
      </c>
    </row>
    <row r="1511" spans="2:19" x14ac:dyDescent="0.2">
      <c r="B1511" s="67">
        <f t="shared" si="205"/>
        <v>747</v>
      </c>
      <c r="C1511" s="11"/>
      <c r="D1511" s="11"/>
      <c r="E1511" s="11"/>
      <c r="F1511" s="45" t="s">
        <v>269</v>
      </c>
      <c r="G1511" s="11">
        <v>610</v>
      </c>
      <c r="H1511" s="11" t="s">
        <v>135</v>
      </c>
      <c r="I1511" s="42">
        <f>36806+5163</f>
        <v>41969</v>
      </c>
      <c r="J1511" s="42">
        <v>16355</v>
      </c>
      <c r="K1511" s="225">
        <f t="shared" si="203"/>
        <v>38.969239200362168</v>
      </c>
      <c r="L1511" s="114"/>
      <c r="M1511" s="42"/>
      <c r="N1511" s="42"/>
      <c r="O1511" s="225"/>
      <c r="P1511" s="114"/>
      <c r="Q1511" s="42">
        <f t="shared" si="206"/>
        <v>41969</v>
      </c>
      <c r="R1511" s="42">
        <f t="shared" si="202"/>
        <v>16355</v>
      </c>
      <c r="S1511" s="244">
        <f t="shared" si="204"/>
        <v>38.969239200362168</v>
      </c>
    </row>
    <row r="1512" spans="2:19" x14ac:dyDescent="0.2">
      <c r="B1512" s="67">
        <f t="shared" si="205"/>
        <v>748</v>
      </c>
      <c r="C1512" s="11"/>
      <c r="D1512" s="11"/>
      <c r="E1512" s="11"/>
      <c r="F1512" s="45" t="s">
        <v>269</v>
      </c>
      <c r="G1512" s="11">
        <v>620</v>
      </c>
      <c r="H1512" s="11" t="s">
        <v>130</v>
      </c>
      <c r="I1512" s="42">
        <f>12882+1808</f>
        <v>14690</v>
      </c>
      <c r="J1512" s="42">
        <v>5546</v>
      </c>
      <c r="K1512" s="225">
        <f t="shared" si="203"/>
        <v>37.753573859768551</v>
      </c>
      <c r="L1512" s="114"/>
      <c r="M1512" s="42"/>
      <c r="N1512" s="42"/>
      <c r="O1512" s="225"/>
      <c r="P1512" s="114"/>
      <c r="Q1512" s="42">
        <f t="shared" si="206"/>
        <v>14690</v>
      </c>
      <c r="R1512" s="42">
        <f t="shared" si="202"/>
        <v>5546</v>
      </c>
      <c r="S1512" s="244">
        <f t="shared" si="204"/>
        <v>37.753573859768551</v>
      </c>
    </row>
    <row r="1513" spans="2:19" x14ac:dyDescent="0.2">
      <c r="B1513" s="67">
        <f t="shared" si="205"/>
        <v>749</v>
      </c>
      <c r="C1513" s="11"/>
      <c r="D1513" s="11"/>
      <c r="E1513" s="11"/>
      <c r="F1513" s="45" t="s">
        <v>269</v>
      </c>
      <c r="G1513" s="11">
        <v>630</v>
      </c>
      <c r="H1513" s="11" t="s">
        <v>127</v>
      </c>
      <c r="I1513" s="42">
        <f>I1518+I1517+I1516+I1515+I1514</f>
        <v>8963</v>
      </c>
      <c r="J1513" s="42">
        <f>J1518+J1517+J1516+J1515+J1514</f>
        <v>4154</v>
      </c>
      <c r="K1513" s="225">
        <f t="shared" si="203"/>
        <v>46.346089478969091</v>
      </c>
      <c r="L1513" s="114"/>
      <c r="M1513" s="42">
        <f>M1518+M1517+M1516+M1515+M1514</f>
        <v>0</v>
      </c>
      <c r="N1513" s="42">
        <f>N1518+N1517+N1516+N1515+N1514</f>
        <v>0</v>
      </c>
      <c r="O1513" s="225"/>
      <c r="P1513" s="114"/>
      <c r="Q1513" s="42">
        <f t="shared" si="206"/>
        <v>8963</v>
      </c>
      <c r="R1513" s="42">
        <f t="shared" si="202"/>
        <v>4154</v>
      </c>
      <c r="S1513" s="244">
        <f t="shared" si="204"/>
        <v>46.346089478969091</v>
      </c>
    </row>
    <row r="1514" spans="2:19" x14ac:dyDescent="0.2">
      <c r="B1514" s="67">
        <f t="shared" si="205"/>
        <v>750</v>
      </c>
      <c r="C1514" s="2"/>
      <c r="D1514" s="2"/>
      <c r="E1514" s="2"/>
      <c r="F1514" s="46" t="s">
        <v>269</v>
      </c>
      <c r="G1514" s="2">
        <v>631</v>
      </c>
      <c r="H1514" s="2" t="s">
        <v>133</v>
      </c>
      <c r="I1514" s="22">
        <v>31</v>
      </c>
      <c r="J1514" s="22">
        <v>0</v>
      </c>
      <c r="K1514" s="225">
        <f t="shared" si="203"/>
        <v>0</v>
      </c>
      <c r="L1514" s="68"/>
      <c r="M1514" s="22"/>
      <c r="N1514" s="22"/>
      <c r="O1514" s="225"/>
      <c r="P1514" s="68"/>
      <c r="Q1514" s="22">
        <f t="shared" si="206"/>
        <v>31</v>
      </c>
      <c r="R1514" s="22">
        <f t="shared" si="202"/>
        <v>0</v>
      </c>
      <c r="S1514" s="244">
        <f t="shared" si="204"/>
        <v>0</v>
      </c>
    </row>
    <row r="1515" spans="2:19" x14ac:dyDescent="0.2">
      <c r="B1515" s="67">
        <f t="shared" si="205"/>
        <v>751</v>
      </c>
      <c r="C1515" s="2"/>
      <c r="D1515" s="2"/>
      <c r="E1515" s="2"/>
      <c r="F1515" s="46" t="s">
        <v>269</v>
      </c>
      <c r="G1515" s="2">
        <v>632</v>
      </c>
      <c r="H1515" s="2" t="s">
        <v>138</v>
      </c>
      <c r="I1515" s="22">
        <v>2791</v>
      </c>
      <c r="J1515" s="22">
        <v>76</v>
      </c>
      <c r="K1515" s="225">
        <f t="shared" si="203"/>
        <v>2.7230383375134362</v>
      </c>
      <c r="L1515" s="68"/>
      <c r="M1515" s="22"/>
      <c r="N1515" s="22"/>
      <c r="O1515" s="225"/>
      <c r="P1515" s="68"/>
      <c r="Q1515" s="22">
        <f t="shared" si="206"/>
        <v>2791</v>
      </c>
      <c r="R1515" s="22">
        <f t="shared" si="202"/>
        <v>76</v>
      </c>
      <c r="S1515" s="244">
        <f t="shared" si="204"/>
        <v>2.7230383375134362</v>
      </c>
    </row>
    <row r="1516" spans="2:19" x14ac:dyDescent="0.2">
      <c r="B1516" s="67">
        <f t="shared" si="205"/>
        <v>752</v>
      </c>
      <c r="C1516" s="2"/>
      <c r="D1516" s="2"/>
      <c r="E1516" s="2"/>
      <c r="F1516" s="46" t="s">
        <v>269</v>
      </c>
      <c r="G1516" s="2">
        <v>633</v>
      </c>
      <c r="H1516" s="2" t="s">
        <v>131</v>
      </c>
      <c r="I1516" s="22">
        <v>2341</v>
      </c>
      <c r="J1516" s="22">
        <v>1154</v>
      </c>
      <c r="K1516" s="225">
        <f t="shared" si="203"/>
        <v>49.295173002990175</v>
      </c>
      <c r="L1516" s="68"/>
      <c r="M1516" s="22"/>
      <c r="N1516" s="22"/>
      <c r="O1516" s="225"/>
      <c r="P1516" s="68"/>
      <c r="Q1516" s="22">
        <f t="shared" si="206"/>
        <v>2341</v>
      </c>
      <c r="R1516" s="22">
        <f t="shared" si="202"/>
        <v>1154</v>
      </c>
      <c r="S1516" s="244">
        <f t="shared" si="204"/>
        <v>49.295173002990175</v>
      </c>
    </row>
    <row r="1517" spans="2:19" x14ac:dyDescent="0.2">
      <c r="B1517" s="67">
        <f t="shared" si="205"/>
        <v>753</v>
      </c>
      <c r="C1517" s="2"/>
      <c r="D1517" s="2"/>
      <c r="E1517" s="2"/>
      <c r="F1517" s="46" t="s">
        <v>269</v>
      </c>
      <c r="G1517" s="2">
        <v>635</v>
      </c>
      <c r="H1517" s="2" t="s">
        <v>137</v>
      </c>
      <c r="I1517" s="22">
        <v>520</v>
      </c>
      <c r="J1517" s="51">
        <v>809</v>
      </c>
      <c r="K1517" s="225">
        <f t="shared" si="203"/>
        <v>155.57692307692307</v>
      </c>
      <c r="L1517" s="68"/>
      <c r="M1517" s="22"/>
      <c r="N1517" s="22"/>
      <c r="O1517" s="225"/>
      <c r="P1517" s="68"/>
      <c r="Q1517" s="22">
        <f t="shared" si="206"/>
        <v>520</v>
      </c>
      <c r="R1517" s="22">
        <f t="shared" si="202"/>
        <v>809</v>
      </c>
      <c r="S1517" s="244">
        <f t="shared" si="204"/>
        <v>155.57692307692307</v>
      </c>
    </row>
    <row r="1518" spans="2:19" x14ac:dyDescent="0.2">
      <c r="B1518" s="67">
        <f t="shared" si="205"/>
        <v>754</v>
      </c>
      <c r="C1518" s="2"/>
      <c r="D1518" s="2"/>
      <c r="E1518" s="2"/>
      <c r="F1518" s="46" t="s">
        <v>269</v>
      </c>
      <c r="G1518" s="2">
        <v>637</v>
      </c>
      <c r="H1518" s="2" t="s">
        <v>128</v>
      </c>
      <c r="I1518" s="22">
        <v>3280</v>
      </c>
      <c r="J1518" s="22">
        <v>2115</v>
      </c>
      <c r="K1518" s="225">
        <f t="shared" si="203"/>
        <v>64.481707317073173</v>
      </c>
      <c r="L1518" s="68"/>
      <c r="M1518" s="22"/>
      <c r="N1518" s="22"/>
      <c r="O1518" s="225"/>
      <c r="P1518" s="68"/>
      <c r="Q1518" s="22">
        <f t="shared" si="206"/>
        <v>3280</v>
      </c>
      <c r="R1518" s="22">
        <f t="shared" si="202"/>
        <v>2115</v>
      </c>
      <c r="S1518" s="244">
        <f t="shared" si="204"/>
        <v>64.481707317073173</v>
      </c>
    </row>
    <row r="1519" spans="2:19" x14ac:dyDescent="0.2">
      <c r="B1519" s="67">
        <f t="shared" si="205"/>
        <v>755</v>
      </c>
      <c r="C1519" s="11"/>
      <c r="D1519" s="11"/>
      <c r="E1519" s="11"/>
      <c r="F1519" s="45" t="s">
        <v>269</v>
      </c>
      <c r="G1519" s="11">
        <v>640</v>
      </c>
      <c r="H1519" s="11" t="s">
        <v>134</v>
      </c>
      <c r="I1519" s="42">
        <v>161</v>
      </c>
      <c r="J1519" s="42">
        <v>76</v>
      </c>
      <c r="K1519" s="225">
        <f t="shared" si="203"/>
        <v>47.204968944099377</v>
      </c>
      <c r="L1519" s="114"/>
      <c r="M1519" s="42"/>
      <c r="N1519" s="42"/>
      <c r="O1519" s="225"/>
      <c r="P1519" s="114"/>
      <c r="Q1519" s="42">
        <f t="shared" si="206"/>
        <v>161</v>
      </c>
      <c r="R1519" s="42">
        <f t="shared" si="202"/>
        <v>76</v>
      </c>
      <c r="S1519" s="244">
        <f t="shared" si="204"/>
        <v>47.204968944099377</v>
      </c>
    </row>
    <row r="1520" spans="2:19" x14ac:dyDescent="0.2">
      <c r="B1520" s="67">
        <f t="shared" si="205"/>
        <v>756</v>
      </c>
      <c r="C1520" s="11"/>
      <c r="D1520" s="11"/>
      <c r="E1520" s="11"/>
      <c r="F1520" s="160" t="s">
        <v>269</v>
      </c>
      <c r="G1520" s="116">
        <v>713</v>
      </c>
      <c r="H1520" s="116" t="s">
        <v>678</v>
      </c>
      <c r="I1520" s="115"/>
      <c r="J1520" s="115"/>
      <c r="K1520" s="225"/>
      <c r="L1520" s="68"/>
      <c r="M1520" s="115">
        <v>10000</v>
      </c>
      <c r="N1520" s="115"/>
      <c r="O1520" s="225">
        <f t="shared" si="207"/>
        <v>0</v>
      </c>
      <c r="P1520" s="68"/>
      <c r="Q1520" s="115">
        <f t="shared" ref="Q1520" si="208">I1520+M1520</f>
        <v>10000</v>
      </c>
      <c r="R1520" s="115">
        <f t="shared" ref="R1520" si="209">J1520+N1520</f>
        <v>0</v>
      </c>
      <c r="S1520" s="244">
        <f t="shared" si="204"/>
        <v>0</v>
      </c>
    </row>
    <row r="1521" spans="2:19" x14ac:dyDescent="0.2">
      <c r="B1521" s="67">
        <f t="shared" si="205"/>
        <v>757</v>
      </c>
      <c r="C1521" s="11"/>
      <c r="D1521" s="11"/>
      <c r="E1521" s="11"/>
      <c r="F1521" s="45"/>
      <c r="G1521" s="11"/>
      <c r="H1521" s="11"/>
      <c r="I1521" s="42"/>
      <c r="J1521" s="42"/>
      <c r="K1521" s="225"/>
      <c r="L1521" s="114"/>
      <c r="M1521" s="42"/>
      <c r="N1521" s="42"/>
      <c r="O1521" s="225"/>
      <c r="P1521" s="114"/>
      <c r="Q1521" s="42"/>
      <c r="R1521" s="42"/>
      <c r="S1521" s="244"/>
    </row>
    <row r="1522" spans="2:19" ht="15" x14ac:dyDescent="0.25">
      <c r="B1522" s="67">
        <f t="shared" si="205"/>
        <v>758</v>
      </c>
      <c r="C1522" s="14"/>
      <c r="D1522" s="14"/>
      <c r="E1522" s="14">
        <v>12</v>
      </c>
      <c r="F1522" s="43"/>
      <c r="G1522" s="14"/>
      <c r="H1522" s="14" t="s">
        <v>270</v>
      </c>
      <c r="I1522" s="40">
        <f>I1523+I1524+I1525+I1531+I1532+I1533+I1534+I1540+I1541</f>
        <v>88146</v>
      </c>
      <c r="J1522" s="40">
        <f>J1523+J1524+J1525+J1531+J1532+J1533+J1534+J1540+J1541</f>
        <v>40325</v>
      </c>
      <c r="K1522" s="225">
        <f t="shared" si="203"/>
        <v>45.747963605835771</v>
      </c>
      <c r="L1522" s="175"/>
      <c r="M1522" s="40">
        <f>M1523+M1524+M1525+M1531+M1532+M1533+M1534+M1540+M1541</f>
        <v>40000</v>
      </c>
      <c r="N1522" s="40">
        <f>N1523+N1524+N1525+N1531+N1532+N1533+N1534+N1540+N1541</f>
        <v>0</v>
      </c>
      <c r="O1522" s="225">
        <f t="shared" si="207"/>
        <v>0</v>
      </c>
      <c r="P1522" s="175"/>
      <c r="Q1522" s="40">
        <f t="shared" si="206"/>
        <v>128146</v>
      </c>
      <c r="R1522" s="40">
        <f t="shared" ref="R1522:R1541" si="210">N1522+J1522</f>
        <v>40325</v>
      </c>
      <c r="S1522" s="244">
        <f t="shared" si="204"/>
        <v>31.468013047617561</v>
      </c>
    </row>
    <row r="1523" spans="2:19" x14ac:dyDescent="0.2">
      <c r="B1523" s="67">
        <f t="shared" si="205"/>
        <v>759</v>
      </c>
      <c r="C1523" s="11"/>
      <c r="D1523" s="11"/>
      <c r="E1523" s="11"/>
      <c r="F1523" s="45" t="s">
        <v>80</v>
      </c>
      <c r="G1523" s="11">
        <v>610</v>
      </c>
      <c r="H1523" s="11" t="s">
        <v>135</v>
      </c>
      <c r="I1523" s="42">
        <v>23606</v>
      </c>
      <c r="J1523" s="42">
        <v>17797</v>
      </c>
      <c r="K1523" s="225">
        <f t="shared" si="203"/>
        <v>75.391849529780558</v>
      </c>
      <c r="L1523" s="114"/>
      <c r="M1523" s="42"/>
      <c r="N1523" s="42"/>
      <c r="O1523" s="225"/>
      <c r="P1523" s="114"/>
      <c r="Q1523" s="42">
        <f t="shared" si="206"/>
        <v>23606</v>
      </c>
      <c r="R1523" s="42">
        <f t="shared" si="210"/>
        <v>17797</v>
      </c>
      <c r="S1523" s="244">
        <f t="shared" si="204"/>
        <v>75.391849529780558</v>
      </c>
    </row>
    <row r="1524" spans="2:19" x14ac:dyDescent="0.2">
      <c r="B1524" s="67">
        <f t="shared" si="205"/>
        <v>760</v>
      </c>
      <c r="C1524" s="11"/>
      <c r="D1524" s="11"/>
      <c r="E1524" s="11"/>
      <c r="F1524" s="45" t="s">
        <v>80</v>
      </c>
      <c r="G1524" s="11">
        <v>620</v>
      </c>
      <c r="H1524" s="11" t="s">
        <v>130</v>
      </c>
      <c r="I1524" s="42">
        <v>8900</v>
      </c>
      <c r="J1524" s="42">
        <v>6588</v>
      </c>
      <c r="K1524" s="225">
        <f t="shared" si="203"/>
        <v>74.022471910112358</v>
      </c>
      <c r="L1524" s="114"/>
      <c r="M1524" s="42"/>
      <c r="N1524" s="42"/>
      <c r="O1524" s="225"/>
      <c r="P1524" s="114"/>
      <c r="Q1524" s="42">
        <f t="shared" si="206"/>
        <v>8900</v>
      </c>
      <c r="R1524" s="42">
        <f t="shared" si="210"/>
        <v>6588</v>
      </c>
      <c r="S1524" s="244">
        <f t="shared" si="204"/>
        <v>74.022471910112358</v>
      </c>
    </row>
    <row r="1525" spans="2:19" x14ac:dyDescent="0.2">
      <c r="B1525" s="67">
        <f t="shared" si="205"/>
        <v>761</v>
      </c>
      <c r="C1525" s="11"/>
      <c r="D1525" s="11"/>
      <c r="E1525" s="11"/>
      <c r="F1525" s="45" t="s">
        <v>80</v>
      </c>
      <c r="G1525" s="11">
        <v>630</v>
      </c>
      <c r="H1525" s="11" t="s">
        <v>127</v>
      </c>
      <c r="I1525" s="42">
        <f>I1530+I1529+I1528+I1527+I1526</f>
        <v>6932</v>
      </c>
      <c r="J1525" s="42">
        <f>J1530+J1529+J1528+J1527+J1526</f>
        <v>3977</v>
      </c>
      <c r="K1525" s="225">
        <f t="shared" si="203"/>
        <v>57.371609924985577</v>
      </c>
      <c r="L1525" s="114"/>
      <c r="M1525" s="42">
        <f>M1530+M1529+M1528+M1527+M1526</f>
        <v>0</v>
      </c>
      <c r="N1525" s="42">
        <f>N1530+N1529+N1528+N1527+N1526</f>
        <v>0</v>
      </c>
      <c r="O1525" s="225"/>
      <c r="P1525" s="114"/>
      <c r="Q1525" s="42">
        <f t="shared" si="206"/>
        <v>6932</v>
      </c>
      <c r="R1525" s="42">
        <f t="shared" si="210"/>
        <v>3977</v>
      </c>
      <c r="S1525" s="244">
        <f t="shared" si="204"/>
        <v>57.371609924985577</v>
      </c>
    </row>
    <row r="1526" spans="2:19" x14ac:dyDescent="0.2">
      <c r="B1526" s="67">
        <f t="shared" si="205"/>
        <v>762</v>
      </c>
      <c r="C1526" s="2"/>
      <c r="D1526" s="2"/>
      <c r="E1526" s="2"/>
      <c r="F1526" s="46" t="s">
        <v>80</v>
      </c>
      <c r="G1526" s="2">
        <v>631</v>
      </c>
      <c r="H1526" s="2" t="s">
        <v>133</v>
      </c>
      <c r="I1526" s="22">
        <v>21</v>
      </c>
      <c r="J1526" s="22">
        <v>0</v>
      </c>
      <c r="K1526" s="225">
        <f t="shared" si="203"/>
        <v>0</v>
      </c>
      <c r="L1526" s="68"/>
      <c r="M1526" s="22"/>
      <c r="N1526" s="22"/>
      <c r="O1526" s="225"/>
      <c r="P1526" s="68"/>
      <c r="Q1526" s="22">
        <f t="shared" si="206"/>
        <v>21</v>
      </c>
      <c r="R1526" s="22">
        <f t="shared" si="210"/>
        <v>0</v>
      </c>
      <c r="S1526" s="244">
        <f t="shared" si="204"/>
        <v>0</v>
      </c>
    </row>
    <row r="1527" spans="2:19" x14ac:dyDescent="0.2">
      <c r="B1527" s="67">
        <f t="shared" si="205"/>
        <v>763</v>
      </c>
      <c r="C1527" s="2"/>
      <c r="D1527" s="2"/>
      <c r="E1527" s="2"/>
      <c r="F1527" s="46" t="s">
        <v>80</v>
      </c>
      <c r="G1527" s="2">
        <v>632</v>
      </c>
      <c r="H1527" s="2" t="s">
        <v>138</v>
      </c>
      <c r="I1527" s="22">
        <v>3259</v>
      </c>
      <c r="J1527" s="22">
        <v>2244</v>
      </c>
      <c r="K1527" s="225">
        <f t="shared" si="203"/>
        <v>68.855477140227066</v>
      </c>
      <c r="L1527" s="68"/>
      <c r="M1527" s="22"/>
      <c r="N1527" s="22"/>
      <c r="O1527" s="225"/>
      <c r="P1527" s="68"/>
      <c r="Q1527" s="22">
        <f t="shared" si="206"/>
        <v>3259</v>
      </c>
      <c r="R1527" s="22">
        <f t="shared" si="210"/>
        <v>2244</v>
      </c>
      <c r="S1527" s="244">
        <f t="shared" si="204"/>
        <v>68.855477140227066</v>
      </c>
    </row>
    <row r="1528" spans="2:19" x14ac:dyDescent="0.2">
      <c r="B1528" s="67">
        <f t="shared" si="205"/>
        <v>764</v>
      </c>
      <c r="C1528" s="2"/>
      <c r="D1528" s="2"/>
      <c r="E1528" s="2"/>
      <c r="F1528" s="46" t="s">
        <v>80</v>
      </c>
      <c r="G1528" s="2">
        <v>633</v>
      </c>
      <c r="H1528" s="2" t="s">
        <v>131</v>
      </c>
      <c r="I1528" s="22">
        <v>1240</v>
      </c>
      <c r="J1528" s="22">
        <v>1125</v>
      </c>
      <c r="K1528" s="225">
        <f t="shared" si="203"/>
        <v>90.725806451612897</v>
      </c>
      <c r="L1528" s="68"/>
      <c r="M1528" s="22"/>
      <c r="N1528" s="22"/>
      <c r="O1528" s="225"/>
      <c r="P1528" s="68"/>
      <c r="Q1528" s="22">
        <f t="shared" si="206"/>
        <v>1240</v>
      </c>
      <c r="R1528" s="22">
        <f t="shared" si="210"/>
        <v>1125</v>
      </c>
      <c r="S1528" s="244">
        <f t="shared" si="204"/>
        <v>90.725806451612897</v>
      </c>
    </row>
    <row r="1529" spans="2:19" x14ac:dyDescent="0.2">
      <c r="B1529" s="67">
        <f t="shared" si="205"/>
        <v>765</v>
      </c>
      <c r="C1529" s="2"/>
      <c r="D1529" s="2"/>
      <c r="E1529" s="2"/>
      <c r="F1529" s="46" t="s">
        <v>80</v>
      </c>
      <c r="G1529" s="2">
        <v>635</v>
      </c>
      <c r="H1529" s="2" t="s">
        <v>137</v>
      </c>
      <c r="I1529" s="22">
        <v>1560</v>
      </c>
      <c r="J1529" s="22">
        <v>194</v>
      </c>
      <c r="K1529" s="225">
        <f t="shared" si="203"/>
        <v>12.435897435897436</v>
      </c>
      <c r="L1529" s="68"/>
      <c r="M1529" s="22"/>
      <c r="N1529" s="22"/>
      <c r="O1529" s="225"/>
      <c r="P1529" s="68"/>
      <c r="Q1529" s="22">
        <f t="shared" si="206"/>
        <v>1560</v>
      </c>
      <c r="R1529" s="22">
        <f t="shared" si="210"/>
        <v>194</v>
      </c>
      <c r="S1529" s="244">
        <f t="shared" si="204"/>
        <v>12.435897435897436</v>
      </c>
    </row>
    <row r="1530" spans="2:19" x14ac:dyDescent="0.2">
      <c r="B1530" s="67">
        <f t="shared" si="205"/>
        <v>766</v>
      </c>
      <c r="C1530" s="2"/>
      <c r="D1530" s="2"/>
      <c r="E1530" s="2"/>
      <c r="F1530" s="46" t="s">
        <v>80</v>
      </c>
      <c r="G1530" s="2">
        <v>637</v>
      </c>
      <c r="H1530" s="2" t="s">
        <v>128</v>
      </c>
      <c r="I1530" s="22">
        <v>852</v>
      </c>
      <c r="J1530" s="22">
        <v>414</v>
      </c>
      <c r="K1530" s="225">
        <f t="shared" si="203"/>
        <v>48.591549295774648</v>
      </c>
      <c r="L1530" s="68"/>
      <c r="M1530" s="22"/>
      <c r="N1530" s="22"/>
      <c r="O1530" s="225"/>
      <c r="P1530" s="68"/>
      <c r="Q1530" s="22">
        <f t="shared" si="206"/>
        <v>852</v>
      </c>
      <c r="R1530" s="22">
        <f t="shared" si="210"/>
        <v>414</v>
      </c>
      <c r="S1530" s="244">
        <f t="shared" si="204"/>
        <v>48.591549295774648</v>
      </c>
    </row>
    <row r="1531" spans="2:19" x14ac:dyDescent="0.2">
      <c r="B1531" s="67">
        <f t="shared" si="205"/>
        <v>767</v>
      </c>
      <c r="C1531" s="11"/>
      <c r="D1531" s="11"/>
      <c r="E1531" s="11"/>
      <c r="F1531" s="45" t="s">
        <v>80</v>
      </c>
      <c r="G1531" s="11">
        <v>640</v>
      </c>
      <c r="H1531" s="11" t="s">
        <v>134</v>
      </c>
      <c r="I1531" s="42">
        <v>118</v>
      </c>
      <c r="J1531" s="42">
        <v>119</v>
      </c>
      <c r="K1531" s="225">
        <f t="shared" si="203"/>
        <v>100.84745762711864</v>
      </c>
      <c r="L1531" s="114"/>
      <c r="M1531" s="42"/>
      <c r="N1531" s="42"/>
      <c r="O1531" s="225"/>
      <c r="P1531" s="114"/>
      <c r="Q1531" s="42">
        <f t="shared" si="206"/>
        <v>118</v>
      </c>
      <c r="R1531" s="42">
        <f t="shared" si="210"/>
        <v>119</v>
      </c>
      <c r="S1531" s="244">
        <f t="shared" si="204"/>
        <v>100.84745762711864</v>
      </c>
    </row>
    <row r="1532" spans="2:19" x14ac:dyDescent="0.2">
      <c r="B1532" s="67">
        <f t="shared" si="205"/>
        <v>768</v>
      </c>
      <c r="C1532" s="11"/>
      <c r="D1532" s="11"/>
      <c r="E1532" s="11"/>
      <c r="F1532" s="45" t="s">
        <v>269</v>
      </c>
      <c r="G1532" s="11">
        <v>610</v>
      </c>
      <c r="H1532" s="11" t="s">
        <v>135</v>
      </c>
      <c r="I1532" s="42">
        <v>28925</v>
      </c>
      <c r="J1532" s="42">
        <v>6615</v>
      </c>
      <c r="K1532" s="225">
        <f t="shared" si="203"/>
        <v>22.869490060501295</v>
      </c>
      <c r="L1532" s="114"/>
      <c r="M1532" s="42"/>
      <c r="N1532" s="42"/>
      <c r="O1532" s="225"/>
      <c r="P1532" s="114"/>
      <c r="Q1532" s="42">
        <f t="shared" si="206"/>
        <v>28925</v>
      </c>
      <c r="R1532" s="42">
        <f t="shared" si="210"/>
        <v>6615</v>
      </c>
      <c r="S1532" s="244">
        <f t="shared" si="204"/>
        <v>22.869490060501295</v>
      </c>
    </row>
    <row r="1533" spans="2:19" x14ac:dyDescent="0.2">
      <c r="B1533" s="67">
        <f t="shared" si="205"/>
        <v>769</v>
      </c>
      <c r="C1533" s="11"/>
      <c r="D1533" s="11"/>
      <c r="E1533" s="11"/>
      <c r="F1533" s="45" t="s">
        <v>269</v>
      </c>
      <c r="G1533" s="11">
        <v>620</v>
      </c>
      <c r="H1533" s="11" t="s">
        <v>130</v>
      </c>
      <c r="I1533" s="42">
        <v>10876</v>
      </c>
      <c r="J1533" s="42">
        <v>2362</v>
      </c>
      <c r="K1533" s="225">
        <f t="shared" si="203"/>
        <v>21.717543214417066</v>
      </c>
      <c r="L1533" s="114"/>
      <c r="M1533" s="42"/>
      <c r="N1533" s="42"/>
      <c r="O1533" s="225"/>
      <c r="P1533" s="114"/>
      <c r="Q1533" s="42">
        <f t="shared" si="206"/>
        <v>10876</v>
      </c>
      <c r="R1533" s="42">
        <f t="shared" si="210"/>
        <v>2362</v>
      </c>
      <c r="S1533" s="244">
        <f t="shared" si="204"/>
        <v>21.717543214417066</v>
      </c>
    </row>
    <row r="1534" spans="2:19" x14ac:dyDescent="0.2">
      <c r="B1534" s="67">
        <f t="shared" si="205"/>
        <v>770</v>
      </c>
      <c r="C1534" s="11"/>
      <c r="D1534" s="11"/>
      <c r="E1534" s="11"/>
      <c r="F1534" s="45" t="s">
        <v>269</v>
      </c>
      <c r="G1534" s="11">
        <v>630</v>
      </c>
      <c r="H1534" s="11" t="s">
        <v>127</v>
      </c>
      <c r="I1534" s="42">
        <f>I1539+I1538+I1537+I1536+I1535</f>
        <v>8639</v>
      </c>
      <c r="J1534" s="42">
        <f>J1539+J1538+J1537+J1536+J1535</f>
        <v>2700</v>
      </c>
      <c r="K1534" s="225">
        <f t="shared" si="203"/>
        <v>31.253617316819078</v>
      </c>
      <c r="L1534" s="114"/>
      <c r="M1534" s="42">
        <f>M1539+M1538+M1537+M1536+M1535</f>
        <v>0</v>
      </c>
      <c r="N1534" s="42">
        <f>N1539+N1538+N1537+N1536+N1535</f>
        <v>0</v>
      </c>
      <c r="O1534" s="225"/>
      <c r="P1534" s="114"/>
      <c r="Q1534" s="42">
        <f t="shared" si="206"/>
        <v>8639</v>
      </c>
      <c r="R1534" s="42">
        <f t="shared" si="210"/>
        <v>2700</v>
      </c>
      <c r="S1534" s="244">
        <f t="shared" si="204"/>
        <v>31.253617316819078</v>
      </c>
    </row>
    <row r="1535" spans="2:19" x14ac:dyDescent="0.2">
      <c r="B1535" s="67">
        <f t="shared" si="205"/>
        <v>771</v>
      </c>
      <c r="C1535" s="2"/>
      <c r="D1535" s="2"/>
      <c r="E1535" s="2"/>
      <c r="F1535" s="46" t="s">
        <v>269</v>
      </c>
      <c r="G1535" s="2">
        <v>631</v>
      </c>
      <c r="H1535" s="2" t="s">
        <v>133</v>
      </c>
      <c r="I1535" s="22">
        <v>31</v>
      </c>
      <c r="J1535" s="22">
        <v>0</v>
      </c>
      <c r="K1535" s="225">
        <f t="shared" si="203"/>
        <v>0</v>
      </c>
      <c r="L1535" s="68"/>
      <c r="M1535" s="22"/>
      <c r="N1535" s="22"/>
      <c r="O1535" s="225"/>
      <c r="P1535" s="68"/>
      <c r="Q1535" s="22">
        <f t="shared" si="206"/>
        <v>31</v>
      </c>
      <c r="R1535" s="22">
        <f t="shared" si="210"/>
        <v>0</v>
      </c>
      <c r="S1535" s="244">
        <f t="shared" si="204"/>
        <v>0</v>
      </c>
    </row>
    <row r="1536" spans="2:19" x14ac:dyDescent="0.2">
      <c r="B1536" s="67">
        <f t="shared" si="205"/>
        <v>772</v>
      </c>
      <c r="C1536" s="2"/>
      <c r="D1536" s="2"/>
      <c r="E1536" s="2"/>
      <c r="F1536" s="46" t="s">
        <v>269</v>
      </c>
      <c r="G1536" s="2">
        <v>632</v>
      </c>
      <c r="H1536" s="2" t="s">
        <v>138</v>
      </c>
      <c r="I1536" s="22">
        <v>4147</v>
      </c>
      <c r="J1536" s="22">
        <v>1230</v>
      </c>
      <c r="K1536" s="225">
        <f t="shared" si="203"/>
        <v>29.65999517723656</v>
      </c>
      <c r="L1536" s="68"/>
      <c r="M1536" s="22"/>
      <c r="N1536" s="22"/>
      <c r="O1536" s="225"/>
      <c r="P1536" s="68"/>
      <c r="Q1536" s="22">
        <f t="shared" si="206"/>
        <v>4147</v>
      </c>
      <c r="R1536" s="22">
        <f t="shared" si="210"/>
        <v>1230</v>
      </c>
      <c r="S1536" s="244">
        <f t="shared" si="204"/>
        <v>29.65999517723656</v>
      </c>
    </row>
    <row r="1537" spans="2:19" x14ac:dyDescent="0.2">
      <c r="B1537" s="67">
        <f t="shared" si="205"/>
        <v>773</v>
      </c>
      <c r="C1537" s="2"/>
      <c r="D1537" s="2"/>
      <c r="E1537" s="2"/>
      <c r="F1537" s="46" t="s">
        <v>269</v>
      </c>
      <c r="G1537" s="2">
        <v>633</v>
      </c>
      <c r="H1537" s="2" t="s">
        <v>131</v>
      </c>
      <c r="I1537" s="22">
        <v>1515</v>
      </c>
      <c r="J1537" s="22">
        <v>905</v>
      </c>
      <c r="K1537" s="225">
        <f t="shared" si="203"/>
        <v>59.735973597359738</v>
      </c>
      <c r="L1537" s="68"/>
      <c r="M1537" s="22"/>
      <c r="N1537" s="22"/>
      <c r="O1537" s="225"/>
      <c r="P1537" s="68"/>
      <c r="Q1537" s="22">
        <f t="shared" si="206"/>
        <v>1515</v>
      </c>
      <c r="R1537" s="22">
        <f t="shared" si="210"/>
        <v>905</v>
      </c>
      <c r="S1537" s="244">
        <f t="shared" si="204"/>
        <v>59.735973597359738</v>
      </c>
    </row>
    <row r="1538" spans="2:19" x14ac:dyDescent="0.2">
      <c r="B1538" s="67">
        <f t="shared" si="205"/>
        <v>774</v>
      </c>
      <c r="C1538" s="2"/>
      <c r="D1538" s="2"/>
      <c r="E1538" s="2"/>
      <c r="F1538" s="46" t="s">
        <v>269</v>
      </c>
      <c r="G1538" s="2">
        <v>635</v>
      </c>
      <c r="H1538" s="2" t="s">
        <v>137</v>
      </c>
      <c r="I1538" s="22">
        <v>1910</v>
      </c>
      <c r="J1538" s="22">
        <v>226</v>
      </c>
      <c r="K1538" s="225">
        <f t="shared" si="203"/>
        <v>11.832460732984293</v>
      </c>
      <c r="L1538" s="68"/>
      <c r="M1538" s="22"/>
      <c r="N1538" s="22"/>
      <c r="O1538" s="225"/>
      <c r="P1538" s="68"/>
      <c r="Q1538" s="22">
        <f t="shared" si="206"/>
        <v>1910</v>
      </c>
      <c r="R1538" s="22">
        <f t="shared" si="210"/>
        <v>226</v>
      </c>
      <c r="S1538" s="244">
        <f t="shared" si="204"/>
        <v>11.832460732984293</v>
      </c>
    </row>
    <row r="1539" spans="2:19" x14ac:dyDescent="0.2">
      <c r="B1539" s="67">
        <f t="shared" si="205"/>
        <v>775</v>
      </c>
      <c r="C1539" s="2"/>
      <c r="D1539" s="2"/>
      <c r="E1539" s="2"/>
      <c r="F1539" s="46" t="s">
        <v>269</v>
      </c>
      <c r="G1539" s="2">
        <v>637</v>
      </c>
      <c r="H1539" s="2" t="s">
        <v>128</v>
      </c>
      <c r="I1539" s="22">
        <v>1036</v>
      </c>
      <c r="J1539" s="22">
        <v>339</v>
      </c>
      <c r="K1539" s="225">
        <f t="shared" si="203"/>
        <v>32.722007722007724</v>
      </c>
      <c r="L1539" s="68"/>
      <c r="M1539" s="22"/>
      <c r="N1539" s="22"/>
      <c r="O1539" s="225"/>
      <c r="P1539" s="68"/>
      <c r="Q1539" s="22">
        <f t="shared" si="206"/>
        <v>1036</v>
      </c>
      <c r="R1539" s="22">
        <f t="shared" si="210"/>
        <v>339</v>
      </c>
      <c r="S1539" s="244">
        <f t="shared" si="204"/>
        <v>32.722007722007724</v>
      </c>
    </row>
    <row r="1540" spans="2:19" x14ac:dyDescent="0.2">
      <c r="B1540" s="67">
        <f t="shared" si="205"/>
        <v>776</v>
      </c>
      <c r="C1540" s="11"/>
      <c r="D1540" s="11"/>
      <c r="E1540" s="11"/>
      <c r="F1540" s="45" t="s">
        <v>269</v>
      </c>
      <c r="G1540" s="11">
        <v>640</v>
      </c>
      <c r="H1540" s="11" t="s">
        <v>134</v>
      </c>
      <c r="I1540" s="42">
        <v>150</v>
      </c>
      <c r="J1540" s="42">
        <v>167</v>
      </c>
      <c r="K1540" s="225">
        <f t="shared" si="203"/>
        <v>111.33333333333333</v>
      </c>
      <c r="L1540" s="114"/>
      <c r="M1540" s="42"/>
      <c r="N1540" s="42"/>
      <c r="O1540" s="225"/>
      <c r="P1540" s="114"/>
      <c r="Q1540" s="42">
        <f t="shared" si="206"/>
        <v>150</v>
      </c>
      <c r="R1540" s="42">
        <f t="shared" si="210"/>
        <v>167</v>
      </c>
      <c r="S1540" s="244">
        <f t="shared" si="204"/>
        <v>111.33333333333333</v>
      </c>
    </row>
    <row r="1541" spans="2:19" x14ac:dyDescent="0.2">
      <c r="B1541" s="67">
        <f t="shared" si="205"/>
        <v>777</v>
      </c>
      <c r="C1541" s="11"/>
      <c r="D1541" s="11"/>
      <c r="E1541" s="11"/>
      <c r="F1541" s="45" t="s">
        <v>269</v>
      </c>
      <c r="G1541" s="11">
        <v>710</v>
      </c>
      <c r="H1541" s="11" t="s">
        <v>183</v>
      </c>
      <c r="I1541" s="42">
        <f>I1544</f>
        <v>0</v>
      </c>
      <c r="J1541" s="42">
        <f>J1544</f>
        <v>0</v>
      </c>
      <c r="K1541" s="225"/>
      <c r="L1541" s="114"/>
      <c r="M1541" s="42">
        <f>M1544+M1542</f>
        <v>40000</v>
      </c>
      <c r="N1541" s="42">
        <f>N1544+N1542</f>
        <v>0</v>
      </c>
      <c r="O1541" s="225">
        <f t="shared" si="207"/>
        <v>0</v>
      </c>
      <c r="P1541" s="114"/>
      <c r="Q1541" s="42">
        <f t="shared" si="206"/>
        <v>40000</v>
      </c>
      <c r="R1541" s="42">
        <f t="shared" si="210"/>
        <v>0</v>
      </c>
      <c r="S1541" s="244">
        <f t="shared" si="204"/>
        <v>0</v>
      </c>
    </row>
    <row r="1542" spans="2:19" x14ac:dyDescent="0.2">
      <c r="B1542" s="67">
        <f t="shared" si="205"/>
        <v>778</v>
      </c>
      <c r="C1542" s="11"/>
      <c r="D1542" s="11"/>
      <c r="E1542" s="11"/>
      <c r="F1542" s="77" t="s">
        <v>269</v>
      </c>
      <c r="G1542" s="78">
        <v>716</v>
      </c>
      <c r="H1542" s="78" t="s">
        <v>0</v>
      </c>
      <c r="I1542" s="79"/>
      <c r="J1542" s="79"/>
      <c r="K1542" s="225"/>
      <c r="L1542" s="68"/>
      <c r="M1542" s="79">
        <f>M1543</f>
        <v>5000</v>
      </c>
      <c r="N1542" s="79">
        <f>N1543</f>
        <v>0</v>
      </c>
      <c r="O1542" s="225">
        <f t="shared" ref="O1542:O1545" si="211">N1542/M1542*100</f>
        <v>0</v>
      </c>
      <c r="P1542" s="68"/>
      <c r="Q1542" s="79">
        <f t="shared" ref="Q1542:Q1543" si="212">I1542+M1542</f>
        <v>5000</v>
      </c>
      <c r="R1542" s="79">
        <f t="shared" ref="R1542:R1543" si="213">J1542+N1542</f>
        <v>0</v>
      </c>
      <c r="S1542" s="244">
        <f t="shared" ref="S1542:S1592" si="214">R1542/Q1542*100</f>
        <v>0</v>
      </c>
    </row>
    <row r="1543" spans="2:19" x14ac:dyDescent="0.2">
      <c r="B1543" s="67">
        <f t="shared" si="205"/>
        <v>779</v>
      </c>
      <c r="C1543" s="11"/>
      <c r="D1543" s="11"/>
      <c r="E1543" s="11"/>
      <c r="F1543" s="46"/>
      <c r="G1543" s="2"/>
      <c r="H1543" s="2" t="s">
        <v>594</v>
      </c>
      <c r="I1543" s="22"/>
      <c r="J1543" s="22"/>
      <c r="K1543" s="225"/>
      <c r="L1543" s="68"/>
      <c r="M1543" s="22">
        <v>5000</v>
      </c>
      <c r="N1543" s="22"/>
      <c r="O1543" s="225">
        <f t="shared" si="211"/>
        <v>0</v>
      </c>
      <c r="P1543" s="68"/>
      <c r="Q1543" s="22">
        <f t="shared" si="212"/>
        <v>5000</v>
      </c>
      <c r="R1543" s="22">
        <f t="shared" si="213"/>
        <v>0</v>
      </c>
      <c r="S1543" s="244">
        <f t="shared" si="214"/>
        <v>0</v>
      </c>
    </row>
    <row r="1544" spans="2:19" x14ac:dyDescent="0.2">
      <c r="B1544" s="67">
        <f t="shared" si="205"/>
        <v>780</v>
      </c>
      <c r="C1544" s="2"/>
      <c r="D1544" s="2"/>
      <c r="E1544" s="2"/>
      <c r="F1544" s="77" t="s">
        <v>269</v>
      </c>
      <c r="G1544" s="78">
        <v>717</v>
      </c>
      <c r="H1544" s="78" t="s">
        <v>193</v>
      </c>
      <c r="I1544" s="79"/>
      <c r="J1544" s="79"/>
      <c r="K1544" s="225"/>
      <c r="L1544" s="68"/>
      <c r="M1544" s="79">
        <f>M1545</f>
        <v>35000</v>
      </c>
      <c r="N1544" s="79">
        <f>N1545</f>
        <v>0</v>
      </c>
      <c r="O1544" s="225">
        <f t="shared" si="211"/>
        <v>0</v>
      </c>
      <c r="P1544" s="68"/>
      <c r="Q1544" s="79">
        <f t="shared" si="206"/>
        <v>35000</v>
      </c>
      <c r="R1544" s="79">
        <f t="shared" ref="R1544" si="215">N1544+J1544</f>
        <v>0</v>
      </c>
      <c r="S1544" s="244">
        <f t="shared" si="214"/>
        <v>0</v>
      </c>
    </row>
    <row r="1545" spans="2:19" x14ac:dyDescent="0.2">
      <c r="B1545" s="67">
        <f t="shared" si="205"/>
        <v>781</v>
      </c>
      <c r="C1545" s="2"/>
      <c r="D1545" s="2"/>
      <c r="E1545" s="2"/>
      <c r="F1545" s="57"/>
      <c r="G1545" s="53"/>
      <c r="H1545" s="53" t="s">
        <v>421</v>
      </c>
      <c r="I1545" s="51"/>
      <c r="J1545" s="51"/>
      <c r="K1545" s="225"/>
      <c r="L1545" s="68"/>
      <c r="M1545" s="51">
        <f>40000-5000</f>
        <v>35000</v>
      </c>
      <c r="N1545" s="51"/>
      <c r="O1545" s="225">
        <f t="shared" si="211"/>
        <v>0</v>
      </c>
      <c r="P1545" s="68"/>
      <c r="Q1545" s="51">
        <f>M1545</f>
        <v>35000</v>
      </c>
      <c r="R1545" s="51">
        <f t="shared" ref="R1545" si="216">N1545</f>
        <v>0</v>
      </c>
      <c r="S1545" s="244">
        <f t="shared" si="214"/>
        <v>0</v>
      </c>
    </row>
    <row r="1546" spans="2:19" ht="15" x14ac:dyDescent="0.25">
      <c r="B1546" s="67">
        <f t="shared" ref="B1546:B1553" si="217">B1545+1</f>
        <v>782</v>
      </c>
      <c r="C1546" s="14"/>
      <c r="D1546" s="14"/>
      <c r="E1546" s="14">
        <v>13</v>
      </c>
      <c r="F1546" s="43"/>
      <c r="G1546" s="14"/>
      <c r="H1546" s="14" t="s">
        <v>253</v>
      </c>
      <c r="I1546" s="40">
        <f>I1547+I1548+I1549+I1553+I1554+I1555+I1556+I1562</f>
        <v>75299</v>
      </c>
      <c r="J1546" s="40">
        <f>J1547+J1548+J1549+J1553+J1554+J1555+J1556+J1562</f>
        <v>30823</v>
      </c>
      <c r="K1546" s="225">
        <f t="shared" ref="K1546:K1592" si="218">J1546/I1546*100</f>
        <v>40.934142551693917</v>
      </c>
      <c r="L1546" s="175"/>
      <c r="M1546" s="40">
        <f>M1547+M1548+M1549+M1553+M1554+M1555+M1556+M1562</f>
        <v>0</v>
      </c>
      <c r="N1546" s="40">
        <f>N1547+N1548+N1549+N1553+N1554+N1555+N1556+N1562</f>
        <v>0</v>
      </c>
      <c r="O1546" s="225"/>
      <c r="P1546" s="175"/>
      <c r="Q1546" s="40">
        <f t="shared" ref="Q1546:Q1580" si="219">M1546+I1546</f>
        <v>75299</v>
      </c>
      <c r="R1546" s="40">
        <f t="shared" ref="R1546:R1580" si="220">N1546+J1546</f>
        <v>30823</v>
      </c>
      <c r="S1546" s="244">
        <f t="shared" si="214"/>
        <v>40.934142551693917</v>
      </c>
    </row>
    <row r="1547" spans="2:19" x14ac:dyDescent="0.2">
      <c r="B1547" s="67">
        <f t="shared" si="217"/>
        <v>783</v>
      </c>
      <c r="C1547" s="11"/>
      <c r="D1547" s="11"/>
      <c r="E1547" s="11"/>
      <c r="F1547" s="45" t="s">
        <v>80</v>
      </c>
      <c r="G1547" s="11">
        <v>610</v>
      </c>
      <c r="H1547" s="11" t="s">
        <v>135</v>
      </c>
      <c r="I1547" s="42">
        <f>19666</f>
        <v>19666</v>
      </c>
      <c r="J1547" s="42">
        <v>8273</v>
      </c>
      <c r="K1547" s="225">
        <f t="shared" si="218"/>
        <v>42.067527712803823</v>
      </c>
      <c r="L1547" s="114"/>
      <c r="M1547" s="42"/>
      <c r="N1547" s="42"/>
      <c r="O1547" s="225"/>
      <c r="P1547" s="114"/>
      <c r="Q1547" s="42">
        <f t="shared" si="219"/>
        <v>19666</v>
      </c>
      <c r="R1547" s="42">
        <f t="shared" si="220"/>
        <v>8273</v>
      </c>
      <c r="S1547" s="244">
        <f t="shared" si="214"/>
        <v>42.067527712803823</v>
      </c>
    </row>
    <row r="1548" spans="2:19" x14ac:dyDescent="0.2">
      <c r="B1548" s="67">
        <f t="shared" si="217"/>
        <v>784</v>
      </c>
      <c r="C1548" s="11"/>
      <c r="D1548" s="11"/>
      <c r="E1548" s="11"/>
      <c r="F1548" s="45" t="s">
        <v>80</v>
      </c>
      <c r="G1548" s="11">
        <v>620</v>
      </c>
      <c r="H1548" s="11" t="s">
        <v>130</v>
      </c>
      <c r="I1548" s="42">
        <f>7142</f>
        <v>7142</v>
      </c>
      <c r="J1548" s="42">
        <v>2414</v>
      </c>
      <c r="K1548" s="225">
        <f t="shared" si="218"/>
        <v>33.800056006720808</v>
      </c>
      <c r="L1548" s="114"/>
      <c r="M1548" s="42"/>
      <c r="N1548" s="42"/>
      <c r="O1548" s="225"/>
      <c r="P1548" s="114"/>
      <c r="Q1548" s="42">
        <f t="shared" si="219"/>
        <v>7142</v>
      </c>
      <c r="R1548" s="42">
        <f t="shared" si="220"/>
        <v>2414</v>
      </c>
      <c r="S1548" s="244">
        <f t="shared" si="214"/>
        <v>33.800056006720808</v>
      </c>
    </row>
    <row r="1549" spans="2:19" x14ac:dyDescent="0.2">
      <c r="B1549" s="67">
        <f t="shared" si="217"/>
        <v>785</v>
      </c>
      <c r="C1549" s="11"/>
      <c r="D1549" s="11"/>
      <c r="E1549" s="11"/>
      <c r="F1549" s="45" t="s">
        <v>80</v>
      </c>
      <c r="G1549" s="11">
        <v>630</v>
      </c>
      <c r="H1549" s="11" t="s">
        <v>127</v>
      </c>
      <c r="I1549" s="42">
        <f>I1552+I1551+I1550</f>
        <v>6711</v>
      </c>
      <c r="J1549" s="42">
        <f>J1552+J1551+J1550</f>
        <v>3168</v>
      </c>
      <c r="K1549" s="225">
        <f t="shared" si="218"/>
        <v>47.206079570853824</v>
      </c>
      <c r="L1549" s="114"/>
      <c r="M1549" s="42">
        <f>M1552+M1551+M1550</f>
        <v>0</v>
      </c>
      <c r="N1549" s="42">
        <f>N1552+N1551+N1550</f>
        <v>0</v>
      </c>
      <c r="O1549" s="225"/>
      <c r="P1549" s="114"/>
      <c r="Q1549" s="42">
        <f t="shared" si="219"/>
        <v>6711</v>
      </c>
      <c r="R1549" s="42">
        <f t="shared" si="220"/>
        <v>3168</v>
      </c>
      <c r="S1549" s="244">
        <f t="shared" si="214"/>
        <v>47.206079570853824</v>
      </c>
    </row>
    <row r="1550" spans="2:19" x14ac:dyDescent="0.2">
      <c r="B1550" s="67">
        <f t="shared" si="217"/>
        <v>786</v>
      </c>
      <c r="C1550" s="2"/>
      <c r="D1550" s="2"/>
      <c r="E1550" s="2"/>
      <c r="F1550" s="46" t="s">
        <v>80</v>
      </c>
      <c r="G1550" s="2">
        <v>632</v>
      </c>
      <c r="H1550" s="2" t="s">
        <v>138</v>
      </c>
      <c r="I1550" s="22">
        <v>2190</v>
      </c>
      <c r="J1550" s="22">
        <v>1800</v>
      </c>
      <c r="K1550" s="225">
        <f t="shared" si="218"/>
        <v>82.191780821917803</v>
      </c>
      <c r="L1550" s="68"/>
      <c r="M1550" s="22"/>
      <c r="N1550" s="22"/>
      <c r="O1550" s="225"/>
      <c r="P1550" s="68"/>
      <c r="Q1550" s="22">
        <f t="shared" si="219"/>
        <v>2190</v>
      </c>
      <c r="R1550" s="22">
        <f t="shared" si="220"/>
        <v>1800</v>
      </c>
      <c r="S1550" s="244">
        <f t="shared" si="214"/>
        <v>82.191780821917803</v>
      </c>
    </row>
    <row r="1551" spans="2:19" x14ac:dyDescent="0.2">
      <c r="B1551" s="67">
        <f t="shared" si="217"/>
        <v>787</v>
      </c>
      <c r="C1551" s="2"/>
      <c r="D1551" s="2"/>
      <c r="E1551" s="2"/>
      <c r="F1551" s="46" t="s">
        <v>80</v>
      </c>
      <c r="G1551" s="2">
        <v>633</v>
      </c>
      <c r="H1551" s="2" t="s">
        <v>131</v>
      </c>
      <c r="I1551" s="22">
        <v>3030</v>
      </c>
      <c r="J1551" s="22">
        <v>132</v>
      </c>
      <c r="K1551" s="225">
        <f t="shared" si="218"/>
        <v>4.3564356435643559</v>
      </c>
      <c r="L1551" s="68"/>
      <c r="M1551" s="22"/>
      <c r="N1551" s="22"/>
      <c r="O1551" s="225"/>
      <c r="P1551" s="68"/>
      <c r="Q1551" s="22">
        <f t="shared" si="219"/>
        <v>3030</v>
      </c>
      <c r="R1551" s="22">
        <f t="shared" si="220"/>
        <v>132</v>
      </c>
      <c r="S1551" s="244">
        <f t="shared" si="214"/>
        <v>4.3564356435643559</v>
      </c>
    </row>
    <row r="1552" spans="2:19" x14ac:dyDescent="0.2">
      <c r="B1552" s="67">
        <f t="shared" si="217"/>
        <v>788</v>
      </c>
      <c r="C1552" s="2"/>
      <c r="D1552" s="2"/>
      <c r="E1552" s="2"/>
      <c r="F1552" s="46" t="s">
        <v>80</v>
      </c>
      <c r="G1552" s="2">
        <v>637</v>
      </c>
      <c r="H1552" s="2" t="s">
        <v>128</v>
      </c>
      <c r="I1552" s="22">
        <v>1491</v>
      </c>
      <c r="J1552" s="22">
        <v>1236</v>
      </c>
      <c r="K1552" s="225">
        <f t="shared" si="218"/>
        <v>82.897384305835004</v>
      </c>
      <c r="L1552" s="68"/>
      <c r="M1552" s="22"/>
      <c r="N1552" s="22"/>
      <c r="O1552" s="225"/>
      <c r="P1552" s="68"/>
      <c r="Q1552" s="22">
        <f t="shared" si="219"/>
        <v>1491</v>
      </c>
      <c r="R1552" s="22">
        <f t="shared" si="220"/>
        <v>1236</v>
      </c>
      <c r="S1552" s="244">
        <f t="shared" si="214"/>
        <v>82.897384305835004</v>
      </c>
    </row>
    <row r="1553" spans="2:19" x14ac:dyDescent="0.2">
      <c r="B1553" s="67">
        <f t="shared" si="217"/>
        <v>789</v>
      </c>
      <c r="C1553" s="11"/>
      <c r="D1553" s="11"/>
      <c r="E1553" s="11"/>
      <c r="F1553" s="45" t="s">
        <v>80</v>
      </c>
      <c r="G1553" s="11">
        <v>640</v>
      </c>
      <c r="H1553" s="11" t="s">
        <v>134</v>
      </c>
      <c r="I1553" s="42">
        <v>20</v>
      </c>
      <c r="J1553" s="42">
        <v>68</v>
      </c>
      <c r="K1553" s="225">
        <f t="shared" si="218"/>
        <v>340</v>
      </c>
      <c r="L1553" s="114"/>
      <c r="M1553" s="42"/>
      <c r="N1553" s="42"/>
      <c r="O1553" s="225"/>
      <c r="P1553" s="114"/>
      <c r="Q1553" s="42">
        <f t="shared" si="219"/>
        <v>20</v>
      </c>
      <c r="R1553" s="42">
        <f t="shared" si="220"/>
        <v>68</v>
      </c>
      <c r="S1553" s="244">
        <f t="shared" si="214"/>
        <v>340</v>
      </c>
    </row>
    <row r="1554" spans="2:19" x14ac:dyDescent="0.2">
      <c r="B1554" s="67">
        <f t="shared" ref="B1554:B1592" si="221">B1553+1</f>
        <v>790</v>
      </c>
      <c r="C1554" s="11"/>
      <c r="D1554" s="11"/>
      <c r="E1554" s="11"/>
      <c r="F1554" s="45" t="s">
        <v>269</v>
      </c>
      <c r="G1554" s="11">
        <v>610</v>
      </c>
      <c r="H1554" s="11" t="s">
        <v>135</v>
      </c>
      <c r="I1554" s="42">
        <f>24102</f>
        <v>24102</v>
      </c>
      <c r="J1554" s="42">
        <v>9664</v>
      </c>
      <c r="K1554" s="225">
        <f t="shared" si="218"/>
        <v>40.096257571985724</v>
      </c>
      <c r="L1554" s="114"/>
      <c r="M1554" s="42"/>
      <c r="N1554" s="42"/>
      <c r="O1554" s="225"/>
      <c r="P1554" s="114"/>
      <c r="Q1554" s="42">
        <f t="shared" si="219"/>
        <v>24102</v>
      </c>
      <c r="R1554" s="42">
        <f t="shared" si="220"/>
        <v>9664</v>
      </c>
      <c r="S1554" s="244">
        <f t="shared" si="214"/>
        <v>40.096257571985724</v>
      </c>
    </row>
    <row r="1555" spans="2:19" x14ac:dyDescent="0.2">
      <c r="B1555" s="67">
        <f t="shared" si="221"/>
        <v>791</v>
      </c>
      <c r="C1555" s="11"/>
      <c r="D1555" s="11"/>
      <c r="E1555" s="11"/>
      <c r="F1555" s="45" t="s">
        <v>269</v>
      </c>
      <c r="G1555" s="11">
        <v>620</v>
      </c>
      <c r="H1555" s="11" t="s">
        <v>130</v>
      </c>
      <c r="I1555" s="42">
        <f>8730</f>
        <v>8730</v>
      </c>
      <c r="J1555" s="42">
        <v>3085</v>
      </c>
      <c r="K1555" s="225">
        <f t="shared" si="218"/>
        <v>35.337915234822454</v>
      </c>
      <c r="L1555" s="114"/>
      <c r="M1555" s="42"/>
      <c r="N1555" s="42"/>
      <c r="O1555" s="225"/>
      <c r="P1555" s="114"/>
      <c r="Q1555" s="42">
        <f t="shared" si="219"/>
        <v>8730</v>
      </c>
      <c r="R1555" s="42">
        <f t="shared" si="220"/>
        <v>3085</v>
      </c>
      <c r="S1555" s="244">
        <f t="shared" si="214"/>
        <v>35.337915234822454</v>
      </c>
    </row>
    <row r="1556" spans="2:19" x14ac:dyDescent="0.2">
      <c r="B1556" s="67">
        <f t="shared" si="221"/>
        <v>792</v>
      </c>
      <c r="C1556" s="11"/>
      <c r="D1556" s="11"/>
      <c r="E1556" s="11"/>
      <c r="F1556" s="45" t="s">
        <v>269</v>
      </c>
      <c r="G1556" s="11">
        <v>630</v>
      </c>
      <c r="H1556" s="11" t="s">
        <v>127</v>
      </c>
      <c r="I1556" s="42">
        <f>I1561+I1560+I1559+I1558+I1557</f>
        <v>8898</v>
      </c>
      <c r="J1556" s="42">
        <f>J1561+J1560+J1559+J1558+J1557</f>
        <v>4151</v>
      </c>
      <c r="K1556" s="225">
        <f t="shared" si="218"/>
        <v>46.65093279388627</v>
      </c>
      <c r="L1556" s="114"/>
      <c r="M1556" s="42">
        <f>M1561+M1560+M1559+M1558+M1557</f>
        <v>0</v>
      </c>
      <c r="N1556" s="42">
        <f>N1561+N1560+N1559+N1558+N1557</f>
        <v>0</v>
      </c>
      <c r="O1556" s="225"/>
      <c r="P1556" s="114"/>
      <c r="Q1556" s="42">
        <f t="shared" si="219"/>
        <v>8898</v>
      </c>
      <c r="R1556" s="42">
        <f t="shared" si="220"/>
        <v>4151</v>
      </c>
      <c r="S1556" s="244">
        <f t="shared" si="214"/>
        <v>46.65093279388627</v>
      </c>
    </row>
    <row r="1557" spans="2:19" x14ac:dyDescent="0.2">
      <c r="B1557" s="67">
        <f t="shared" si="221"/>
        <v>793</v>
      </c>
      <c r="C1557" s="2"/>
      <c r="D1557" s="2"/>
      <c r="E1557" s="2"/>
      <c r="F1557" s="46" t="s">
        <v>269</v>
      </c>
      <c r="G1557" s="2">
        <v>631</v>
      </c>
      <c r="H1557" s="2" t="s">
        <v>133</v>
      </c>
      <c r="I1557" s="22">
        <v>51</v>
      </c>
      <c r="J1557" s="22">
        <v>0</v>
      </c>
      <c r="K1557" s="225">
        <f t="shared" si="218"/>
        <v>0</v>
      </c>
      <c r="L1557" s="68"/>
      <c r="M1557" s="22"/>
      <c r="N1557" s="22"/>
      <c r="O1557" s="225"/>
      <c r="P1557" s="68"/>
      <c r="Q1557" s="22">
        <f t="shared" si="219"/>
        <v>51</v>
      </c>
      <c r="R1557" s="22">
        <f t="shared" si="220"/>
        <v>0</v>
      </c>
      <c r="S1557" s="244">
        <f t="shared" si="214"/>
        <v>0</v>
      </c>
    </row>
    <row r="1558" spans="2:19" x14ac:dyDescent="0.2">
      <c r="B1558" s="67">
        <f t="shared" si="221"/>
        <v>794</v>
      </c>
      <c r="C1558" s="2"/>
      <c r="D1558" s="2"/>
      <c r="E1558" s="2"/>
      <c r="F1558" s="46" t="s">
        <v>269</v>
      </c>
      <c r="G1558" s="2">
        <v>632</v>
      </c>
      <c r="H1558" s="2" t="s">
        <v>138</v>
      </c>
      <c r="I1558" s="22">
        <v>2675</v>
      </c>
      <c r="J1558" s="22">
        <v>2095</v>
      </c>
      <c r="K1558" s="225">
        <f t="shared" si="218"/>
        <v>78.317757009345783</v>
      </c>
      <c r="L1558" s="68"/>
      <c r="M1558" s="22"/>
      <c r="N1558" s="22"/>
      <c r="O1558" s="225"/>
      <c r="P1558" s="68"/>
      <c r="Q1558" s="22">
        <f t="shared" si="219"/>
        <v>2675</v>
      </c>
      <c r="R1558" s="22">
        <f t="shared" si="220"/>
        <v>2095</v>
      </c>
      <c r="S1558" s="244">
        <f t="shared" si="214"/>
        <v>78.317757009345783</v>
      </c>
    </row>
    <row r="1559" spans="2:19" x14ac:dyDescent="0.2">
      <c r="B1559" s="67">
        <f t="shared" si="221"/>
        <v>795</v>
      </c>
      <c r="C1559" s="2"/>
      <c r="D1559" s="2"/>
      <c r="E1559" s="2"/>
      <c r="F1559" s="46" t="s">
        <v>269</v>
      </c>
      <c r="G1559" s="2">
        <v>633</v>
      </c>
      <c r="H1559" s="2" t="s">
        <v>131</v>
      </c>
      <c r="I1559" s="22">
        <f>3754+512</f>
        <v>4266</v>
      </c>
      <c r="J1559" s="22">
        <v>711</v>
      </c>
      <c r="K1559" s="225">
        <f t="shared" si="218"/>
        <v>16.666666666666664</v>
      </c>
      <c r="L1559" s="68"/>
      <c r="M1559" s="22"/>
      <c r="N1559" s="22"/>
      <c r="O1559" s="225"/>
      <c r="P1559" s="68"/>
      <c r="Q1559" s="22">
        <f t="shared" si="219"/>
        <v>4266</v>
      </c>
      <c r="R1559" s="22">
        <f t="shared" si="220"/>
        <v>711</v>
      </c>
      <c r="S1559" s="244">
        <f t="shared" si="214"/>
        <v>16.666666666666664</v>
      </c>
    </row>
    <row r="1560" spans="2:19" x14ac:dyDescent="0.2">
      <c r="B1560" s="67">
        <f t="shared" si="221"/>
        <v>796</v>
      </c>
      <c r="C1560" s="2"/>
      <c r="D1560" s="2"/>
      <c r="E1560" s="2"/>
      <c r="F1560" s="46" t="s">
        <v>269</v>
      </c>
      <c r="G1560" s="2">
        <v>635</v>
      </c>
      <c r="H1560" s="2" t="s">
        <v>137</v>
      </c>
      <c r="I1560" s="22">
        <v>82</v>
      </c>
      <c r="J1560" s="22">
        <v>0</v>
      </c>
      <c r="K1560" s="225">
        <f t="shared" si="218"/>
        <v>0</v>
      </c>
      <c r="L1560" s="68"/>
      <c r="M1560" s="22"/>
      <c r="N1560" s="22"/>
      <c r="O1560" s="225"/>
      <c r="P1560" s="68"/>
      <c r="Q1560" s="22">
        <f t="shared" si="219"/>
        <v>82</v>
      </c>
      <c r="R1560" s="22">
        <f t="shared" si="220"/>
        <v>0</v>
      </c>
      <c r="S1560" s="244">
        <f t="shared" si="214"/>
        <v>0</v>
      </c>
    </row>
    <row r="1561" spans="2:19" x14ac:dyDescent="0.2">
      <c r="B1561" s="67">
        <f t="shared" si="221"/>
        <v>797</v>
      </c>
      <c r="C1561" s="2"/>
      <c r="D1561" s="2"/>
      <c r="E1561" s="2"/>
      <c r="F1561" s="46" t="s">
        <v>269</v>
      </c>
      <c r="G1561" s="2">
        <v>637</v>
      </c>
      <c r="H1561" s="2" t="s">
        <v>128</v>
      </c>
      <c r="I1561" s="22">
        <v>1824</v>
      </c>
      <c r="J1561" s="22">
        <v>1345</v>
      </c>
      <c r="K1561" s="225">
        <f t="shared" si="218"/>
        <v>73.739035087719301</v>
      </c>
      <c r="L1561" s="68"/>
      <c r="M1561" s="22"/>
      <c r="N1561" s="22"/>
      <c r="O1561" s="225"/>
      <c r="P1561" s="68"/>
      <c r="Q1561" s="22">
        <f t="shared" si="219"/>
        <v>1824</v>
      </c>
      <c r="R1561" s="22">
        <f t="shared" si="220"/>
        <v>1345</v>
      </c>
      <c r="S1561" s="244">
        <f t="shared" si="214"/>
        <v>73.739035087719301</v>
      </c>
    </row>
    <row r="1562" spans="2:19" x14ac:dyDescent="0.2">
      <c r="B1562" s="67">
        <f t="shared" si="221"/>
        <v>798</v>
      </c>
      <c r="C1562" s="11"/>
      <c r="D1562" s="11"/>
      <c r="E1562" s="11"/>
      <c r="F1562" s="45" t="s">
        <v>269</v>
      </c>
      <c r="G1562" s="11">
        <v>640</v>
      </c>
      <c r="H1562" s="11" t="s">
        <v>134</v>
      </c>
      <c r="I1562" s="42">
        <v>30</v>
      </c>
      <c r="J1562" s="42">
        <v>0</v>
      </c>
      <c r="K1562" s="225">
        <f t="shared" si="218"/>
        <v>0</v>
      </c>
      <c r="L1562" s="114"/>
      <c r="M1562" s="42"/>
      <c r="N1562" s="42"/>
      <c r="O1562" s="225"/>
      <c r="P1562" s="114"/>
      <c r="Q1562" s="42">
        <f t="shared" si="219"/>
        <v>30</v>
      </c>
      <c r="R1562" s="42">
        <f t="shared" si="220"/>
        <v>0</v>
      </c>
      <c r="S1562" s="244">
        <f t="shared" si="214"/>
        <v>0</v>
      </c>
    </row>
    <row r="1563" spans="2:19" ht="15" x14ac:dyDescent="0.2">
      <c r="B1563" s="67">
        <f t="shared" si="221"/>
        <v>799</v>
      </c>
      <c r="C1563" s="166">
        <v>5</v>
      </c>
      <c r="D1563" s="325" t="s">
        <v>126</v>
      </c>
      <c r="E1563" s="326"/>
      <c r="F1563" s="326"/>
      <c r="G1563" s="326"/>
      <c r="H1563" s="327"/>
      <c r="I1563" s="38">
        <f>I1564+I1567+I1569+I1581</f>
        <v>256576</v>
      </c>
      <c r="J1563" s="38">
        <f>J1564+J1567+J1569+J1581</f>
        <v>114818</v>
      </c>
      <c r="K1563" s="225">
        <f t="shared" si="218"/>
        <v>44.750093539536046</v>
      </c>
      <c r="L1563" s="173"/>
      <c r="M1563" s="38">
        <f>M1564+M1567+M1569+M1581</f>
        <v>0</v>
      </c>
      <c r="N1563" s="38">
        <f>N1564+N1567+N1569+N1581</f>
        <v>0</v>
      </c>
      <c r="O1563" s="225"/>
      <c r="P1563" s="173"/>
      <c r="Q1563" s="38">
        <f t="shared" si="219"/>
        <v>256576</v>
      </c>
      <c r="R1563" s="38">
        <f t="shared" si="220"/>
        <v>114818</v>
      </c>
      <c r="S1563" s="244">
        <f t="shared" si="214"/>
        <v>44.750093539536046</v>
      </c>
    </row>
    <row r="1564" spans="2:19" x14ac:dyDescent="0.2">
      <c r="B1564" s="67">
        <f t="shared" si="221"/>
        <v>800</v>
      </c>
      <c r="C1564" s="10"/>
      <c r="D1564" s="10"/>
      <c r="E1564" s="10"/>
      <c r="F1564" s="44"/>
      <c r="G1564" s="10"/>
      <c r="H1564" s="10" t="s">
        <v>338</v>
      </c>
      <c r="I1564" s="41">
        <f>I1565</f>
        <v>3150</v>
      </c>
      <c r="J1564" s="41">
        <f>J1565</f>
        <v>364</v>
      </c>
      <c r="K1564" s="225">
        <f t="shared" si="218"/>
        <v>11.555555555555555</v>
      </c>
      <c r="L1564" s="114"/>
      <c r="M1564" s="41">
        <f>M1565</f>
        <v>0</v>
      </c>
      <c r="N1564" s="41">
        <f>N1565</f>
        <v>0</v>
      </c>
      <c r="O1564" s="225"/>
      <c r="P1564" s="114"/>
      <c r="Q1564" s="41">
        <f t="shared" si="219"/>
        <v>3150</v>
      </c>
      <c r="R1564" s="41">
        <f t="shared" si="220"/>
        <v>364</v>
      </c>
      <c r="S1564" s="244">
        <f t="shared" si="214"/>
        <v>11.555555555555555</v>
      </c>
    </row>
    <row r="1565" spans="2:19" x14ac:dyDescent="0.2">
      <c r="B1565" s="67">
        <f t="shared" si="221"/>
        <v>801</v>
      </c>
      <c r="C1565" s="11"/>
      <c r="D1565" s="11"/>
      <c r="E1565" s="11"/>
      <c r="F1565" s="45" t="s">
        <v>125</v>
      </c>
      <c r="G1565" s="11">
        <v>630</v>
      </c>
      <c r="H1565" s="11" t="s">
        <v>127</v>
      </c>
      <c r="I1565" s="42">
        <f>I1566</f>
        <v>3150</v>
      </c>
      <c r="J1565" s="42">
        <f>J1566</f>
        <v>364</v>
      </c>
      <c r="K1565" s="225">
        <f t="shared" si="218"/>
        <v>11.555555555555555</v>
      </c>
      <c r="L1565" s="114"/>
      <c r="M1565" s="42">
        <f>M1566</f>
        <v>0</v>
      </c>
      <c r="N1565" s="42">
        <f>N1566</f>
        <v>0</v>
      </c>
      <c r="O1565" s="225"/>
      <c r="P1565" s="114"/>
      <c r="Q1565" s="42">
        <f t="shared" si="219"/>
        <v>3150</v>
      </c>
      <c r="R1565" s="42">
        <f t="shared" si="220"/>
        <v>364</v>
      </c>
      <c r="S1565" s="244">
        <f t="shared" si="214"/>
        <v>11.555555555555555</v>
      </c>
    </row>
    <row r="1566" spans="2:19" x14ac:dyDescent="0.2">
      <c r="B1566" s="67">
        <f t="shared" si="221"/>
        <v>802</v>
      </c>
      <c r="C1566" s="2"/>
      <c r="D1566" s="2"/>
      <c r="E1566" s="2"/>
      <c r="F1566" s="46" t="s">
        <v>125</v>
      </c>
      <c r="G1566" s="2">
        <v>633</v>
      </c>
      <c r="H1566" s="2" t="s">
        <v>131</v>
      </c>
      <c r="I1566" s="22">
        <v>3150</v>
      </c>
      <c r="J1566" s="22">
        <v>364</v>
      </c>
      <c r="K1566" s="225">
        <f t="shared" si="218"/>
        <v>11.555555555555555</v>
      </c>
      <c r="L1566" s="68"/>
      <c r="M1566" s="22"/>
      <c r="N1566" s="22"/>
      <c r="O1566" s="225"/>
      <c r="P1566" s="68"/>
      <c r="Q1566" s="22">
        <f t="shared" si="219"/>
        <v>3150</v>
      </c>
      <c r="R1566" s="22">
        <f t="shared" si="220"/>
        <v>364</v>
      </c>
      <c r="S1566" s="244">
        <f t="shared" si="214"/>
        <v>11.555555555555555</v>
      </c>
    </row>
    <row r="1567" spans="2:19" x14ac:dyDescent="0.2">
      <c r="B1567" s="67">
        <f t="shared" si="221"/>
        <v>803</v>
      </c>
      <c r="C1567" s="10"/>
      <c r="D1567" s="10"/>
      <c r="E1567" s="10"/>
      <c r="F1567" s="44"/>
      <c r="G1567" s="10"/>
      <c r="H1567" s="10" t="s">
        <v>339</v>
      </c>
      <c r="I1567" s="41">
        <f>I1568</f>
        <v>6000</v>
      </c>
      <c r="J1567" s="41">
        <f>J1568</f>
        <v>6000</v>
      </c>
      <c r="K1567" s="225">
        <f t="shared" si="218"/>
        <v>100</v>
      </c>
      <c r="L1567" s="114"/>
      <c r="M1567" s="41">
        <f>M1568</f>
        <v>0</v>
      </c>
      <c r="N1567" s="41">
        <f>N1568</f>
        <v>0</v>
      </c>
      <c r="O1567" s="225"/>
      <c r="P1567" s="114"/>
      <c r="Q1567" s="41">
        <f t="shared" si="219"/>
        <v>6000</v>
      </c>
      <c r="R1567" s="41">
        <f t="shared" si="220"/>
        <v>6000</v>
      </c>
      <c r="S1567" s="244">
        <f t="shared" si="214"/>
        <v>100</v>
      </c>
    </row>
    <row r="1568" spans="2:19" x14ac:dyDescent="0.2">
      <c r="B1568" s="67">
        <f t="shared" si="221"/>
        <v>804</v>
      </c>
      <c r="C1568" s="11"/>
      <c r="D1568" s="11"/>
      <c r="E1568" s="11"/>
      <c r="F1568" s="45" t="s">
        <v>125</v>
      </c>
      <c r="G1568" s="11">
        <v>640</v>
      </c>
      <c r="H1568" s="11" t="s">
        <v>134</v>
      </c>
      <c r="I1568" s="42">
        <v>6000</v>
      </c>
      <c r="J1568" s="42">
        <v>6000</v>
      </c>
      <c r="K1568" s="225">
        <f t="shared" si="218"/>
        <v>100</v>
      </c>
      <c r="L1568" s="114"/>
      <c r="M1568" s="42"/>
      <c r="N1568" s="42"/>
      <c r="O1568" s="225"/>
      <c r="P1568" s="114"/>
      <c r="Q1568" s="42">
        <f t="shared" si="219"/>
        <v>6000</v>
      </c>
      <c r="R1568" s="42">
        <f t="shared" si="220"/>
        <v>6000</v>
      </c>
      <c r="S1568" s="244">
        <f t="shared" si="214"/>
        <v>100</v>
      </c>
    </row>
    <row r="1569" spans="2:19" x14ac:dyDescent="0.2">
      <c r="B1569" s="67">
        <f t="shared" si="221"/>
        <v>805</v>
      </c>
      <c r="C1569" s="10"/>
      <c r="D1569" s="10"/>
      <c r="E1569" s="10"/>
      <c r="F1569" s="44"/>
      <c r="G1569" s="10"/>
      <c r="H1569" s="10" t="s">
        <v>129</v>
      </c>
      <c r="I1569" s="41">
        <f>I1570+I1571+I1572+I1580</f>
        <v>40269</v>
      </c>
      <c r="J1569" s="41">
        <f>J1570+J1571+J1572+J1580</f>
        <v>21074</v>
      </c>
      <c r="K1569" s="225">
        <f t="shared" si="218"/>
        <v>52.333060170354365</v>
      </c>
      <c r="L1569" s="114"/>
      <c r="M1569" s="41">
        <f>M1570+M1571+M1572+M1580</f>
        <v>0</v>
      </c>
      <c r="N1569" s="41">
        <f>N1570+N1571+N1572+N1580</f>
        <v>0</v>
      </c>
      <c r="O1569" s="225"/>
      <c r="P1569" s="114"/>
      <c r="Q1569" s="41">
        <f t="shared" si="219"/>
        <v>40269</v>
      </c>
      <c r="R1569" s="41">
        <f t="shared" si="220"/>
        <v>21074</v>
      </c>
      <c r="S1569" s="244">
        <f t="shared" si="214"/>
        <v>52.333060170354365</v>
      </c>
    </row>
    <row r="1570" spans="2:19" x14ac:dyDescent="0.2">
      <c r="B1570" s="67">
        <f t="shared" si="221"/>
        <v>806</v>
      </c>
      <c r="C1570" s="11"/>
      <c r="D1570" s="11"/>
      <c r="E1570" s="11"/>
      <c r="F1570" s="45" t="s">
        <v>275</v>
      </c>
      <c r="G1570" s="11">
        <v>610</v>
      </c>
      <c r="H1570" s="11" t="s">
        <v>135</v>
      </c>
      <c r="I1570" s="42">
        <v>24300</v>
      </c>
      <c r="J1570" s="42">
        <v>11611</v>
      </c>
      <c r="K1570" s="225">
        <f t="shared" si="218"/>
        <v>47.781893004115226</v>
      </c>
      <c r="L1570" s="114"/>
      <c r="M1570" s="42"/>
      <c r="N1570" s="42"/>
      <c r="O1570" s="225"/>
      <c r="P1570" s="114"/>
      <c r="Q1570" s="42">
        <f t="shared" si="219"/>
        <v>24300</v>
      </c>
      <c r="R1570" s="42">
        <f t="shared" si="220"/>
        <v>11611</v>
      </c>
      <c r="S1570" s="244">
        <f t="shared" si="214"/>
        <v>47.781893004115226</v>
      </c>
    </row>
    <row r="1571" spans="2:19" x14ac:dyDescent="0.2">
      <c r="B1571" s="67">
        <f t="shared" si="221"/>
        <v>807</v>
      </c>
      <c r="C1571" s="11"/>
      <c r="D1571" s="11"/>
      <c r="E1571" s="11"/>
      <c r="F1571" s="45" t="s">
        <v>275</v>
      </c>
      <c r="G1571" s="11">
        <v>620</v>
      </c>
      <c r="H1571" s="11" t="s">
        <v>130</v>
      </c>
      <c r="I1571" s="42">
        <v>9602</v>
      </c>
      <c r="J1571" s="42">
        <v>5015</v>
      </c>
      <c r="K1571" s="225">
        <f t="shared" si="218"/>
        <v>52.228702353676312</v>
      </c>
      <c r="L1571" s="114"/>
      <c r="M1571" s="42"/>
      <c r="N1571" s="42"/>
      <c r="O1571" s="225"/>
      <c r="P1571" s="114"/>
      <c r="Q1571" s="42">
        <f t="shared" si="219"/>
        <v>9602</v>
      </c>
      <c r="R1571" s="42">
        <f t="shared" si="220"/>
        <v>5015</v>
      </c>
      <c r="S1571" s="244">
        <f t="shared" si="214"/>
        <v>52.228702353676312</v>
      </c>
    </row>
    <row r="1572" spans="2:19" x14ac:dyDescent="0.2">
      <c r="B1572" s="67">
        <f t="shared" si="221"/>
        <v>808</v>
      </c>
      <c r="C1572" s="11"/>
      <c r="D1572" s="11"/>
      <c r="E1572" s="11"/>
      <c r="F1572" s="45" t="s">
        <v>275</v>
      </c>
      <c r="G1572" s="11">
        <v>630</v>
      </c>
      <c r="H1572" s="11" t="s">
        <v>127</v>
      </c>
      <c r="I1572" s="42">
        <f>I1577+I1576+I1575+I1574+I1573+I1578+I1579</f>
        <v>4567</v>
      </c>
      <c r="J1572" s="42">
        <f>J1577+J1576+J1575+J1574+J1573+J1578+J1579</f>
        <v>2745</v>
      </c>
      <c r="K1572" s="225">
        <f t="shared" si="218"/>
        <v>60.105101817385595</v>
      </c>
      <c r="L1572" s="114"/>
      <c r="M1572" s="42">
        <f>M1577+M1576+M1575+M1574+M1573</f>
        <v>0</v>
      </c>
      <c r="N1572" s="42">
        <f>N1577+N1576+N1575+N1574+N1573</f>
        <v>0</v>
      </c>
      <c r="O1572" s="225"/>
      <c r="P1572" s="114"/>
      <c r="Q1572" s="42">
        <f t="shared" si="219"/>
        <v>4567</v>
      </c>
      <c r="R1572" s="42">
        <f t="shared" si="220"/>
        <v>2745</v>
      </c>
      <c r="S1572" s="244">
        <f t="shared" si="214"/>
        <v>60.105101817385595</v>
      </c>
    </row>
    <row r="1573" spans="2:19" x14ac:dyDescent="0.2">
      <c r="B1573" s="67">
        <f t="shared" si="221"/>
        <v>809</v>
      </c>
      <c r="C1573" s="2"/>
      <c r="D1573" s="2"/>
      <c r="E1573" s="2"/>
      <c r="F1573" s="46" t="s">
        <v>275</v>
      </c>
      <c r="G1573" s="2">
        <v>631</v>
      </c>
      <c r="H1573" s="2" t="s">
        <v>133</v>
      </c>
      <c r="I1573" s="22">
        <f>50+120</f>
        <v>170</v>
      </c>
      <c r="J1573" s="22">
        <v>0</v>
      </c>
      <c r="K1573" s="225">
        <f t="shared" si="218"/>
        <v>0</v>
      </c>
      <c r="L1573" s="68"/>
      <c r="M1573" s="22"/>
      <c r="N1573" s="22"/>
      <c r="O1573" s="225"/>
      <c r="P1573" s="68"/>
      <c r="Q1573" s="22">
        <f t="shared" si="219"/>
        <v>170</v>
      </c>
      <c r="R1573" s="22">
        <f t="shared" si="220"/>
        <v>0</v>
      </c>
      <c r="S1573" s="244">
        <f t="shared" si="214"/>
        <v>0</v>
      </c>
    </row>
    <row r="1574" spans="2:19" x14ac:dyDescent="0.2">
      <c r="B1574" s="67">
        <f t="shared" si="221"/>
        <v>810</v>
      </c>
      <c r="C1574" s="2"/>
      <c r="D1574" s="2"/>
      <c r="E1574" s="2"/>
      <c r="F1574" s="46" t="s">
        <v>275</v>
      </c>
      <c r="G1574" s="2">
        <v>632</v>
      </c>
      <c r="H1574" s="2" t="s">
        <v>138</v>
      </c>
      <c r="I1574" s="22">
        <v>400</v>
      </c>
      <c r="J1574" s="22">
        <v>145</v>
      </c>
      <c r="K1574" s="225">
        <f t="shared" si="218"/>
        <v>36.25</v>
      </c>
      <c r="L1574" s="68"/>
      <c r="M1574" s="22"/>
      <c r="N1574" s="22"/>
      <c r="O1574" s="225"/>
      <c r="P1574" s="68"/>
      <c r="Q1574" s="22">
        <f t="shared" si="219"/>
        <v>400</v>
      </c>
      <c r="R1574" s="22">
        <f t="shared" si="220"/>
        <v>145</v>
      </c>
      <c r="S1574" s="244">
        <f t="shared" si="214"/>
        <v>36.25</v>
      </c>
    </row>
    <row r="1575" spans="2:19" x14ac:dyDescent="0.2">
      <c r="B1575" s="67">
        <f t="shared" si="221"/>
        <v>811</v>
      </c>
      <c r="C1575" s="2"/>
      <c r="D1575" s="2"/>
      <c r="E1575" s="2"/>
      <c r="F1575" s="46" t="s">
        <v>275</v>
      </c>
      <c r="G1575" s="2">
        <v>633</v>
      </c>
      <c r="H1575" s="2" t="s">
        <v>131</v>
      </c>
      <c r="I1575" s="22">
        <f>3920-3150</f>
        <v>770</v>
      </c>
      <c r="J1575" s="22">
        <f>248+98</f>
        <v>346</v>
      </c>
      <c r="K1575" s="225">
        <f t="shared" si="218"/>
        <v>44.935064935064936</v>
      </c>
      <c r="L1575" s="68"/>
      <c r="M1575" s="22"/>
      <c r="N1575" s="22"/>
      <c r="O1575" s="225"/>
      <c r="P1575" s="68"/>
      <c r="Q1575" s="22">
        <f t="shared" si="219"/>
        <v>770</v>
      </c>
      <c r="R1575" s="22">
        <f t="shared" si="220"/>
        <v>346</v>
      </c>
      <c r="S1575" s="244">
        <f t="shared" si="214"/>
        <v>44.935064935064936</v>
      </c>
    </row>
    <row r="1576" spans="2:19" x14ac:dyDescent="0.2">
      <c r="B1576" s="67">
        <f t="shared" si="221"/>
        <v>812</v>
      </c>
      <c r="C1576" s="2"/>
      <c r="D1576" s="2"/>
      <c r="E1576" s="2"/>
      <c r="F1576" s="46" t="s">
        <v>275</v>
      </c>
      <c r="G1576" s="2">
        <v>635</v>
      </c>
      <c r="H1576" s="2" t="s">
        <v>137</v>
      </c>
      <c r="I1576" s="22">
        <f>303-120</f>
        <v>183</v>
      </c>
      <c r="J1576" s="22">
        <v>0</v>
      </c>
      <c r="K1576" s="225">
        <f t="shared" si="218"/>
        <v>0</v>
      </c>
      <c r="L1576" s="68"/>
      <c r="M1576" s="22"/>
      <c r="N1576" s="22"/>
      <c r="O1576" s="225"/>
      <c r="P1576" s="68"/>
      <c r="Q1576" s="22">
        <f t="shared" si="219"/>
        <v>183</v>
      </c>
      <c r="R1576" s="22">
        <f t="shared" si="220"/>
        <v>0</v>
      </c>
      <c r="S1576" s="244">
        <f t="shared" si="214"/>
        <v>0</v>
      </c>
    </row>
    <row r="1577" spans="2:19" x14ac:dyDescent="0.2">
      <c r="B1577" s="67">
        <f t="shared" si="221"/>
        <v>813</v>
      </c>
      <c r="C1577" s="2"/>
      <c r="D1577" s="2"/>
      <c r="E1577" s="2"/>
      <c r="F1577" s="46" t="s">
        <v>275</v>
      </c>
      <c r="G1577" s="2">
        <v>637</v>
      </c>
      <c r="H1577" s="2" t="s">
        <v>128</v>
      </c>
      <c r="I1577" s="22">
        <v>1580</v>
      </c>
      <c r="J1577" s="22">
        <v>790</v>
      </c>
      <c r="K1577" s="225">
        <f t="shared" si="218"/>
        <v>50</v>
      </c>
      <c r="L1577" s="68"/>
      <c r="M1577" s="22"/>
      <c r="N1577" s="22"/>
      <c r="O1577" s="225"/>
      <c r="P1577" s="68"/>
      <c r="Q1577" s="22">
        <f t="shared" si="219"/>
        <v>1580</v>
      </c>
      <c r="R1577" s="22">
        <f t="shared" si="220"/>
        <v>790</v>
      </c>
      <c r="S1577" s="244">
        <f t="shared" si="214"/>
        <v>50</v>
      </c>
    </row>
    <row r="1578" spans="2:19" x14ac:dyDescent="0.2">
      <c r="B1578" s="67">
        <f t="shared" si="221"/>
        <v>814</v>
      </c>
      <c r="C1578" s="2"/>
      <c r="D1578" s="2"/>
      <c r="E1578" s="2"/>
      <c r="F1578" s="46" t="s">
        <v>275</v>
      </c>
      <c r="G1578" s="2">
        <v>630</v>
      </c>
      <c r="H1578" s="2" t="s">
        <v>610</v>
      </c>
      <c r="I1578" s="22">
        <v>1178</v>
      </c>
      <c r="J1578" s="22">
        <f>675+28+475</f>
        <v>1178</v>
      </c>
      <c r="K1578" s="225">
        <f t="shared" si="218"/>
        <v>100</v>
      </c>
      <c r="L1578" s="68"/>
      <c r="M1578" s="22"/>
      <c r="N1578" s="22"/>
      <c r="O1578" s="225"/>
      <c r="P1578" s="68"/>
      <c r="Q1578" s="22">
        <f t="shared" si="219"/>
        <v>1178</v>
      </c>
      <c r="R1578" s="22">
        <f t="shared" si="220"/>
        <v>1178</v>
      </c>
      <c r="S1578" s="244">
        <f t="shared" si="214"/>
        <v>100</v>
      </c>
    </row>
    <row r="1579" spans="2:19" x14ac:dyDescent="0.2">
      <c r="B1579" s="67">
        <f t="shared" si="221"/>
        <v>815</v>
      </c>
      <c r="C1579" s="2"/>
      <c r="D1579" s="2"/>
      <c r="E1579" s="2"/>
      <c r="F1579" s="46" t="s">
        <v>275</v>
      </c>
      <c r="G1579" s="2">
        <v>630</v>
      </c>
      <c r="H1579" s="2" t="s">
        <v>597</v>
      </c>
      <c r="I1579" s="22">
        <v>286</v>
      </c>
      <c r="J1579" s="22">
        <v>286</v>
      </c>
      <c r="K1579" s="225">
        <f t="shared" si="218"/>
        <v>100</v>
      </c>
      <c r="L1579" s="68"/>
      <c r="M1579" s="22"/>
      <c r="N1579" s="22"/>
      <c r="O1579" s="225"/>
      <c r="P1579" s="68"/>
      <c r="Q1579" s="22">
        <f t="shared" si="219"/>
        <v>286</v>
      </c>
      <c r="R1579" s="22">
        <f t="shared" si="220"/>
        <v>286</v>
      </c>
      <c r="S1579" s="244">
        <f t="shared" si="214"/>
        <v>100</v>
      </c>
    </row>
    <row r="1580" spans="2:19" x14ac:dyDescent="0.2">
      <c r="B1580" s="67">
        <f t="shared" si="221"/>
        <v>816</v>
      </c>
      <c r="C1580" s="11"/>
      <c r="D1580" s="11"/>
      <c r="E1580" s="11"/>
      <c r="F1580" s="45" t="s">
        <v>275</v>
      </c>
      <c r="G1580" s="11">
        <v>640</v>
      </c>
      <c r="H1580" s="11" t="s">
        <v>134</v>
      </c>
      <c r="I1580" s="42">
        <v>1800</v>
      </c>
      <c r="J1580" s="42">
        <v>1703</v>
      </c>
      <c r="K1580" s="225">
        <f t="shared" si="218"/>
        <v>94.611111111111114</v>
      </c>
      <c r="L1580" s="114"/>
      <c r="M1580" s="42"/>
      <c r="N1580" s="42"/>
      <c r="O1580" s="225"/>
      <c r="P1580" s="114"/>
      <c r="Q1580" s="42">
        <f t="shared" si="219"/>
        <v>1800</v>
      </c>
      <c r="R1580" s="42">
        <f t="shared" si="220"/>
        <v>1703</v>
      </c>
      <c r="S1580" s="244">
        <f t="shared" si="214"/>
        <v>94.611111111111114</v>
      </c>
    </row>
    <row r="1581" spans="2:19" ht="15" x14ac:dyDescent="0.25">
      <c r="B1581" s="67">
        <f t="shared" si="221"/>
        <v>817</v>
      </c>
      <c r="C1581" s="14"/>
      <c r="D1581" s="14"/>
      <c r="E1581" s="14">
        <v>4</v>
      </c>
      <c r="F1581" s="43"/>
      <c r="G1581" s="14"/>
      <c r="H1581" s="14" t="s">
        <v>84</v>
      </c>
      <c r="I1581" s="40">
        <f>I1582+I1583+I1584+I1592</f>
        <v>207157</v>
      </c>
      <c r="J1581" s="40">
        <f>J1582+J1583+J1584+J1592</f>
        <v>87380</v>
      </c>
      <c r="K1581" s="225">
        <f t="shared" si="218"/>
        <v>42.180568361194645</v>
      </c>
      <c r="L1581" s="175"/>
      <c r="M1581" s="40">
        <f>M1582+M1583+M1584+M1592</f>
        <v>0</v>
      </c>
      <c r="N1581" s="40">
        <f>N1582+N1583+N1584+N1592</f>
        <v>0</v>
      </c>
      <c r="O1581" s="225"/>
      <c r="P1581" s="175"/>
      <c r="Q1581" s="40">
        <f>Q1582+Q1583+Q1584+Q1592</f>
        <v>207157</v>
      </c>
      <c r="R1581" s="40">
        <f t="shared" ref="R1581" si="222">R1582+R1583+R1584+R1592</f>
        <v>87380</v>
      </c>
      <c r="S1581" s="244">
        <f t="shared" si="214"/>
        <v>42.180568361194645</v>
      </c>
    </row>
    <row r="1582" spans="2:19" x14ac:dyDescent="0.2">
      <c r="B1582" s="67">
        <f t="shared" si="221"/>
        <v>818</v>
      </c>
      <c r="C1582" s="11"/>
      <c r="D1582" s="11"/>
      <c r="E1582" s="11"/>
      <c r="F1582" s="45" t="s">
        <v>72</v>
      </c>
      <c r="G1582" s="11">
        <v>610</v>
      </c>
      <c r="H1582" s="11" t="s">
        <v>135</v>
      </c>
      <c r="I1582" s="42">
        <f>118476-26080</f>
        <v>92396</v>
      </c>
      <c r="J1582" s="42">
        <v>34098</v>
      </c>
      <c r="K1582" s="225">
        <f t="shared" si="218"/>
        <v>36.904194986795964</v>
      </c>
      <c r="L1582" s="114"/>
      <c r="M1582" s="42"/>
      <c r="N1582" s="42"/>
      <c r="O1582" s="225"/>
      <c r="P1582" s="114"/>
      <c r="Q1582" s="42">
        <f t="shared" ref="Q1582:Q1592" si="223">M1582+I1582</f>
        <v>92396</v>
      </c>
      <c r="R1582" s="42">
        <f t="shared" ref="R1582:R1592" si="224">N1582+J1582</f>
        <v>34098</v>
      </c>
      <c r="S1582" s="244">
        <f t="shared" si="214"/>
        <v>36.904194986795964</v>
      </c>
    </row>
    <row r="1583" spans="2:19" x14ac:dyDescent="0.2">
      <c r="B1583" s="67">
        <f t="shared" si="221"/>
        <v>819</v>
      </c>
      <c r="C1583" s="11"/>
      <c r="D1583" s="11"/>
      <c r="E1583" s="11"/>
      <c r="F1583" s="45" t="s">
        <v>72</v>
      </c>
      <c r="G1583" s="11">
        <v>620</v>
      </c>
      <c r="H1583" s="11" t="s">
        <v>130</v>
      </c>
      <c r="I1583" s="42">
        <f>45321-6970</f>
        <v>38351</v>
      </c>
      <c r="J1583" s="42">
        <v>15858</v>
      </c>
      <c r="K1583" s="225">
        <f t="shared" si="218"/>
        <v>41.349638862089641</v>
      </c>
      <c r="L1583" s="114"/>
      <c r="M1583" s="42"/>
      <c r="N1583" s="42"/>
      <c r="O1583" s="225"/>
      <c r="P1583" s="114"/>
      <c r="Q1583" s="42">
        <f t="shared" si="223"/>
        <v>38351</v>
      </c>
      <c r="R1583" s="42">
        <f t="shared" si="224"/>
        <v>15858</v>
      </c>
      <c r="S1583" s="244">
        <f t="shared" si="214"/>
        <v>41.349638862089641</v>
      </c>
    </row>
    <row r="1584" spans="2:19" x14ac:dyDescent="0.2">
      <c r="B1584" s="67">
        <f t="shared" si="221"/>
        <v>820</v>
      </c>
      <c r="C1584" s="11"/>
      <c r="D1584" s="11"/>
      <c r="E1584" s="11"/>
      <c r="F1584" s="45" t="s">
        <v>72</v>
      </c>
      <c r="G1584" s="11">
        <v>630</v>
      </c>
      <c r="H1584" s="11" t="s">
        <v>127</v>
      </c>
      <c r="I1584" s="42">
        <f>I1591+I1590+I1589+I1588+I1587+I1586</f>
        <v>72020</v>
      </c>
      <c r="J1584" s="42">
        <f>J1591+J1590+J1589+J1588+J1587+J1586+J1585</f>
        <v>33038</v>
      </c>
      <c r="K1584" s="225">
        <f t="shared" si="218"/>
        <v>45.873368508747568</v>
      </c>
      <c r="L1584" s="114"/>
      <c r="M1584" s="42">
        <f>M1591+M1590+M1589+M1588+M1587+M1586</f>
        <v>0</v>
      </c>
      <c r="N1584" s="42">
        <f>N1591+N1590+N1589+N1588+N1587+N1586</f>
        <v>0</v>
      </c>
      <c r="O1584" s="225"/>
      <c r="P1584" s="114"/>
      <c r="Q1584" s="42">
        <f t="shared" si="223"/>
        <v>72020</v>
      </c>
      <c r="R1584" s="42">
        <f t="shared" si="224"/>
        <v>33038</v>
      </c>
      <c r="S1584" s="244">
        <f t="shared" si="214"/>
        <v>45.873368508747568</v>
      </c>
    </row>
    <row r="1585" spans="2:19" x14ac:dyDescent="0.2">
      <c r="B1585" s="67">
        <f t="shared" si="221"/>
        <v>821</v>
      </c>
      <c r="C1585" s="11"/>
      <c r="D1585" s="11"/>
      <c r="E1585" s="11"/>
      <c r="F1585" s="57" t="s">
        <v>72</v>
      </c>
      <c r="G1585" s="2">
        <v>631</v>
      </c>
      <c r="H1585" s="2" t="s">
        <v>133</v>
      </c>
      <c r="I1585" s="22">
        <v>0</v>
      </c>
      <c r="J1585" s="51">
        <v>14</v>
      </c>
      <c r="K1585" s="225">
        <v>0</v>
      </c>
      <c r="L1585" s="68"/>
      <c r="M1585" s="22"/>
      <c r="N1585" s="22"/>
      <c r="O1585" s="225"/>
      <c r="P1585" s="68"/>
      <c r="Q1585" s="22">
        <f t="shared" si="223"/>
        <v>0</v>
      </c>
      <c r="R1585" s="22">
        <f t="shared" si="224"/>
        <v>14</v>
      </c>
      <c r="S1585" s="244">
        <v>0</v>
      </c>
    </row>
    <row r="1586" spans="2:19" x14ac:dyDescent="0.2">
      <c r="B1586" s="67">
        <f t="shared" si="221"/>
        <v>822</v>
      </c>
      <c r="C1586" s="2"/>
      <c r="D1586" s="2"/>
      <c r="E1586" s="2"/>
      <c r="F1586" s="46" t="s">
        <v>72</v>
      </c>
      <c r="G1586" s="2">
        <v>632</v>
      </c>
      <c r="H1586" s="2" t="s">
        <v>138</v>
      </c>
      <c r="I1586" s="22">
        <v>2200</v>
      </c>
      <c r="J1586" s="22">
        <v>435</v>
      </c>
      <c r="K1586" s="225">
        <f t="shared" si="218"/>
        <v>19.772727272727273</v>
      </c>
      <c r="L1586" s="68"/>
      <c r="M1586" s="22"/>
      <c r="N1586" s="22"/>
      <c r="O1586" s="225"/>
      <c r="P1586" s="68"/>
      <c r="Q1586" s="22">
        <f t="shared" si="223"/>
        <v>2200</v>
      </c>
      <c r="R1586" s="22">
        <f t="shared" si="224"/>
        <v>435</v>
      </c>
      <c r="S1586" s="244">
        <f t="shared" si="214"/>
        <v>19.772727272727273</v>
      </c>
    </row>
    <row r="1587" spans="2:19" x14ac:dyDescent="0.2">
      <c r="B1587" s="67">
        <f t="shared" si="221"/>
        <v>823</v>
      </c>
      <c r="C1587" s="2"/>
      <c r="D1587" s="2"/>
      <c r="E1587" s="2"/>
      <c r="F1587" s="46" t="s">
        <v>72</v>
      </c>
      <c r="G1587" s="2">
        <v>633</v>
      </c>
      <c r="H1587" s="2" t="s">
        <v>131</v>
      </c>
      <c r="I1587" s="22">
        <f>3700+10000+5000</f>
        <v>18700</v>
      </c>
      <c r="J1587" s="22">
        <v>10894</v>
      </c>
      <c r="K1587" s="225">
        <f t="shared" si="218"/>
        <v>58.256684491978604</v>
      </c>
      <c r="L1587" s="68"/>
      <c r="M1587" s="22"/>
      <c r="N1587" s="22"/>
      <c r="O1587" s="225"/>
      <c r="P1587" s="68"/>
      <c r="Q1587" s="22">
        <f t="shared" si="223"/>
        <v>18700</v>
      </c>
      <c r="R1587" s="22">
        <f t="shared" si="224"/>
        <v>10894</v>
      </c>
      <c r="S1587" s="244">
        <f t="shared" si="214"/>
        <v>58.256684491978604</v>
      </c>
    </row>
    <row r="1588" spans="2:19" x14ac:dyDescent="0.2">
      <c r="B1588" s="67">
        <f t="shared" si="221"/>
        <v>824</v>
      </c>
      <c r="C1588" s="2"/>
      <c r="D1588" s="2"/>
      <c r="E1588" s="2"/>
      <c r="F1588" s="46" t="s">
        <v>72</v>
      </c>
      <c r="G1588" s="2">
        <v>634</v>
      </c>
      <c r="H1588" s="2" t="s">
        <v>136</v>
      </c>
      <c r="I1588" s="22">
        <v>7270</v>
      </c>
      <c r="J1588" s="22">
        <v>798</v>
      </c>
      <c r="K1588" s="225">
        <f t="shared" si="218"/>
        <v>10.976616231086657</v>
      </c>
      <c r="L1588" s="68"/>
      <c r="M1588" s="22"/>
      <c r="N1588" s="22"/>
      <c r="O1588" s="225"/>
      <c r="P1588" s="68"/>
      <c r="Q1588" s="22">
        <f t="shared" si="223"/>
        <v>7270</v>
      </c>
      <c r="R1588" s="22">
        <f t="shared" si="224"/>
        <v>798</v>
      </c>
      <c r="S1588" s="244">
        <f t="shared" si="214"/>
        <v>10.976616231086657</v>
      </c>
    </row>
    <row r="1589" spans="2:19" x14ac:dyDescent="0.2">
      <c r="B1589" s="67">
        <f t="shared" si="221"/>
        <v>825</v>
      </c>
      <c r="C1589" s="2"/>
      <c r="D1589" s="2"/>
      <c r="E1589" s="2"/>
      <c r="F1589" s="46" t="s">
        <v>72</v>
      </c>
      <c r="G1589" s="2">
        <v>635</v>
      </c>
      <c r="H1589" s="2" t="s">
        <v>137</v>
      </c>
      <c r="I1589" s="22">
        <v>1400</v>
      </c>
      <c r="J1589" s="22">
        <v>180</v>
      </c>
      <c r="K1589" s="225">
        <f t="shared" si="218"/>
        <v>12.857142857142856</v>
      </c>
      <c r="L1589" s="68"/>
      <c r="M1589" s="22"/>
      <c r="N1589" s="22"/>
      <c r="O1589" s="225"/>
      <c r="P1589" s="68"/>
      <c r="Q1589" s="22">
        <f t="shared" si="223"/>
        <v>1400</v>
      </c>
      <c r="R1589" s="22">
        <f t="shared" si="224"/>
        <v>180</v>
      </c>
      <c r="S1589" s="244">
        <f t="shared" si="214"/>
        <v>12.857142857142856</v>
      </c>
    </row>
    <row r="1590" spans="2:19" x14ac:dyDescent="0.2">
      <c r="B1590" s="67">
        <f t="shared" si="221"/>
        <v>826</v>
      </c>
      <c r="C1590" s="2"/>
      <c r="D1590" s="2"/>
      <c r="E1590" s="2"/>
      <c r="F1590" s="46" t="s">
        <v>72</v>
      </c>
      <c r="G1590" s="2">
        <v>636</v>
      </c>
      <c r="H1590" s="2" t="s">
        <v>132</v>
      </c>
      <c r="I1590" s="22">
        <v>2350</v>
      </c>
      <c r="J1590" s="22">
        <v>1895</v>
      </c>
      <c r="K1590" s="225">
        <f t="shared" si="218"/>
        <v>80.638297872340431</v>
      </c>
      <c r="L1590" s="68"/>
      <c r="M1590" s="22"/>
      <c r="N1590" s="22"/>
      <c r="O1590" s="225"/>
      <c r="P1590" s="68"/>
      <c r="Q1590" s="22">
        <f t="shared" si="223"/>
        <v>2350</v>
      </c>
      <c r="R1590" s="22">
        <f t="shared" si="224"/>
        <v>1895</v>
      </c>
      <c r="S1590" s="244">
        <f t="shared" si="214"/>
        <v>80.638297872340431</v>
      </c>
    </row>
    <row r="1591" spans="2:19" x14ac:dyDescent="0.2">
      <c r="B1591" s="67">
        <f t="shared" si="221"/>
        <v>827</v>
      </c>
      <c r="C1591" s="2"/>
      <c r="D1591" s="2"/>
      <c r="E1591" s="2"/>
      <c r="F1591" s="46" t="s">
        <v>72</v>
      </c>
      <c r="G1591" s="2">
        <v>637</v>
      </c>
      <c r="H1591" s="2" t="s">
        <v>128</v>
      </c>
      <c r="I1591" s="22">
        <v>40100</v>
      </c>
      <c r="J1591" s="22">
        <v>18822</v>
      </c>
      <c r="K1591" s="225">
        <f t="shared" si="218"/>
        <v>46.937655860349125</v>
      </c>
      <c r="L1591" s="68"/>
      <c r="M1591" s="22"/>
      <c r="N1591" s="22"/>
      <c r="O1591" s="225"/>
      <c r="P1591" s="68"/>
      <c r="Q1591" s="22">
        <f t="shared" si="223"/>
        <v>40100</v>
      </c>
      <c r="R1591" s="22">
        <f t="shared" si="224"/>
        <v>18822</v>
      </c>
      <c r="S1591" s="244">
        <f t="shared" si="214"/>
        <v>46.937655860349125</v>
      </c>
    </row>
    <row r="1592" spans="2:19" x14ac:dyDescent="0.2">
      <c r="B1592" s="67">
        <f t="shared" si="221"/>
        <v>828</v>
      </c>
      <c r="C1592" s="11"/>
      <c r="D1592" s="11"/>
      <c r="E1592" s="11"/>
      <c r="F1592" s="45" t="s">
        <v>72</v>
      </c>
      <c r="G1592" s="11">
        <v>640</v>
      </c>
      <c r="H1592" s="11" t="s">
        <v>134</v>
      </c>
      <c r="I1592" s="42">
        <f>3490+900</f>
        <v>4390</v>
      </c>
      <c r="J1592" s="42">
        <v>4386</v>
      </c>
      <c r="K1592" s="225">
        <f t="shared" si="218"/>
        <v>99.908883826879276</v>
      </c>
      <c r="L1592" s="114"/>
      <c r="M1592" s="42"/>
      <c r="N1592" s="42"/>
      <c r="O1592" s="225"/>
      <c r="P1592" s="114"/>
      <c r="Q1592" s="42">
        <f t="shared" si="223"/>
        <v>4390</v>
      </c>
      <c r="R1592" s="42">
        <f t="shared" si="224"/>
        <v>4386</v>
      </c>
      <c r="S1592" s="244">
        <f t="shared" si="214"/>
        <v>99.908883826879276</v>
      </c>
    </row>
    <row r="1613" spans="2:19" ht="27" x14ac:dyDescent="0.35">
      <c r="B1613" s="306" t="s">
        <v>349</v>
      </c>
      <c r="C1613" s="307"/>
      <c r="D1613" s="307"/>
      <c r="E1613" s="307"/>
      <c r="F1613" s="307"/>
      <c r="G1613" s="307"/>
      <c r="H1613" s="307"/>
      <c r="I1613" s="307"/>
      <c r="J1613" s="307"/>
      <c r="K1613" s="307"/>
      <c r="L1613" s="307"/>
      <c r="M1613" s="307"/>
      <c r="N1613" s="307"/>
      <c r="O1613" s="307"/>
      <c r="P1613" s="307"/>
      <c r="Q1613" s="307"/>
    </row>
    <row r="1614" spans="2:19" ht="12.75" customHeight="1" x14ac:dyDescent="0.2">
      <c r="B1614" s="308" t="s">
        <v>279</v>
      </c>
      <c r="C1614" s="309"/>
      <c r="D1614" s="309"/>
      <c r="E1614" s="309"/>
      <c r="F1614" s="309"/>
      <c r="G1614" s="309"/>
      <c r="H1614" s="309"/>
      <c r="I1614" s="309"/>
      <c r="J1614" s="309"/>
      <c r="K1614" s="309"/>
      <c r="L1614" s="309"/>
      <c r="M1614" s="309"/>
      <c r="N1614" s="181"/>
      <c r="O1614" s="182"/>
      <c r="P1614" s="182"/>
      <c r="Q1614" s="310" t="s">
        <v>590</v>
      </c>
      <c r="R1614" s="310" t="s">
        <v>693</v>
      </c>
      <c r="S1614" s="337" t="s">
        <v>691</v>
      </c>
    </row>
    <row r="1615" spans="2:19" ht="12.75" customHeight="1" x14ac:dyDescent="0.2">
      <c r="B1615" s="313" t="s">
        <v>111</v>
      </c>
      <c r="C1615" s="315" t="s">
        <v>119</v>
      </c>
      <c r="D1615" s="315" t="s">
        <v>120</v>
      </c>
      <c r="E1615" s="317" t="s">
        <v>124</v>
      </c>
      <c r="F1615" s="315" t="s">
        <v>121</v>
      </c>
      <c r="G1615" s="315" t="s">
        <v>122</v>
      </c>
      <c r="H1615" s="320" t="s">
        <v>123</v>
      </c>
      <c r="I1615" s="310" t="s">
        <v>587</v>
      </c>
      <c r="J1615" s="310" t="s">
        <v>690</v>
      </c>
      <c r="K1615" s="337" t="s">
        <v>691</v>
      </c>
      <c r="L1615" s="169"/>
      <c r="M1615" s="310" t="s">
        <v>588</v>
      </c>
      <c r="N1615" s="311" t="s">
        <v>692</v>
      </c>
      <c r="O1615" s="337" t="s">
        <v>691</v>
      </c>
      <c r="P1615" s="170"/>
      <c r="Q1615" s="311"/>
      <c r="R1615" s="311"/>
      <c r="S1615" s="338"/>
    </row>
    <row r="1616" spans="2:19" x14ac:dyDescent="0.2">
      <c r="B1616" s="313"/>
      <c r="C1616" s="315"/>
      <c r="D1616" s="315"/>
      <c r="E1616" s="318"/>
      <c r="F1616" s="315"/>
      <c r="G1616" s="315"/>
      <c r="H1616" s="320"/>
      <c r="I1616" s="311"/>
      <c r="J1616" s="311"/>
      <c r="K1616" s="338"/>
      <c r="L1616" s="170"/>
      <c r="M1616" s="311"/>
      <c r="N1616" s="311"/>
      <c r="O1616" s="338"/>
      <c r="P1616" s="170"/>
      <c r="Q1616" s="311"/>
      <c r="R1616" s="311"/>
      <c r="S1616" s="338"/>
    </row>
    <row r="1617" spans="2:19" x14ac:dyDescent="0.2">
      <c r="B1617" s="313"/>
      <c r="C1617" s="315"/>
      <c r="D1617" s="315"/>
      <c r="E1617" s="318"/>
      <c r="F1617" s="315"/>
      <c r="G1617" s="315"/>
      <c r="H1617" s="320"/>
      <c r="I1617" s="311"/>
      <c r="J1617" s="311"/>
      <c r="K1617" s="338"/>
      <c r="L1617" s="170"/>
      <c r="M1617" s="311"/>
      <c r="N1617" s="311"/>
      <c r="O1617" s="338"/>
      <c r="P1617" s="170"/>
      <c r="Q1617" s="311"/>
      <c r="R1617" s="311"/>
      <c r="S1617" s="338"/>
    </row>
    <row r="1618" spans="2:19" ht="13.5" thickBot="1" x14ac:dyDescent="0.25">
      <c r="B1618" s="314"/>
      <c r="C1618" s="316"/>
      <c r="D1618" s="316"/>
      <c r="E1618" s="319"/>
      <c r="F1618" s="316"/>
      <c r="G1618" s="316"/>
      <c r="H1618" s="321"/>
      <c r="I1618" s="312"/>
      <c r="J1618" s="312"/>
      <c r="K1618" s="339"/>
      <c r="L1618" s="171"/>
      <c r="M1618" s="312"/>
      <c r="N1618" s="312"/>
      <c r="O1618" s="339"/>
      <c r="P1618" s="171"/>
      <c r="Q1618" s="312"/>
      <c r="R1618" s="312"/>
      <c r="S1618" s="339"/>
    </row>
    <row r="1619" spans="2:19" ht="16.5" thickTop="1" x14ac:dyDescent="0.2">
      <c r="B1619" s="67">
        <f t="shared" ref="B1619:B1681" si="225">B1618+1</f>
        <v>1</v>
      </c>
      <c r="C1619" s="322" t="s">
        <v>303</v>
      </c>
      <c r="D1619" s="323"/>
      <c r="E1619" s="323"/>
      <c r="F1619" s="323"/>
      <c r="G1619" s="323"/>
      <c r="H1619" s="324"/>
      <c r="I1619" s="37">
        <f>I1693+I1637+I1623+I1620</f>
        <v>1603434</v>
      </c>
      <c r="J1619" s="37">
        <f>J1693+J1637+J1623+J1620</f>
        <v>1008167</v>
      </c>
      <c r="K1619" s="225">
        <f t="shared" ref="K1619:K1676" si="226">J1619/I1619*100</f>
        <v>62.875490977489569</v>
      </c>
      <c r="L1619" s="172"/>
      <c r="M1619" s="37">
        <f>M1693+M1637+M1623+M1620</f>
        <v>1112355</v>
      </c>
      <c r="N1619" s="37">
        <f>N1693+N1637+N1623+N1620</f>
        <v>46680</v>
      </c>
      <c r="O1619" s="225">
        <f t="shared" ref="O1619:O1681" si="227">N1619/M1619*100</f>
        <v>4.1965020159930955</v>
      </c>
      <c r="P1619" s="172"/>
      <c r="Q1619" s="37">
        <f t="shared" ref="Q1619:Q1681" si="228">I1619+M1619</f>
        <v>2715789</v>
      </c>
      <c r="R1619" s="37">
        <f t="shared" ref="R1619:R1678" si="229">J1619+N1619</f>
        <v>1054847</v>
      </c>
      <c r="S1619" s="244">
        <f t="shared" ref="S1619:S1681" si="230">R1619/Q1619*100</f>
        <v>38.841272278516485</v>
      </c>
    </row>
    <row r="1620" spans="2:19" ht="15" x14ac:dyDescent="0.2">
      <c r="B1620" s="67">
        <f t="shared" si="225"/>
        <v>2</v>
      </c>
      <c r="C1620" s="166">
        <v>1</v>
      </c>
      <c r="D1620" s="325" t="s">
        <v>12</v>
      </c>
      <c r="E1620" s="326"/>
      <c r="F1620" s="326"/>
      <c r="G1620" s="326"/>
      <c r="H1620" s="327"/>
      <c r="I1620" s="38">
        <f>I1621</f>
        <v>1700</v>
      </c>
      <c r="J1620" s="38">
        <f>J1621</f>
        <v>0</v>
      </c>
      <c r="K1620" s="225">
        <f t="shared" si="226"/>
        <v>0</v>
      </c>
      <c r="L1620" s="173"/>
      <c r="M1620" s="38">
        <f>M1621</f>
        <v>0</v>
      </c>
      <c r="N1620" s="38">
        <f>N1621</f>
        <v>0</v>
      </c>
      <c r="O1620" s="225"/>
      <c r="P1620" s="173"/>
      <c r="Q1620" s="38">
        <f t="shared" si="228"/>
        <v>1700</v>
      </c>
      <c r="R1620" s="38">
        <f t="shared" si="229"/>
        <v>0</v>
      </c>
      <c r="S1620" s="244">
        <f t="shared" si="230"/>
        <v>0</v>
      </c>
    </row>
    <row r="1621" spans="2:19" x14ac:dyDescent="0.2">
      <c r="B1621" s="67">
        <f t="shared" si="225"/>
        <v>3</v>
      </c>
      <c r="C1621" s="11"/>
      <c r="D1621" s="11"/>
      <c r="E1621" s="11"/>
      <c r="F1621" s="45" t="s">
        <v>188</v>
      </c>
      <c r="G1621" s="11">
        <v>630</v>
      </c>
      <c r="H1621" s="11" t="s">
        <v>127</v>
      </c>
      <c r="I1621" s="42">
        <f>I1622</f>
        <v>1700</v>
      </c>
      <c r="J1621" s="42">
        <f>J1622</f>
        <v>0</v>
      </c>
      <c r="K1621" s="225">
        <f t="shared" si="226"/>
        <v>0</v>
      </c>
      <c r="L1621" s="114"/>
      <c r="M1621" s="42">
        <v>0</v>
      </c>
      <c r="N1621" s="42"/>
      <c r="O1621" s="225"/>
      <c r="P1621" s="114"/>
      <c r="Q1621" s="42">
        <f t="shared" si="228"/>
        <v>1700</v>
      </c>
      <c r="R1621" s="42">
        <f t="shared" si="229"/>
        <v>0</v>
      </c>
      <c r="S1621" s="244">
        <f t="shared" si="230"/>
        <v>0</v>
      </c>
    </row>
    <row r="1622" spans="2:19" x14ac:dyDescent="0.2">
      <c r="B1622" s="67">
        <f t="shared" si="225"/>
        <v>4</v>
      </c>
      <c r="C1622" s="11"/>
      <c r="D1622" s="11"/>
      <c r="E1622" s="11"/>
      <c r="F1622" s="57" t="s">
        <v>188</v>
      </c>
      <c r="G1622" s="53">
        <v>633</v>
      </c>
      <c r="H1622" s="53" t="s">
        <v>356</v>
      </c>
      <c r="I1622" s="51">
        <v>1700</v>
      </c>
      <c r="J1622" s="51">
        <v>0</v>
      </c>
      <c r="K1622" s="225">
        <f t="shared" si="226"/>
        <v>0</v>
      </c>
      <c r="L1622" s="68"/>
      <c r="M1622" s="42"/>
      <c r="N1622" s="42"/>
      <c r="O1622" s="225"/>
      <c r="P1622" s="114"/>
      <c r="Q1622" s="22">
        <f t="shared" si="228"/>
        <v>1700</v>
      </c>
      <c r="R1622" s="22">
        <f t="shared" si="229"/>
        <v>0</v>
      </c>
      <c r="S1622" s="244">
        <f t="shared" si="230"/>
        <v>0</v>
      </c>
    </row>
    <row r="1623" spans="2:19" ht="15" x14ac:dyDescent="0.2">
      <c r="B1623" s="67">
        <f t="shared" si="225"/>
        <v>5</v>
      </c>
      <c r="C1623" s="166">
        <v>2</v>
      </c>
      <c r="D1623" s="325" t="s">
        <v>350</v>
      </c>
      <c r="E1623" s="326"/>
      <c r="F1623" s="326"/>
      <c r="G1623" s="326"/>
      <c r="H1623" s="327"/>
      <c r="I1623" s="38">
        <f>I1624</f>
        <v>342934</v>
      </c>
      <c r="J1623" s="38">
        <f>J1624</f>
        <v>331736</v>
      </c>
      <c r="K1623" s="225">
        <f t="shared" si="226"/>
        <v>96.734648649594376</v>
      </c>
      <c r="L1623" s="173"/>
      <c r="M1623" s="38">
        <f>M1624</f>
        <v>0</v>
      </c>
      <c r="N1623" s="38">
        <f>N1624</f>
        <v>0</v>
      </c>
      <c r="O1623" s="225"/>
      <c r="P1623" s="173"/>
      <c r="Q1623" s="38">
        <f t="shared" si="228"/>
        <v>342934</v>
      </c>
      <c r="R1623" s="38">
        <f t="shared" si="229"/>
        <v>331736</v>
      </c>
      <c r="S1623" s="244">
        <f t="shared" si="230"/>
        <v>96.734648649594376</v>
      </c>
    </row>
    <row r="1624" spans="2:19" x14ac:dyDescent="0.2">
      <c r="B1624" s="67">
        <f t="shared" si="225"/>
        <v>6</v>
      </c>
      <c r="C1624" s="11"/>
      <c r="D1624" s="11"/>
      <c r="E1624" s="11"/>
      <c r="F1624" s="45" t="s">
        <v>188</v>
      </c>
      <c r="G1624" s="11">
        <v>640</v>
      </c>
      <c r="H1624" s="11" t="s">
        <v>134</v>
      </c>
      <c r="I1624" s="42">
        <f>SUM(I1625:I1636)</f>
        <v>342934</v>
      </c>
      <c r="J1624" s="42">
        <f>SUM(J1625:J1636)</f>
        <v>331736</v>
      </c>
      <c r="K1624" s="225">
        <f t="shared" si="226"/>
        <v>96.734648649594376</v>
      </c>
      <c r="L1624" s="114"/>
      <c r="M1624" s="42">
        <f>SUM(M1625:M1628)</f>
        <v>0</v>
      </c>
      <c r="N1624" s="42">
        <f>SUM(N1625:N1628)</f>
        <v>0</v>
      </c>
      <c r="O1624" s="225"/>
      <c r="P1624" s="114"/>
      <c r="Q1624" s="42">
        <f t="shared" si="228"/>
        <v>342934</v>
      </c>
      <c r="R1624" s="42">
        <f t="shared" si="229"/>
        <v>331736</v>
      </c>
      <c r="S1624" s="244">
        <f t="shared" si="230"/>
        <v>96.734648649594376</v>
      </c>
    </row>
    <row r="1625" spans="2:19" x14ac:dyDescent="0.2">
      <c r="B1625" s="67">
        <f t="shared" si="225"/>
        <v>7</v>
      </c>
      <c r="C1625" s="11"/>
      <c r="D1625" s="50"/>
      <c r="E1625" s="11"/>
      <c r="F1625" s="45"/>
      <c r="G1625" s="11"/>
      <c r="H1625" s="52" t="s">
        <v>189</v>
      </c>
      <c r="I1625" s="51">
        <f>50000-10000</f>
        <v>40000</v>
      </c>
      <c r="J1625" s="51">
        <v>38352</v>
      </c>
      <c r="K1625" s="225">
        <f t="shared" si="226"/>
        <v>95.88</v>
      </c>
      <c r="L1625" s="68"/>
      <c r="M1625" s="51"/>
      <c r="N1625" s="51"/>
      <c r="O1625" s="225"/>
      <c r="P1625" s="68"/>
      <c r="Q1625" s="51">
        <f t="shared" si="228"/>
        <v>40000</v>
      </c>
      <c r="R1625" s="51">
        <f t="shared" si="229"/>
        <v>38352</v>
      </c>
      <c r="S1625" s="244">
        <f t="shared" si="230"/>
        <v>95.88</v>
      </c>
    </row>
    <row r="1626" spans="2:19" x14ac:dyDescent="0.2">
      <c r="B1626" s="67">
        <f t="shared" si="225"/>
        <v>8</v>
      </c>
      <c r="C1626" s="11"/>
      <c r="D1626" s="50"/>
      <c r="E1626" s="11"/>
      <c r="F1626" s="45"/>
      <c r="G1626" s="11"/>
      <c r="H1626" s="52" t="s">
        <v>340</v>
      </c>
      <c r="I1626" s="51">
        <v>5000</v>
      </c>
      <c r="J1626" s="51">
        <v>2800</v>
      </c>
      <c r="K1626" s="225">
        <f t="shared" si="226"/>
        <v>56.000000000000007</v>
      </c>
      <c r="L1626" s="68"/>
      <c r="M1626" s="51"/>
      <c r="N1626" s="51"/>
      <c r="O1626" s="225"/>
      <c r="P1626" s="68"/>
      <c r="Q1626" s="51">
        <f t="shared" si="228"/>
        <v>5000</v>
      </c>
      <c r="R1626" s="51">
        <f t="shared" si="229"/>
        <v>2800</v>
      </c>
      <c r="S1626" s="244">
        <f t="shared" si="230"/>
        <v>56.000000000000007</v>
      </c>
    </row>
    <row r="1627" spans="2:19" x14ac:dyDescent="0.2">
      <c r="B1627" s="67">
        <f t="shared" si="225"/>
        <v>9</v>
      </c>
      <c r="C1627" s="11"/>
      <c r="D1627" s="50"/>
      <c r="E1627" s="11"/>
      <c r="F1627" s="45"/>
      <c r="G1627" s="11"/>
      <c r="H1627" s="52" t="s">
        <v>341</v>
      </c>
      <c r="I1627" s="51">
        <f>8500+10000</f>
        <v>18500</v>
      </c>
      <c r="J1627" s="51">
        <v>16150</v>
      </c>
      <c r="K1627" s="225">
        <f t="shared" si="226"/>
        <v>87.297297297297291</v>
      </c>
      <c r="L1627" s="68"/>
      <c r="M1627" s="51"/>
      <c r="N1627" s="51"/>
      <c r="O1627" s="225"/>
      <c r="P1627" s="68"/>
      <c r="Q1627" s="51">
        <f t="shared" si="228"/>
        <v>18500</v>
      </c>
      <c r="R1627" s="51">
        <f t="shared" si="229"/>
        <v>16150</v>
      </c>
      <c r="S1627" s="244">
        <f t="shared" si="230"/>
        <v>87.297297297297291</v>
      </c>
    </row>
    <row r="1628" spans="2:19" x14ac:dyDescent="0.2">
      <c r="B1628" s="67">
        <f t="shared" si="225"/>
        <v>10</v>
      </c>
      <c r="C1628" s="60"/>
      <c r="D1628" s="61"/>
      <c r="E1628" s="60"/>
      <c r="F1628" s="64"/>
      <c r="G1628" s="60"/>
      <c r="H1628" s="74" t="s">
        <v>342</v>
      </c>
      <c r="I1628" s="58">
        <v>3000</v>
      </c>
      <c r="J1628" s="58">
        <v>3000</v>
      </c>
      <c r="K1628" s="225">
        <f t="shared" si="226"/>
        <v>100</v>
      </c>
      <c r="L1628" s="149"/>
      <c r="M1628" s="58"/>
      <c r="N1628" s="58"/>
      <c r="O1628" s="225"/>
      <c r="P1628" s="149"/>
      <c r="Q1628" s="51">
        <f t="shared" si="228"/>
        <v>3000</v>
      </c>
      <c r="R1628" s="51">
        <f t="shared" si="229"/>
        <v>3000</v>
      </c>
      <c r="S1628" s="244">
        <f t="shared" si="230"/>
        <v>100</v>
      </c>
    </row>
    <row r="1629" spans="2:19" x14ac:dyDescent="0.2">
      <c r="B1629" s="66">
        <f t="shared" si="225"/>
        <v>11</v>
      </c>
      <c r="C1629" s="60"/>
      <c r="D1629" s="61"/>
      <c r="E1629" s="60"/>
      <c r="F1629" s="64"/>
      <c r="G1629" s="60"/>
      <c r="H1629" s="74" t="s">
        <v>352</v>
      </c>
      <c r="I1629" s="58">
        <v>2000</v>
      </c>
      <c r="J1629" s="58">
        <v>2000</v>
      </c>
      <c r="K1629" s="225">
        <f t="shared" si="226"/>
        <v>100</v>
      </c>
      <c r="L1629" s="149"/>
      <c r="M1629" s="58"/>
      <c r="N1629" s="58"/>
      <c r="O1629" s="225"/>
      <c r="P1629" s="149"/>
      <c r="Q1629" s="58">
        <f t="shared" si="228"/>
        <v>2000</v>
      </c>
      <c r="R1629" s="58">
        <f t="shared" si="229"/>
        <v>2000</v>
      </c>
      <c r="S1629" s="244">
        <f t="shared" si="230"/>
        <v>100</v>
      </c>
    </row>
    <row r="1630" spans="2:19" x14ac:dyDescent="0.2">
      <c r="B1630" s="66">
        <f t="shared" si="225"/>
        <v>12</v>
      </c>
      <c r="C1630" s="60"/>
      <c r="D1630" s="61"/>
      <c r="E1630" s="60"/>
      <c r="F1630" s="64"/>
      <c r="G1630" s="60"/>
      <c r="H1630" s="74" t="s">
        <v>353</v>
      </c>
      <c r="I1630" s="58">
        <v>4000</v>
      </c>
      <c r="J1630" s="58">
        <v>4000</v>
      </c>
      <c r="K1630" s="225">
        <f t="shared" si="226"/>
        <v>100</v>
      </c>
      <c r="L1630" s="149"/>
      <c r="M1630" s="58"/>
      <c r="N1630" s="58"/>
      <c r="O1630" s="225"/>
      <c r="P1630" s="149"/>
      <c r="Q1630" s="58">
        <f t="shared" si="228"/>
        <v>4000</v>
      </c>
      <c r="R1630" s="58">
        <f t="shared" si="229"/>
        <v>4000</v>
      </c>
      <c r="S1630" s="244">
        <f t="shared" si="230"/>
        <v>100</v>
      </c>
    </row>
    <row r="1631" spans="2:19" ht="24" x14ac:dyDescent="0.2">
      <c r="B1631" s="66">
        <f t="shared" si="225"/>
        <v>13</v>
      </c>
      <c r="C1631" s="60"/>
      <c r="D1631" s="61"/>
      <c r="E1631" s="60"/>
      <c r="F1631" s="64"/>
      <c r="G1631" s="60"/>
      <c r="H1631" s="74" t="s">
        <v>548</v>
      </c>
      <c r="I1631" s="58">
        <v>133448</v>
      </c>
      <c r="J1631" s="58">
        <v>133448</v>
      </c>
      <c r="K1631" s="225">
        <f t="shared" si="226"/>
        <v>100</v>
      </c>
      <c r="L1631" s="149"/>
      <c r="M1631" s="58"/>
      <c r="N1631" s="58"/>
      <c r="O1631" s="225"/>
      <c r="P1631" s="149"/>
      <c r="Q1631" s="58">
        <f t="shared" si="228"/>
        <v>133448</v>
      </c>
      <c r="R1631" s="58">
        <f t="shared" si="229"/>
        <v>133448</v>
      </c>
      <c r="S1631" s="244">
        <f t="shared" si="230"/>
        <v>100</v>
      </c>
    </row>
    <row r="1632" spans="2:19" ht="24" x14ac:dyDescent="0.2">
      <c r="B1632" s="66">
        <f t="shared" si="225"/>
        <v>14</v>
      </c>
      <c r="C1632" s="60"/>
      <c r="D1632" s="61"/>
      <c r="E1632" s="60"/>
      <c r="F1632" s="64"/>
      <c r="G1632" s="60"/>
      <c r="H1632" s="74" t="s">
        <v>549</v>
      </c>
      <c r="I1632" s="58">
        <v>80274</v>
      </c>
      <c r="J1632" s="58">
        <v>80274</v>
      </c>
      <c r="K1632" s="225">
        <f t="shared" si="226"/>
        <v>100</v>
      </c>
      <c r="L1632" s="149"/>
      <c r="M1632" s="58"/>
      <c r="N1632" s="58"/>
      <c r="O1632" s="225"/>
      <c r="P1632" s="149"/>
      <c r="Q1632" s="58">
        <f t="shared" si="228"/>
        <v>80274</v>
      </c>
      <c r="R1632" s="58">
        <f t="shared" si="229"/>
        <v>80274</v>
      </c>
      <c r="S1632" s="244">
        <f t="shared" si="230"/>
        <v>100</v>
      </c>
    </row>
    <row r="1633" spans="2:19" ht="24" x14ac:dyDescent="0.2">
      <c r="B1633" s="66">
        <f t="shared" si="225"/>
        <v>15</v>
      </c>
      <c r="C1633" s="60"/>
      <c r="D1633" s="61"/>
      <c r="E1633" s="60"/>
      <c r="F1633" s="64"/>
      <c r="G1633" s="60"/>
      <c r="H1633" s="74" t="s">
        <v>550</v>
      </c>
      <c r="I1633" s="58">
        <v>33363</v>
      </c>
      <c r="J1633" s="58">
        <v>33363</v>
      </c>
      <c r="K1633" s="225">
        <f t="shared" si="226"/>
        <v>100</v>
      </c>
      <c r="L1633" s="149"/>
      <c r="M1633" s="58"/>
      <c r="N1633" s="58"/>
      <c r="O1633" s="225"/>
      <c r="P1633" s="149"/>
      <c r="Q1633" s="58">
        <f t="shared" si="228"/>
        <v>33363</v>
      </c>
      <c r="R1633" s="58">
        <f t="shared" si="229"/>
        <v>33363</v>
      </c>
      <c r="S1633" s="244">
        <f t="shared" si="230"/>
        <v>100</v>
      </c>
    </row>
    <row r="1634" spans="2:19" ht="24" x14ac:dyDescent="0.2">
      <c r="B1634" s="66">
        <f t="shared" si="225"/>
        <v>16</v>
      </c>
      <c r="C1634" s="60"/>
      <c r="D1634" s="61"/>
      <c r="E1634" s="60"/>
      <c r="F1634" s="64"/>
      <c r="G1634" s="60"/>
      <c r="H1634" s="74" t="s">
        <v>551</v>
      </c>
      <c r="I1634" s="58">
        <v>18349</v>
      </c>
      <c r="J1634" s="58">
        <v>18349</v>
      </c>
      <c r="K1634" s="225">
        <f t="shared" si="226"/>
        <v>100</v>
      </c>
      <c r="L1634" s="149"/>
      <c r="M1634" s="58"/>
      <c r="N1634" s="58"/>
      <c r="O1634" s="225"/>
      <c r="P1634" s="149"/>
      <c r="Q1634" s="58">
        <f t="shared" si="228"/>
        <v>18349</v>
      </c>
      <c r="R1634" s="58">
        <f t="shared" si="229"/>
        <v>18349</v>
      </c>
      <c r="S1634" s="244">
        <f t="shared" si="230"/>
        <v>100</v>
      </c>
    </row>
    <row r="1635" spans="2:19" ht="24" x14ac:dyDescent="0.2">
      <c r="B1635" s="66">
        <f t="shared" si="225"/>
        <v>17</v>
      </c>
      <c r="C1635" s="60"/>
      <c r="D1635" s="61"/>
      <c r="E1635" s="60"/>
      <c r="F1635" s="64"/>
      <c r="G1635" s="60"/>
      <c r="H1635" s="157" t="s">
        <v>670</v>
      </c>
      <c r="I1635" s="134">
        <v>2500</v>
      </c>
      <c r="J1635" s="134">
        <v>0</v>
      </c>
      <c r="K1635" s="225">
        <f t="shared" si="226"/>
        <v>0</v>
      </c>
      <c r="L1635" s="149"/>
      <c r="M1635" s="134"/>
      <c r="N1635" s="134"/>
      <c r="O1635" s="225"/>
      <c r="P1635" s="149"/>
      <c r="Q1635" s="134">
        <f t="shared" si="228"/>
        <v>2500</v>
      </c>
      <c r="R1635" s="134">
        <f t="shared" si="229"/>
        <v>0</v>
      </c>
      <c r="S1635" s="244">
        <f t="shared" si="230"/>
        <v>0</v>
      </c>
    </row>
    <row r="1636" spans="2:19" ht="24" x14ac:dyDescent="0.2">
      <c r="B1636" s="66">
        <f t="shared" si="225"/>
        <v>18</v>
      </c>
      <c r="C1636" s="60"/>
      <c r="D1636" s="61"/>
      <c r="E1636" s="60"/>
      <c r="F1636" s="64"/>
      <c r="G1636" s="60"/>
      <c r="H1636" s="164" t="s">
        <v>685</v>
      </c>
      <c r="I1636" s="149">
        <v>2500</v>
      </c>
      <c r="J1636" s="149">
        <v>0</v>
      </c>
      <c r="K1636" s="225">
        <f t="shared" si="226"/>
        <v>0</v>
      </c>
      <c r="L1636" s="149"/>
      <c r="M1636" s="149"/>
      <c r="N1636" s="149"/>
      <c r="O1636" s="225"/>
      <c r="P1636" s="149"/>
      <c r="Q1636" s="149">
        <f t="shared" si="228"/>
        <v>2500</v>
      </c>
      <c r="R1636" s="149">
        <f t="shared" si="229"/>
        <v>0</v>
      </c>
      <c r="S1636" s="244">
        <f t="shared" si="230"/>
        <v>0</v>
      </c>
    </row>
    <row r="1637" spans="2:19" ht="15" x14ac:dyDescent="0.2">
      <c r="B1637" s="66">
        <f t="shared" si="225"/>
        <v>19</v>
      </c>
      <c r="C1637" s="166">
        <v>3</v>
      </c>
      <c r="D1637" s="302" t="s">
        <v>210</v>
      </c>
      <c r="E1637" s="303"/>
      <c r="F1637" s="303"/>
      <c r="G1637" s="303"/>
      <c r="H1637" s="303"/>
      <c r="I1637" s="38">
        <f>I1692+I1673+I1653+I1642+I1638</f>
        <v>1231800</v>
      </c>
      <c r="J1637" s="38">
        <f>J1692+J1673+J1653+J1642+J1638</f>
        <v>664367</v>
      </c>
      <c r="K1637" s="225">
        <f t="shared" si="226"/>
        <v>53.93464848189641</v>
      </c>
      <c r="L1637" s="173"/>
      <c r="M1637" s="38">
        <f>M1692+M1673+M1653+M1642+M1638</f>
        <v>968755</v>
      </c>
      <c r="N1637" s="38">
        <f>N1692+N1673+N1653+N1642+N1638</f>
        <v>46680</v>
      </c>
      <c r="O1637" s="225">
        <f t="shared" si="227"/>
        <v>4.8185557751959989</v>
      </c>
      <c r="P1637" s="173"/>
      <c r="Q1637" s="38">
        <f t="shared" si="228"/>
        <v>2200555</v>
      </c>
      <c r="R1637" s="38">
        <f t="shared" si="229"/>
        <v>711047</v>
      </c>
      <c r="S1637" s="244">
        <f t="shared" si="230"/>
        <v>32.312166703399825</v>
      </c>
    </row>
    <row r="1638" spans="2:19" ht="15" x14ac:dyDescent="0.25">
      <c r="B1638" s="66">
        <f t="shared" si="225"/>
        <v>20</v>
      </c>
      <c r="C1638" s="165"/>
      <c r="D1638" s="165">
        <v>1</v>
      </c>
      <c r="E1638" s="340" t="s">
        <v>209</v>
      </c>
      <c r="F1638" s="303"/>
      <c r="G1638" s="303"/>
      <c r="H1638" s="303"/>
      <c r="I1638" s="39">
        <f>I1639</f>
        <v>160750</v>
      </c>
      <c r="J1638" s="39">
        <f>J1639</f>
        <v>120544</v>
      </c>
      <c r="K1638" s="225">
        <f t="shared" si="226"/>
        <v>74.98849144634525</v>
      </c>
      <c r="L1638" s="174"/>
      <c r="M1638" s="39">
        <f>M1639</f>
        <v>0</v>
      </c>
      <c r="N1638" s="39">
        <f>N1639</f>
        <v>0</v>
      </c>
      <c r="O1638" s="225"/>
      <c r="P1638" s="174"/>
      <c r="Q1638" s="39">
        <f t="shared" si="228"/>
        <v>160750</v>
      </c>
      <c r="R1638" s="39">
        <f t="shared" si="229"/>
        <v>120544</v>
      </c>
      <c r="S1638" s="244">
        <f t="shared" si="230"/>
        <v>74.98849144634525</v>
      </c>
    </row>
    <row r="1639" spans="2:19" x14ac:dyDescent="0.2">
      <c r="B1639" s="66">
        <f t="shared" si="225"/>
        <v>21</v>
      </c>
      <c r="C1639" s="11"/>
      <c r="D1639" s="11"/>
      <c r="E1639" s="11"/>
      <c r="F1639" s="45" t="s">
        <v>188</v>
      </c>
      <c r="G1639" s="11">
        <v>630</v>
      </c>
      <c r="H1639" s="11" t="s">
        <v>127</v>
      </c>
      <c r="I1639" s="42">
        <f>I1640+I1641</f>
        <v>160750</v>
      </c>
      <c r="J1639" s="42">
        <f>J1640+J1641</f>
        <v>120544</v>
      </c>
      <c r="K1639" s="225">
        <f t="shared" si="226"/>
        <v>74.98849144634525</v>
      </c>
      <c r="L1639" s="114"/>
      <c r="M1639" s="42">
        <v>0</v>
      </c>
      <c r="N1639" s="42"/>
      <c r="O1639" s="225"/>
      <c r="P1639" s="114"/>
      <c r="Q1639" s="42">
        <f t="shared" si="228"/>
        <v>160750</v>
      </c>
      <c r="R1639" s="42">
        <f t="shared" si="229"/>
        <v>120544</v>
      </c>
      <c r="S1639" s="244">
        <f t="shared" si="230"/>
        <v>74.98849144634525</v>
      </c>
    </row>
    <row r="1640" spans="2:19" x14ac:dyDescent="0.2">
      <c r="B1640" s="66">
        <f t="shared" si="225"/>
        <v>22</v>
      </c>
      <c r="C1640" s="2"/>
      <c r="D1640" s="2"/>
      <c r="E1640" s="2"/>
      <c r="F1640" s="46" t="s">
        <v>188</v>
      </c>
      <c r="G1640" s="2">
        <v>636</v>
      </c>
      <c r="H1640" s="2" t="s">
        <v>132</v>
      </c>
      <c r="I1640" s="22">
        <v>159950</v>
      </c>
      <c r="J1640" s="22">
        <v>119963</v>
      </c>
      <c r="K1640" s="225">
        <f t="shared" si="226"/>
        <v>75.000312597686786</v>
      </c>
      <c r="L1640" s="68"/>
      <c r="M1640" s="22"/>
      <c r="N1640" s="22"/>
      <c r="O1640" s="225"/>
      <c r="P1640" s="68"/>
      <c r="Q1640" s="22">
        <f t="shared" si="228"/>
        <v>159950</v>
      </c>
      <c r="R1640" s="22">
        <f t="shared" si="229"/>
        <v>119963</v>
      </c>
      <c r="S1640" s="244">
        <f t="shared" si="230"/>
        <v>75.000312597686786</v>
      </c>
    </row>
    <row r="1641" spans="2:19" x14ac:dyDescent="0.2">
      <c r="B1641" s="66">
        <f t="shared" si="225"/>
        <v>23</v>
      </c>
      <c r="C1641" s="2"/>
      <c r="D1641" s="2"/>
      <c r="E1641" s="2"/>
      <c r="F1641" s="46" t="s">
        <v>188</v>
      </c>
      <c r="G1641" s="2">
        <v>637</v>
      </c>
      <c r="H1641" s="2" t="s">
        <v>128</v>
      </c>
      <c r="I1641" s="22">
        <v>800</v>
      </c>
      <c r="J1641" s="22">
        <v>581</v>
      </c>
      <c r="K1641" s="225">
        <f t="shared" si="226"/>
        <v>72.625</v>
      </c>
      <c r="L1641" s="68"/>
      <c r="M1641" s="22"/>
      <c r="N1641" s="22"/>
      <c r="O1641" s="225"/>
      <c r="P1641" s="68"/>
      <c r="Q1641" s="22">
        <f t="shared" si="228"/>
        <v>800</v>
      </c>
      <c r="R1641" s="22">
        <f t="shared" si="229"/>
        <v>581</v>
      </c>
      <c r="S1641" s="244">
        <f t="shared" si="230"/>
        <v>72.625</v>
      </c>
    </row>
    <row r="1642" spans="2:19" ht="15" x14ac:dyDescent="0.25">
      <c r="B1642" s="66">
        <f t="shared" si="225"/>
        <v>24</v>
      </c>
      <c r="C1642" s="165"/>
      <c r="D1642" s="165">
        <v>2</v>
      </c>
      <c r="E1642" s="340" t="s">
        <v>211</v>
      </c>
      <c r="F1642" s="303"/>
      <c r="G1642" s="303"/>
      <c r="H1642" s="303"/>
      <c r="I1642" s="39">
        <f>I1643+I1649</f>
        <v>204280</v>
      </c>
      <c r="J1642" s="39">
        <f>J1643+J1649</f>
        <v>152621</v>
      </c>
      <c r="K1642" s="225">
        <f t="shared" si="226"/>
        <v>74.711670256510672</v>
      </c>
      <c r="L1642" s="174"/>
      <c r="M1642" s="39">
        <f>M1643+M1649</f>
        <v>19000</v>
      </c>
      <c r="N1642" s="39">
        <f>N1643+N1649</f>
        <v>0</v>
      </c>
      <c r="O1642" s="225">
        <f t="shared" si="227"/>
        <v>0</v>
      </c>
      <c r="P1642" s="174"/>
      <c r="Q1642" s="39">
        <f t="shared" si="228"/>
        <v>223280</v>
      </c>
      <c r="R1642" s="39">
        <f t="shared" si="229"/>
        <v>152621</v>
      </c>
      <c r="S1642" s="244">
        <f t="shared" si="230"/>
        <v>68.354084557506269</v>
      </c>
    </row>
    <row r="1643" spans="2:19" x14ac:dyDescent="0.2">
      <c r="B1643" s="66">
        <f t="shared" si="225"/>
        <v>25</v>
      </c>
      <c r="C1643" s="11"/>
      <c r="D1643" s="11"/>
      <c r="E1643" s="11"/>
      <c r="F1643" s="45" t="s">
        <v>188</v>
      </c>
      <c r="G1643" s="11">
        <v>630</v>
      </c>
      <c r="H1643" s="11" t="s">
        <v>127</v>
      </c>
      <c r="I1643" s="42">
        <f>I1648+I1647+I1644</f>
        <v>204280</v>
      </c>
      <c r="J1643" s="42">
        <f>J1648+J1647+J1644</f>
        <v>152621</v>
      </c>
      <c r="K1643" s="225">
        <f t="shared" si="226"/>
        <v>74.711670256510672</v>
      </c>
      <c r="L1643" s="114"/>
      <c r="M1643" s="42">
        <f>M1648+M1647+M1644</f>
        <v>0</v>
      </c>
      <c r="N1643" s="42">
        <f>N1648+N1647+N1644</f>
        <v>0</v>
      </c>
      <c r="O1643" s="225"/>
      <c r="P1643" s="114"/>
      <c r="Q1643" s="42">
        <f t="shared" si="228"/>
        <v>204280</v>
      </c>
      <c r="R1643" s="42">
        <f t="shared" si="229"/>
        <v>152621</v>
      </c>
      <c r="S1643" s="244">
        <f t="shared" si="230"/>
        <v>74.711670256510672</v>
      </c>
    </row>
    <row r="1644" spans="2:19" x14ac:dyDescent="0.2">
      <c r="B1644" s="66">
        <f t="shared" si="225"/>
        <v>26</v>
      </c>
      <c r="C1644" s="2"/>
      <c r="D1644" s="2"/>
      <c r="E1644" s="2"/>
      <c r="F1644" s="46" t="s">
        <v>188</v>
      </c>
      <c r="G1644" s="2">
        <v>632</v>
      </c>
      <c r="H1644" s="2" t="s">
        <v>138</v>
      </c>
      <c r="I1644" s="22">
        <f>I1645+I1646</f>
        <v>3200</v>
      </c>
      <c r="J1644" s="22">
        <f>J1645+J1646</f>
        <v>1846</v>
      </c>
      <c r="K1644" s="225">
        <f t="shared" si="226"/>
        <v>57.6875</v>
      </c>
      <c r="L1644" s="68"/>
      <c r="M1644" s="22"/>
      <c r="N1644" s="22"/>
      <c r="O1644" s="225"/>
      <c r="P1644" s="68"/>
      <c r="Q1644" s="22">
        <f t="shared" si="228"/>
        <v>3200</v>
      </c>
      <c r="R1644" s="22">
        <f t="shared" si="229"/>
        <v>1846</v>
      </c>
      <c r="S1644" s="244">
        <f t="shared" si="230"/>
        <v>57.6875</v>
      </c>
    </row>
    <row r="1645" spans="2:19" x14ac:dyDescent="0.2">
      <c r="B1645" s="66">
        <f t="shared" si="225"/>
        <v>27</v>
      </c>
      <c r="C1645" s="2"/>
      <c r="D1645" s="2"/>
      <c r="E1645" s="2"/>
      <c r="F1645" s="46"/>
      <c r="G1645" s="2"/>
      <c r="H1645" s="2" t="s">
        <v>276</v>
      </c>
      <c r="I1645" s="22">
        <v>1000</v>
      </c>
      <c r="J1645" s="22">
        <v>766</v>
      </c>
      <c r="K1645" s="225">
        <f t="shared" si="226"/>
        <v>76.599999999999994</v>
      </c>
      <c r="L1645" s="68"/>
      <c r="M1645" s="22"/>
      <c r="N1645" s="22"/>
      <c r="O1645" s="225"/>
      <c r="P1645" s="68"/>
      <c r="Q1645" s="22">
        <f t="shared" si="228"/>
        <v>1000</v>
      </c>
      <c r="R1645" s="22">
        <f t="shared" si="229"/>
        <v>766</v>
      </c>
      <c r="S1645" s="244">
        <f t="shared" si="230"/>
        <v>76.599999999999994</v>
      </c>
    </row>
    <row r="1646" spans="2:19" x14ac:dyDescent="0.2">
      <c r="B1646" s="67">
        <f t="shared" si="225"/>
        <v>28</v>
      </c>
      <c r="C1646" s="2"/>
      <c r="D1646" s="2"/>
      <c r="E1646" s="2"/>
      <c r="F1646" s="46"/>
      <c r="G1646" s="2"/>
      <c r="H1646" s="2" t="s">
        <v>355</v>
      </c>
      <c r="I1646" s="22">
        <v>2200</v>
      </c>
      <c r="J1646" s="22">
        <v>1080</v>
      </c>
      <c r="K1646" s="225">
        <f t="shared" si="226"/>
        <v>49.090909090909093</v>
      </c>
      <c r="L1646" s="68"/>
      <c r="M1646" s="22"/>
      <c r="N1646" s="22"/>
      <c r="O1646" s="225"/>
      <c r="P1646" s="68"/>
      <c r="Q1646" s="22">
        <f t="shared" si="228"/>
        <v>2200</v>
      </c>
      <c r="R1646" s="22">
        <f t="shared" si="229"/>
        <v>1080</v>
      </c>
      <c r="S1646" s="244">
        <f t="shared" si="230"/>
        <v>49.090909090909093</v>
      </c>
    </row>
    <row r="1647" spans="2:19" x14ac:dyDescent="0.2">
      <c r="B1647" s="67">
        <f t="shared" si="225"/>
        <v>29</v>
      </c>
      <c r="C1647" s="2"/>
      <c r="D1647" s="2"/>
      <c r="E1647" s="2"/>
      <c r="F1647" s="46" t="s">
        <v>188</v>
      </c>
      <c r="G1647" s="2">
        <v>636</v>
      </c>
      <c r="H1647" s="2" t="s">
        <v>132</v>
      </c>
      <c r="I1647" s="51">
        <f>40000+160000</f>
        <v>200000</v>
      </c>
      <c r="J1647" s="51">
        <v>150000</v>
      </c>
      <c r="K1647" s="225">
        <f t="shared" si="226"/>
        <v>75</v>
      </c>
      <c r="L1647" s="68"/>
      <c r="M1647" s="22"/>
      <c r="N1647" s="22"/>
      <c r="O1647" s="225"/>
      <c r="P1647" s="68"/>
      <c r="Q1647" s="22">
        <f t="shared" si="228"/>
        <v>200000</v>
      </c>
      <c r="R1647" s="22">
        <f t="shared" si="229"/>
        <v>150000</v>
      </c>
      <c r="S1647" s="244">
        <f t="shared" si="230"/>
        <v>75</v>
      </c>
    </row>
    <row r="1648" spans="2:19" x14ac:dyDescent="0.2">
      <c r="B1648" s="67">
        <f t="shared" si="225"/>
        <v>30</v>
      </c>
      <c r="C1648" s="2"/>
      <c r="D1648" s="2"/>
      <c r="E1648" s="2"/>
      <c r="F1648" s="46" t="s">
        <v>188</v>
      </c>
      <c r="G1648" s="2">
        <v>637</v>
      </c>
      <c r="H1648" s="2" t="s">
        <v>128</v>
      </c>
      <c r="I1648" s="22">
        <v>1080</v>
      </c>
      <c r="J1648" s="22">
        <v>775</v>
      </c>
      <c r="K1648" s="225">
        <f t="shared" si="226"/>
        <v>71.759259259259252</v>
      </c>
      <c r="L1648" s="68"/>
      <c r="M1648" s="22"/>
      <c r="N1648" s="22"/>
      <c r="O1648" s="225"/>
      <c r="P1648" s="68"/>
      <c r="Q1648" s="22">
        <f t="shared" si="228"/>
        <v>1080</v>
      </c>
      <c r="R1648" s="22">
        <f t="shared" si="229"/>
        <v>775</v>
      </c>
      <c r="S1648" s="244">
        <f t="shared" si="230"/>
        <v>71.759259259259252</v>
      </c>
    </row>
    <row r="1649" spans="2:19" x14ac:dyDescent="0.2">
      <c r="B1649" s="67">
        <f t="shared" si="225"/>
        <v>31</v>
      </c>
      <c r="C1649" s="11"/>
      <c r="D1649" s="11"/>
      <c r="E1649" s="11"/>
      <c r="F1649" s="45" t="s">
        <v>188</v>
      </c>
      <c r="G1649" s="11">
        <v>710</v>
      </c>
      <c r="H1649" s="11" t="s">
        <v>183</v>
      </c>
      <c r="I1649" s="42">
        <f>I1650</f>
        <v>0</v>
      </c>
      <c r="J1649" s="42">
        <f>J1650</f>
        <v>0</v>
      </c>
      <c r="K1649" s="225"/>
      <c r="L1649" s="114"/>
      <c r="M1649" s="42">
        <f>M1650</f>
        <v>19000</v>
      </c>
      <c r="N1649" s="42">
        <f>N1650</f>
        <v>0</v>
      </c>
      <c r="O1649" s="225">
        <f t="shared" si="227"/>
        <v>0</v>
      </c>
      <c r="P1649" s="114"/>
      <c r="Q1649" s="42">
        <f t="shared" si="228"/>
        <v>19000</v>
      </c>
      <c r="R1649" s="42">
        <f t="shared" si="229"/>
        <v>0</v>
      </c>
      <c r="S1649" s="244">
        <f t="shared" si="230"/>
        <v>0</v>
      </c>
    </row>
    <row r="1650" spans="2:19" x14ac:dyDescent="0.2">
      <c r="B1650" s="67">
        <f t="shared" si="225"/>
        <v>32</v>
      </c>
      <c r="C1650" s="2"/>
      <c r="D1650" s="2"/>
      <c r="E1650" s="2"/>
      <c r="F1650" s="77" t="s">
        <v>188</v>
      </c>
      <c r="G1650" s="78">
        <v>717</v>
      </c>
      <c r="H1650" s="78" t="s">
        <v>193</v>
      </c>
      <c r="I1650" s="79"/>
      <c r="J1650" s="79"/>
      <c r="K1650" s="225"/>
      <c r="L1650" s="68"/>
      <c r="M1650" s="79">
        <f>SUM(M1651:M1652)</f>
        <v>19000</v>
      </c>
      <c r="N1650" s="79">
        <f>SUM(N1651:N1652)</f>
        <v>0</v>
      </c>
      <c r="O1650" s="225">
        <f t="shared" si="227"/>
        <v>0</v>
      </c>
      <c r="P1650" s="68"/>
      <c r="Q1650" s="79">
        <f t="shared" si="228"/>
        <v>19000</v>
      </c>
      <c r="R1650" s="79">
        <f t="shared" si="229"/>
        <v>0</v>
      </c>
      <c r="S1650" s="244">
        <f t="shared" si="230"/>
        <v>0</v>
      </c>
    </row>
    <row r="1651" spans="2:19" x14ac:dyDescent="0.2">
      <c r="B1651" s="67">
        <f t="shared" si="225"/>
        <v>33</v>
      </c>
      <c r="C1651" s="2"/>
      <c r="D1651" s="2"/>
      <c r="E1651" s="2"/>
      <c r="F1651" s="46"/>
      <c r="G1651" s="2"/>
      <c r="H1651" s="2" t="s">
        <v>448</v>
      </c>
      <c r="I1651" s="22"/>
      <c r="J1651" s="22"/>
      <c r="K1651" s="225"/>
      <c r="L1651" s="68"/>
      <c r="M1651" s="22">
        <v>11500</v>
      </c>
      <c r="N1651" s="22">
        <v>0</v>
      </c>
      <c r="O1651" s="225">
        <f t="shared" si="227"/>
        <v>0</v>
      </c>
      <c r="P1651" s="68"/>
      <c r="Q1651" s="22">
        <f t="shared" si="228"/>
        <v>11500</v>
      </c>
      <c r="R1651" s="22">
        <f t="shared" si="229"/>
        <v>0</v>
      </c>
      <c r="S1651" s="244">
        <f t="shared" si="230"/>
        <v>0</v>
      </c>
    </row>
    <row r="1652" spans="2:19" x14ac:dyDescent="0.2">
      <c r="B1652" s="67">
        <f t="shared" si="225"/>
        <v>34</v>
      </c>
      <c r="C1652" s="2"/>
      <c r="D1652" s="2"/>
      <c r="E1652" s="2"/>
      <c r="F1652" s="46"/>
      <c r="G1652" s="2"/>
      <c r="H1652" s="2" t="s">
        <v>496</v>
      </c>
      <c r="I1652" s="22"/>
      <c r="J1652" s="22"/>
      <c r="K1652" s="225"/>
      <c r="L1652" s="68"/>
      <c r="M1652" s="22">
        <v>7500</v>
      </c>
      <c r="N1652" s="22">
        <v>0</v>
      </c>
      <c r="O1652" s="225">
        <f t="shared" si="227"/>
        <v>0</v>
      </c>
      <c r="P1652" s="68"/>
      <c r="Q1652" s="22">
        <f t="shared" si="228"/>
        <v>7500</v>
      </c>
      <c r="R1652" s="22">
        <f t="shared" si="229"/>
        <v>0</v>
      </c>
      <c r="S1652" s="244">
        <f t="shared" si="230"/>
        <v>0</v>
      </c>
    </row>
    <row r="1653" spans="2:19" ht="15" x14ac:dyDescent="0.25">
      <c r="B1653" s="67">
        <f t="shared" si="225"/>
        <v>35</v>
      </c>
      <c r="C1653" s="165"/>
      <c r="D1653" s="165">
        <v>3</v>
      </c>
      <c r="E1653" s="340" t="s">
        <v>212</v>
      </c>
      <c r="F1653" s="303"/>
      <c r="G1653" s="303"/>
      <c r="H1653" s="303"/>
      <c r="I1653" s="39">
        <f>I1654+I1656+I1663</f>
        <v>395505</v>
      </c>
      <c r="J1653" s="39">
        <f>J1654+J1656+J1663</f>
        <v>200736</v>
      </c>
      <c r="K1653" s="225">
        <f t="shared" si="226"/>
        <v>50.754352030947778</v>
      </c>
      <c r="L1653" s="174"/>
      <c r="M1653" s="39">
        <f>M1654+M1656+M1663</f>
        <v>281000</v>
      </c>
      <c r="N1653" s="39">
        <f>N1654+N1656+N1663</f>
        <v>45700</v>
      </c>
      <c r="O1653" s="225">
        <f t="shared" si="227"/>
        <v>16.263345195729535</v>
      </c>
      <c r="P1653" s="174"/>
      <c r="Q1653" s="39">
        <f t="shared" si="228"/>
        <v>676505</v>
      </c>
      <c r="R1653" s="39">
        <f t="shared" si="229"/>
        <v>246436</v>
      </c>
      <c r="S1653" s="244">
        <f t="shared" si="230"/>
        <v>36.427816498030317</v>
      </c>
    </row>
    <row r="1654" spans="2:19" x14ac:dyDescent="0.2">
      <c r="B1654" s="67">
        <f t="shared" si="225"/>
        <v>36</v>
      </c>
      <c r="C1654" s="11"/>
      <c r="D1654" s="11"/>
      <c r="E1654" s="11"/>
      <c r="F1654" s="45" t="s">
        <v>188</v>
      </c>
      <c r="G1654" s="11">
        <v>630</v>
      </c>
      <c r="H1654" s="11" t="s">
        <v>127</v>
      </c>
      <c r="I1654" s="42">
        <f>I1655</f>
        <v>2670</v>
      </c>
      <c r="J1654" s="42">
        <f>J1655</f>
        <v>1974</v>
      </c>
      <c r="K1654" s="225">
        <f t="shared" si="226"/>
        <v>73.932584269662925</v>
      </c>
      <c r="L1654" s="114"/>
      <c r="M1654" s="42">
        <f>M1655</f>
        <v>0</v>
      </c>
      <c r="N1654" s="42">
        <f>N1655</f>
        <v>0</v>
      </c>
      <c r="O1654" s="225"/>
      <c r="P1654" s="114"/>
      <c r="Q1654" s="42">
        <f t="shared" si="228"/>
        <v>2670</v>
      </c>
      <c r="R1654" s="42">
        <f t="shared" si="229"/>
        <v>1974</v>
      </c>
      <c r="S1654" s="244">
        <f t="shared" si="230"/>
        <v>73.932584269662925</v>
      </c>
    </row>
    <row r="1655" spans="2:19" x14ac:dyDescent="0.2">
      <c r="B1655" s="67">
        <f t="shared" si="225"/>
        <v>37</v>
      </c>
      <c r="C1655" s="2"/>
      <c r="D1655" s="2"/>
      <c r="E1655" s="2"/>
      <c r="F1655" s="46" t="s">
        <v>188</v>
      </c>
      <c r="G1655" s="2">
        <v>637</v>
      </c>
      <c r="H1655" s="2" t="s">
        <v>128</v>
      </c>
      <c r="I1655" s="22">
        <v>2670</v>
      </c>
      <c r="J1655" s="22">
        <v>1974</v>
      </c>
      <c r="K1655" s="225">
        <f t="shared" si="226"/>
        <v>73.932584269662925</v>
      </c>
      <c r="L1655" s="68"/>
      <c r="M1655" s="22"/>
      <c r="N1655" s="22"/>
      <c r="O1655" s="225"/>
      <c r="P1655" s="68"/>
      <c r="Q1655" s="22">
        <f t="shared" si="228"/>
        <v>2670</v>
      </c>
      <c r="R1655" s="22">
        <f t="shared" si="229"/>
        <v>1974</v>
      </c>
      <c r="S1655" s="244">
        <f t="shared" si="230"/>
        <v>73.932584269662925</v>
      </c>
    </row>
    <row r="1656" spans="2:19" x14ac:dyDescent="0.2">
      <c r="B1656" s="67">
        <f t="shared" si="225"/>
        <v>38</v>
      </c>
      <c r="C1656" s="11"/>
      <c r="D1656" s="11"/>
      <c r="E1656" s="11"/>
      <c r="F1656" s="45" t="s">
        <v>188</v>
      </c>
      <c r="G1656" s="11">
        <v>710</v>
      </c>
      <c r="H1656" s="11" t="s">
        <v>183</v>
      </c>
      <c r="I1656" s="42">
        <v>0</v>
      </c>
      <c r="J1656" s="42">
        <v>0</v>
      </c>
      <c r="K1656" s="225"/>
      <c r="L1656" s="114"/>
      <c r="M1656" s="42">
        <f>M1657+M1660</f>
        <v>281000</v>
      </c>
      <c r="N1656" s="42">
        <f>N1657+N1660</f>
        <v>45700</v>
      </c>
      <c r="O1656" s="225">
        <f t="shared" si="227"/>
        <v>16.263345195729535</v>
      </c>
      <c r="P1656" s="114"/>
      <c r="Q1656" s="42">
        <f t="shared" si="228"/>
        <v>281000</v>
      </c>
      <c r="R1656" s="42">
        <f t="shared" si="229"/>
        <v>45700</v>
      </c>
      <c r="S1656" s="244">
        <f t="shared" si="230"/>
        <v>16.263345195729535</v>
      </c>
    </row>
    <row r="1657" spans="2:19" x14ac:dyDescent="0.2">
      <c r="B1657" s="67">
        <f t="shared" si="225"/>
        <v>39</v>
      </c>
      <c r="C1657" s="11"/>
      <c r="D1657" s="11"/>
      <c r="E1657" s="11"/>
      <c r="F1657" s="77" t="s">
        <v>188</v>
      </c>
      <c r="G1657" s="78">
        <v>716</v>
      </c>
      <c r="H1657" s="78" t="s">
        <v>0</v>
      </c>
      <c r="I1657" s="79"/>
      <c r="J1657" s="79"/>
      <c r="K1657" s="225"/>
      <c r="L1657" s="68"/>
      <c r="M1657" s="79">
        <f>M1658+M1659</f>
        <v>3800</v>
      </c>
      <c r="N1657" s="79">
        <f>N1658+N1659</f>
        <v>3800</v>
      </c>
      <c r="O1657" s="225">
        <f t="shared" si="227"/>
        <v>100</v>
      </c>
      <c r="P1657" s="68"/>
      <c r="Q1657" s="79">
        <f t="shared" si="228"/>
        <v>3800</v>
      </c>
      <c r="R1657" s="79">
        <f t="shared" si="229"/>
        <v>3800</v>
      </c>
      <c r="S1657" s="244">
        <f t="shared" si="230"/>
        <v>100</v>
      </c>
    </row>
    <row r="1658" spans="2:19" x14ac:dyDescent="0.2">
      <c r="B1658" s="67">
        <f t="shared" si="225"/>
        <v>40</v>
      </c>
      <c r="C1658" s="11"/>
      <c r="D1658" s="11"/>
      <c r="E1658" s="11"/>
      <c r="F1658" s="45"/>
      <c r="G1658" s="11"/>
      <c r="H1658" s="2" t="s">
        <v>465</v>
      </c>
      <c r="I1658" s="42"/>
      <c r="J1658" s="42"/>
      <c r="K1658" s="225"/>
      <c r="L1658" s="114"/>
      <c r="M1658" s="51">
        <v>2000</v>
      </c>
      <c r="N1658" s="51">
        <v>2000</v>
      </c>
      <c r="O1658" s="225">
        <f t="shared" si="227"/>
        <v>100</v>
      </c>
      <c r="P1658" s="68"/>
      <c r="Q1658" s="51">
        <f t="shared" si="228"/>
        <v>2000</v>
      </c>
      <c r="R1658" s="51">
        <f t="shared" si="229"/>
        <v>2000</v>
      </c>
      <c r="S1658" s="244">
        <f t="shared" si="230"/>
        <v>100</v>
      </c>
    </row>
    <row r="1659" spans="2:19" ht="12.75" customHeight="1" x14ac:dyDescent="0.2">
      <c r="B1659" s="67">
        <f t="shared" si="225"/>
        <v>41</v>
      </c>
      <c r="C1659" s="11"/>
      <c r="D1659" s="11"/>
      <c r="E1659" s="11"/>
      <c r="F1659" s="45"/>
      <c r="G1659" s="11"/>
      <c r="H1659" s="2" t="s">
        <v>514</v>
      </c>
      <c r="I1659" s="42"/>
      <c r="J1659" s="42"/>
      <c r="K1659" s="225"/>
      <c r="L1659" s="114"/>
      <c r="M1659" s="51">
        <v>1800</v>
      </c>
      <c r="N1659" s="51">
        <v>1800</v>
      </c>
      <c r="O1659" s="225">
        <f t="shared" si="227"/>
        <v>100</v>
      </c>
      <c r="P1659" s="68"/>
      <c r="Q1659" s="51">
        <f t="shared" si="228"/>
        <v>1800</v>
      </c>
      <c r="R1659" s="51">
        <f t="shared" si="229"/>
        <v>1800</v>
      </c>
      <c r="S1659" s="244">
        <f t="shared" si="230"/>
        <v>100</v>
      </c>
    </row>
    <row r="1660" spans="2:19" ht="18" customHeight="1" x14ac:dyDescent="0.2">
      <c r="B1660" s="67">
        <f t="shared" si="225"/>
        <v>42</v>
      </c>
      <c r="C1660" s="2"/>
      <c r="D1660" s="2"/>
      <c r="E1660" s="2"/>
      <c r="F1660" s="77" t="s">
        <v>188</v>
      </c>
      <c r="G1660" s="78">
        <v>717</v>
      </c>
      <c r="H1660" s="78" t="s">
        <v>193</v>
      </c>
      <c r="I1660" s="79"/>
      <c r="J1660" s="79"/>
      <c r="K1660" s="225"/>
      <c r="L1660" s="68"/>
      <c r="M1660" s="79">
        <f>SUM(M1661:M1662)</f>
        <v>277200</v>
      </c>
      <c r="N1660" s="79">
        <f>SUM(N1661:N1662)</f>
        <v>41900</v>
      </c>
      <c r="O1660" s="225">
        <f t="shared" si="227"/>
        <v>15.115440115440116</v>
      </c>
      <c r="P1660" s="68"/>
      <c r="Q1660" s="79">
        <f t="shared" si="228"/>
        <v>277200</v>
      </c>
      <c r="R1660" s="79">
        <f t="shared" si="229"/>
        <v>41900</v>
      </c>
      <c r="S1660" s="244">
        <f t="shared" si="230"/>
        <v>15.115440115440116</v>
      </c>
    </row>
    <row r="1661" spans="2:19" x14ac:dyDescent="0.2">
      <c r="B1661" s="67">
        <f t="shared" si="225"/>
        <v>43</v>
      </c>
      <c r="C1661" s="2"/>
      <c r="D1661" s="2"/>
      <c r="E1661" s="2"/>
      <c r="F1661" s="46"/>
      <c r="G1661" s="2"/>
      <c r="H1661" s="2" t="s">
        <v>640</v>
      </c>
      <c r="I1661" s="22"/>
      <c r="J1661" s="22"/>
      <c r="K1661" s="225"/>
      <c r="L1661" s="68"/>
      <c r="M1661" s="22">
        <f>200000-1800+34000</f>
        <v>232200</v>
      </c>
      <c r="N1661" s="22"/>
      <c r="O1661" s="225">
        <f t="shared" si="227"/>
        <v>0</v>
      </c>
      <c r="P1661" s="68"/>
      <c r="Q1661" s="22">
        <f t="shared" si="228"/>
        <v>232200</v>
      </c>
      <c r="R1661" s="22">
        <f t="shared" si="229"/>
        <v>0</v>
      </c>
      <c r="S1661" s="244">
        <f t="shared" si="230"/>
        <v>0</v>
      </c>
    </row>
    <row r="1662" spans="2:19" ht="19.5" customHeight="1" x14ac:dyDescent="0.2">
      <c r="B1662" s="67">
        <f t="shared" si="225"/>
        <v>44</v>
      </c>
      <c r="C1662" s="2"/>
      <c r="D1662" s="2"/>
      <c r="E1662" s="2"/>
      <c r="F1662" s="46"/>
      <c r="G1662" s="2"/>
      <c r="H1662" s="2" t="s">
        <v>465</v>
      </c>
      <c r="I1662" s="22"/>
      <c r="J1662" s="22"/>
      <c r="K1662" s="225"/>
      <c r="L1662" s="68"/>
      <c r="M1662" s="22">
        <f>55000-2000-8000</f>
        <v>45000</v>
      </c>
      <c r="N1662" s="22">
        <v>41900</v>
      </c>
      <c r="O1662" s="225">
        <f t="shared" si="227"/>
        <v>93.111111111111114</v>
      </c>
      <c r="P1662" s="68"/>
      <c r="Q1662" s="22">
        <f t="shared" si="228"/>
        <v>45000</v>
      </c>
      <c r="R1662" s="22">
        <f t="shared" si="229"/>
        <v>41900</v>
      </c>
      <c r="S1662" s="244">
        <f t="shared" si="230"/>
        <v>93.111111111111114</v>
      </c>
    </row>
    <row r="1663" spans="2:19" ht="15" x14ac:dyDescent="0.25">
      <c r="B1663" s="67">
        <f t="shared" si="225"/>
        <v>45</v>
      </c>
      <c r="C1663" s="14"/>
      <c r="D1663" s="14"/>
      <c r="E1663" s="14">
        <v>2</v>
      </c>
      <c r="F1663" s="43"/>
      <c r="G1663" s="14"/>
      <c r="H1663" s="14" t="s">
        <v>255</v>
      </c>
      <c r="I1663" s="40">
        <f>I1664+I1665+I1666+I1672</f>
        <v>392835</v>
      </c>
      <c r="J1663" s="40">
        <f>J1664+J1665+J1666+J1672</f>
        <v>198762</v>
      </c>
      <c r="K1663" s="225">
        <f t="shared" si="226"/>
        <v>50.596815456871205</v>
      </c>
      <c r="L1663" s="175"/>
      <c r="M1663" s="40">
        <f>M1664+M1665+M1666+M1672</f>
        <v>0</v>
      </c>
      <c r="N1663" s="40">
        <f>N1664+N1665+N1666+N1672</f>
        <v>0</v>
      </c>
      <c r="O1663" s="225"/>
      <c r="P1663" s="175"/>
      <c r="Q1663" s="40">
        <f t="shared" si="228"/>
        <v>392835</v>
      </c>
      <c r="R1663" s="40">
        <f t="shared" si="229"/>
        <v>198762</v>
      </c>
      <c r="S1663" s="244">
        <f t="shared" si="230"/>
        <v>50.596815456871205</v>
      </c>
    </row>
    <row r="1664" spans="2:19" x14ac:dyDescent="0.2">
      <c r="B1664" s="67">
        <f t="shared" si="225"/>
        <v>46</v>
      </c>
      <c r="C1664" s="11"/>
      <c r="D1664" s="11"/>
      <c r="E1664" s="11"/>
      <c r="F1664" s="45" t="s">
        <v>188</v>
      </c>
      <c r="G1664" s="11">
        <v>610</v>
      </c>
      <c r="H1664" s="11" t="s">
        <v>135</v>
      </c>
      <c r="I1664" s="42">
        <v>96000</v>
      </c>
      <c r="J1664" s="42">
        <v>45918</v>
      </c>
      <c r="K1664" s="225">
        <f t="shared" si="226"/>
        <v>47.831249999999997</v>
      </c>
      <c r="L1664" s="114"/>
      <c r="M1664" s="42"/>
      <c r="N1664" s="42"/>
      <c r="O1664" s="225"/>
      <c r="P1664" s="114"/>
      <c r="Q1664" s="42">
        <f t="shared" si="228"/>
        <v>96000</v>
      </c>
      <c r="R1664" s="42">
        <f t="shared" si="229"/>
        <v>45918</v>
      </c>
      <c r="S1664" s="244">
        <f t="shared" si="230"/>
        <v>47.831249999999997</v>
      </c>
    </row>
    <row r="1665" spans="1:19" x14ac:dyDescent="0.2">
      <c r="B1665" s="67">
        <f t="shared" si="225"/>
        <v>47</v>
      </c>
      <c r="C1665" s="11"/>
      <c r="D1665" s="11"/>
      <c r="E1665" s="11"/>
      <c r="F1665" s="45" t="s">
        <v>188</v>
      </c>
      <c r="G1665" s="11">
        <v>620</v>
      </c>
      <c r="H1665" s="11" t="s">
        <v>130</v>
      </c>
      <c r="I1665" s="42">
        <v>34145</v>
      </c>
      <c r="J1665" s="42">
        <v>15720</v>
      </c>
      <c r="K1665" s="225">
        <f t="shared" si="226"/>
        <v>46.038951530238684</v>
      </c>
      <c r="L1665" s="114"/>
      <c r="M1665" s="42"/>
      <c r="N1665" s="42"/>
      <c r="O1665" s="225"/>
      <c r="P1665" s="114"/>
      <c r="Q1665" s="42">
        <f t="shared" si="228"/>
        <v>34145</v>
      </c>
      <c r="R1665" s="42">
        <f t="shared" si="229"/>
        <v>15720</v>
      </c>
      <c r="S1665" s="244">
        <f t="shared" si="230"/>
        <v>46.038951530238684</v>
      </c>
    </row>
    <row r="1666" spans="1:19" x14ac:dyDescent="0.2">
      <c r="B1666" s="67">
        <f t="shared" si="225"/>
        <v>48</v>
      </c>
      <c r="C1666" s="11"/>
      <c r="D1666" s="11"/>
      <c r="E1666" s="11"/>
      <c r="F1666" s="45" t="s">
        <v>188</v>
      </c>
      <c r="G1666" s="11">
        <v>630</v>
      </c>
      <c r="H1666" s="11" t="s">
        <v>127</v>
      </c>
      <c r="I1666" s="42">
        <f>SUM(I1667:I1671)</f>
        <v>262440</v>
      </c>
      <c r="J1666" s="42">
        <f>SUM(J1667:J1671)</f>
        <v>136905</v>
      </c>
      <c r="K1666" s="225">
        <f t="shared" si="226"/>
        <v>52.166209419295839</v>
      </c>
      <c r="L1666" s="114"/>
      <c r="M1666" s="42">
        <f>SUM(M1667:M1671)</f>
        <v>0</v>
      </c>
      <c r="N1666" s="42">
        <f>SUM(N1667:N1671)</f>
        <v>0</v>
      </c>
      <c r="O1666" s="225"/>
      <c r="P1666" s="114"/>
      <c r="Q1666" s="42">
        <f t="shared" si="228"/>
        <v>262440</v>
      </c>
      <c r="R1666" s="42">
        <f t="shared" si="229"/>
        <v>136905</v>
      </c>
      <c r="S1666" s="244">
        <f t="shared" si="230"/>
        <v>52.166209419295839</v>
      </c>
    </row>
    <row r="1667" spans="1:19" x14ac:dyDescent="0.2">
      <c r="B1667" s="67">
        <f t="shared" si="225"/>
        <v>49</v>
      </c>
      <c r="C1667" s="2"/>
      <c r="D1667" s="2"/>
      <c r="E1667" s="2"/>
      <c r="F1667" s="46" t="s">
        <v>188</v>
      </c>
      <c r="G1667" s="2">
        <v>632</v>
      </c>
      <c r="H1667" s="2" t="s">
        <v>138</v>
      </c>
      <c r="I1667" s="22">
        <v>206470</v>
      </c>
      <c r="J1667" s="22">
        <v>113568</v>
      </c>
      <c r="K1667" s="225">
        <f t="shared" si="226"/>
        <v>55.004601152709839</v>
      </c>
      <c r="L1667" s="68"/>
      <c r="M1667" s="22"/>
      <c r="N1667" s="22"/>
      <c r="O1667" s="225"/>
      <c r="P1667" s="68"/>
      <c r="Q1667" s="22">
        <f t="shared" si="228"/>
        <v>206470</v>
      </c>
      <c r="R1667" s="22">
        <f t="shared" si="229"/>
        <v>113568</v>
      </c>
      <c r="S1667" s="244">
        <f t="shared" si="230"/>
        <v>55.004601152709839</v>
      </c>
    </row>
    <row r="1668" spans="1:19" x14ac:dyDescent="0.2">
      <c r="B1668" s="67">
        <f t="shared" si="225"/>
        <v>50</v>
      </c>
      <c r="C1668" s="2"/>
      <c r="D1668" s="2"/>
      <c r="E1668" s="2"/>
      <c r="F1668" s="46" t="s">
        <v>188</v>
      </c>
      <c r="G1668" s="2">
        <v>633</v>
      </c>
      <c r="H1668" s="2" t="s">
        <v>131</v>
      </c>
      <c r="I1668" s="22">
        <v>12200</v>
      </c>
      <c r="J1668" s="22">
        <v>5150</v>
      </c>
      <c r="K1668" s="225">
        <f t="shared" si="226"/>
        <v>42.213114754098363</v>
      </c>
      <c r="L1668" s="68"/>
      <c r="M1668" s="22"/>
      <c r="N1668" s="22"/>
      <c r="O1668" s="225"/>
      <c r="P1668" s="68"/>
      <c r="Q1668" s="22">
        <f t="shared" si="228"/>
        <v>12200</v>
      </c>
      <c r="R1668" s="22">
        <f t="shared" si="229"/>
        <v>5150</v>
      </c>
      <c r="S1668" s="244">
        <f t="shared" si="230"/>
        <v>42.213114754098363</v>
      </c>
    </row>
    <row r="1669" spans="1:19" x14ac:dyDescent="0.2">
      <c r="B1669" s="67">
        <f t="shared" si="225"/>
        <v>51</v>
      </c>
      <c r="C1669" s="2"/>
      <c r="D1669" s="2"/>
      <c r="E1669" s="2"/>
      <c r="F1669" s="46" t="s">
        <v>188</v>
      </c>
      <c r="G1669" s="2">
        <v>635</v>
      </c>
      <c r="H1669" s="2" t="s">
        <v>137</v>
      </c>
      <c r="I1669" s="22">
        <f>10000-150</f>
        <v>9850</v>
      </c>
      <c r="J1669" s="22">
        <v>2505</v>
      </c>
      <c r="K1669" s="225">
        <f t="shared" si="226"/>
        <v>25.431472081218274</v>
      </c>
      <c r="L1669" s="68"/>
      <c r="M1669" s="22"/>
      <c r="N1669" s="22"/>
      <c r="O1669" s="225"/>
      <c r="P1669" s="68"/>
      <c r="Q1669" s="22">
        <f t="shared" si="228"/>
        <v>9850</v>
      </c>
      <c r="R1669" s="22">
        <f t="shared" si="229"/>
        <v>2505</v>
      </c>
      <c r="S1669" s="244">
        <f t="shared" si="230"/>
        <v>25.431472081218274</v>
      </c>
    </row>
    <row r="1670" spans="1:19" x14ac:dyDescent="0.2">
      <c r="B1670" s="67">
        <f t="shared" si="225"/>
        <v>52</v>
      </c>
      <c r="C1670" s="2"/>
      <c r="D1670" s="2"/>
      <c r="E1670" s="2"/>
      <c r="F1670" s="46" t="s">
        <v>188</v>
      </c>
      <c r="G1670" s="2">
        <v>636</v>
      </c>
      <c r="H1670" s="2" t="s">
        <v>132</v>
      </c>
      <c r="I1670" s="22">
        <v>200</v>
      </c>
      <c r="J1670" s="22">
        <v>20</v>
      </c>
      <c r="K1670" s="225">
        <f t="shared" si="226"/>
        <v>10</v>
      </c>
      <c r="L1670" s="68"/>
      <c r="M1670" s="22"/>
      <c r="N1670" s="22"/>
      <c r="O1670" s="225"/>
      <c r="P1670" s="68"/>
      <c r="Q1670" s="22">
        <f t="shared" si="228"/>
        <v>200</v>
      </c>
      <c r="R1670" s="22">
        <f t="shared" si="229"/>
        <v>20</v>
      </c>
      <c r="S1670" s="244">
        <f t="shared" si="230"/>
        <v>10</v>
      </c>
    </row>
    <row r="1671" spans="1:19" x14ac:dyDescent="0.2">
      <c r="B1671" s="67">
        <f t="shared" si="225"/>
        <v>53</v>
      </c>
      <c r="C1671" s="2"/>
      <c r="D1671" s="2"/>
      <c r="E1671" s="2"/>
      <c r="F1671" s="46" t="s">
        <v>188</v>
      </c>
      <c r="G1671" s="2">
        <v>637</v>
      </c>
      <c r="H1671" s="2" t="s">
        <v>128</v>
      </c>
      <c r="I1671" s="22">
        <f>33200+520</f>
        <v>33720</v>
      </c>
      <c r="J1671" s="22">
        <v>15662</v>
      </c>
      <c r="K1671" s="225">
        <f t="shared" si="226"/>
        <v>46.447212336892051</v>
      </c>
      <c r="L1671" s="68"/>
      <c r="M1671" s="22"/>
      <c r="N1671" s="22"/>
      <c r="O1671" s="225"/>
      <c r="P1671" s="68"/>
      <c r="Q1671" s="22">
        <f t="shared" si="228"/>
        <v>33720</v>
      </c>
      <c r="R1671" s="22">
        <f t="shared" si="229"/>
        <v>15662</v>
      </c>
      <c r="S1671" s="244">
        <f t="shared" si="230"/>
        <v>46.447212336892051</v>
      </c>
    </row>
    <row r="1672" spans="1:19" s="63" customFormat="1" x14ac:dyDescent="0.2">
      <c r="A1672" s="59"/>
      <c r="B1672" s="67">
        <f t="shared" si="225"/>
        <v>54</v>
      </c>
      <c r="C1672" s="11"/>
      <c r="D1672" s="11"/>
      <c r="E1672" s="11"/>
      <c r="F1672" s="45" t="s">
        <v>188</v>
      </c>
      <c r="G1672" s="11">
        <v>640</v>
      </c>
      <c r="H1672" s="11" t="s">
        <v>134</v>
      </c>
      <c r="I1672" s="42">
        <f>100+150</f>
        <v>250</v>
      </c>
      <c r="J1672" s="42">
        <v>219</v>
      </c>
      <c r="K1672" s="225">
        <f t="shared" si="226"/>
        <v>87.6</v>
      </c>
      <c r="L1672" s="114"/>
      <c r="M1672" s="42"/>
      <c r="N1672" s="42"/>
      <c r="O1672" s="225"/>
      <c r="P1672" s="114"/>
      <c r="Q1672" s="42">
        <f t="shared" si="228"/>
        <v>250</v>
      </c>
      <c r="R1672" s="42">
        <f t="shared" si="229"/>
        <v>219</v>
      </c>
      <c r="S1672" s="244">
        <f t="shared" si="230"/>
        <v>87.6</v>
      </c>
    </row>
    <row r="1673" spans="1:19" s="63" customFormat="1" ht="15" x14ac:dyDescent="0.25">
      <c r="A1673" s="59"/>
      <c r="B1673" s="67">
        <f t="shared" si="225"/>
        <v>55</v>
      </c>
      <c r="C1673" s="165"/>
      <c r="D1673" s="165">
        <v>4</v>
      </c>
      <c r="E1673" s="340" t="s">
        <v>213</v>
      </c>
      <c r="F1673" s="303"/>
      <c r="G1673" s="303"/>
      <c r="H1673" s="303"/>
      <c r="I1673" s="39">
        <f>I1674+I1677+I1683</f>
        <v>471265</v>
      </c>
      <c r="J1673" s="39">
        <f>J1674+J1677+J1683</f>
        <v>190466</v>
      </c>
      <c r="K1673" s="225">
        <f t="shared" si="226"/>
        <v>40.415901881107231</v>
      </c>
      <c r="L1673" s="174"/>
      <c r="M1673" s="39">
        <f>M1674+M1677+M1683</f>
        <v>668755</v>
      </c>
      <c r="N1673" s="39">
        <f>N1674+N1677+N1683</f>
        <v>980</v>
      </c>
      <c r="O1673" s="225">
        <f t="shared" si="227"/>
        <v>0.14654096044141726</v>
      </c>
      <c r="P1673" s="174"/>
      <c r="Q1673" s="39">
        <f t="shared" si="228"/>
        <v>1140020</v>
      </c>
      <c r="R1673" s="39">
        <f t="shared" si="229"/>
        <v>191446</v>
      </c>
      <c r="S1673" s="244">
        <f t="shared" si="230"/>
        <v>16.793214154137647</v>
      </c>
    </row>
    <row r="1674" spans="1:19" s="63" customFormat="1" x14ac:dyDescent="0.2">
      <c r="A1674" s="59"/>
      <c r="B1674" s="67">
        <f t="shared" si="225"/>
        <v>56</v>
      </c>
      <c r="C1674" s="11"/>
      <c r="D1674" s="11"/>
      <c r="E1674" s="11"/>
      <c r="F1674" s="45" t="s">
        <v>188</v>
      </c>
      <c r="G1674" s="11">
        <v>630</v>
      </c>
      <c r="H1674" s="11" t="s">
        <v>127</v>
      </c>
      <c r="I1674" s="42">
        <f>I1676+I1675</f>
        <v>3760</v>
      </c>
      <c r="J1674" s="42">
        <f>J1676+J1675</f>
        <v>2247</v>
      </c>
      <c r="K1674" s="225">
        <f t="shared" si="226"/>
        <v>59.76063829787234</v>
      </c>
      <c r="L1674" s="114"/>
      <c r="M1674" s="42">
        <f>M1676</f>
        <v>0</v>
      </c>
      <c r="N1674" s="42">
        <f>N1676</f>
        <v>0</v>
      </c>
      <c r="O1674" s="225"/>
      <c r="P1674" s="114"/>
      <c r="Q1674" s="42">
        <f t="shared" si="228"/>
        <v>3760</v>
      </c>
      <c r="R1674" s="42">
        <f t="shared" si="229"/>
        <v>2247</v>
      </c>
      <c r="S1674" s="244">
        <f t="shared" si="230"/>
        <v>59.76063829787234</v>
      </c>
    </row>
    <row r="1675" spans="1:19" x14ac:dyDescent="0.2">
      <c r="B1675" s="67">
        <f t="shared" si="225"/>
        <v>57</v>
      </c>
      <c r="C1675" s="11"/>
      <c r="D1675" s="11"/>
      <c r="E1675" s="11"/>
      <c r="F1675" s="46" t="s">
        <v>188</v>
      </c>
      <c r="G1675" s="2">
        <v>632</v>
      </c>
      <c r="H1675" s="2" t="s">
        <v>138</v>
      </c>
      <c r="I1675" s="22">
        <f>800+700</f>
        <v>1500</v>
      </c>
      <c r="J1675" s="22">
        <v>883</v>
      </c>
      <c r="K1675" s="225">
        <f t="shared" si="226"/>
        <v>58.866666666666667</v>
      </c>
      <c r="L1675" s="68"/>
      <c r="M1675" s="22"/>
      <c r="N1675" s="22"/>
      <c r="O1675" s="225"/>
      <c r="P1675" s="68"/>
      <c r="Q1675" s="22">
        <f t="shared" si="228"/>
        <v>1500</v>
      </c>
      <c r="R1675" s="22">
        <f t="shared" si="229"/>
        <v>883</v>
      </c>
      <c r="S1675" s="244">
        <f t="shared" si="230"/>
        <v>58.866666666666667</v>
      </c>
    </row>
    <row r="1676" spans="1:19" x14ac:dyDescent="0.2">
      <c r="B1676" s="67">
        <f t="shared" si="225"/>
        <v>58</v>
      </c>
      <c r="C1676" s="2"/>
      <c r="D1676" s="2"/>
      <c r="E1676" s="2"/>
      <c r="F1676" s="46" t="s">
        <v>188</v>
      </c>
      <c r="G1676" s="2">
        <v>637</v>
      </c>
      <c r="H1676" s="2" t="s">
        <v>128</v>
      </c>
      <c r="I1676" s="22">
        <f>2260+700-700</f>
        <v>2260</v>
      </c>
      <c r="J1676" s="22">
        <v>1364</v>
      </c>
      <c r="K1676" s="225">
        <f t="shared" si="226"/>
        <v>60.353982300884958</v>
      </c>
      <c r="L1676" s="68"/>
      <c r="M1676" s="22"/>
      <c r="N1676" s="22"/>
      <c r="O1676" s="225"/>
      <c r="P1676" s="68"/>
      <c r="Q1676" s="22">
        <f t="shared" si="228"/>
        <v>2260</v>
      </c>
      <c r="R1676" s="22">
        <f t="shared" si="229"/>
        <v>1364</v>
      </c>
      <c r="S1676" s="244">
        <f t="shared" si="230"/>
        <v>60.353982300884958</v>
      </c>
    </row>
    <row r="1677" spans="1:19" x14ac:dyDescent="0.2">
      <c r="B1677" s="67">
        <f t="shared" si="225"/>
        <v>59</v>
      </c>
      <c r="C1677" s="11"/>
      <c r="D1677" s="11"/>
      <c r="E1677" s="11"/>
      <c r="F1677" s="45" t="s">
        <v>188</v>
      </c>
      <c r="G1677" s="11">
        <v>710</v>
      </c>
      <c r="H1677" s="11" t="s">
        <v>183</v>
      </c>
      <c r="I1677" s="42">
        <v>0</v>
      </c>
      <c r="J1677" s="42"/>
      <c r="K1677" s="225"/>
      <c r="L1677" s="114"/>
      <c r="M1677" s="42">
        <f>M1678+M1680</f>
        <v>668755</v>
      </c>
      <c r="N1677" s="42">
        <f>N1678+N1680</f>
        <v>980</v>
      </c>
      <c r="O1677" s="225">
        <f t="shared" si="227"/>
        <v>0.14654096044141726</v>
      </c>
      <c r="P1677" s="114"/>
      <c r="Q1677" s="42">
        <f t="shared" si="228"/>
        <v>668755</v>
      </c>
      <c r="R1677" s="42">
        <f t="shared" si="229"/>
        <v>980</v>
      </c>
      <c r="S1677" s="244">
        <f t="shared" si="230"/>
        <v>0.14654096044141726</v>
      </c>
    </row>
    <row r="1678" spans="1:19" x14ac:dyDescent="0.2">
      <c r="B1678" s="67">
        <f t="shared" si="225"/>
        <v>60</v>
      </c>
      <c r="C1678" s="11"/>
      <c r="D1678" s="11"/>
      <c r="E1678" s="11"/>
      <c r="F1678" s="77" t="s">
        <v>188</v>
      </c>
      <c r="G1678" s="78">
        <v>716</v>
      </c>
      <c r="H1678" s="78" t="s">
        <v>0</v>
      </c>
      <c r="I1678" s="79"/>
      <c r="J1678" s="79"/>
      <c r="K1678" s="225"/>
      <c r="L1678" s="68"/>
      <c r="M1678" s="79">
        <f>M1679</f>
        <v>1000</v>
      </c>
      <c r="N1678" s="79">
        <f>N1679</f>
        <v>980</v>
      </c>
      <c r="O1678" s="225">
        <f t="shared" si="227"/>
        <v>98</v>
      </c>
      <c r="P1678" s="68"/>
      <c r="Q1678" s="79">
        <f t="shared" si="228"/>
        <v>1000</v>
      </c>
      <c r="R1678" s="79">
        <f t="shared" si="229"/>
        <v>980</v>
      </c>
      <c r="S1678" s="244">
        <f t="shared" si="230"/>
        <v>98</v>
      </c>
    </row>
    <row r="1679" spans="1:19" ht="24" x14ac:dyDescent="0.2">
      <c r="B1679" s="67">
        <f t="shared" si="225"/>
        <v>61</v>
      </c>
      <c r="C1679" s="11"/>
      <c r="D1679" s="11"/>
      <c r="E1679" s="11"/>
      <c r="F1679" s="45"/>
      <c r="G1679" s="11"/>
      <c r="H1679" s="151" t="s">
        <v>649</v>
      </c>
      <c r="I1679" s="42"/>
      <c r="J1679" s="42"/>
      <c r="K1679" s="225"/>
      <c r="L1679" s="114"/>
      <c r="M1679" s="51">
        <v>1000</v>
      </c>
      <c r="N1679" s="51">
        <v>980</v>
      </c>
      <c r="O1679" s="225">
        <f t="shared" si="227"/>
        <v>98</v>
      </c>
      <c r="P1679" s="68"/>
      <c r="Q1679" s="51">
        <f>M1679</f>
        <v>1000</v>
      </c>
      <c r="R1679" s="51">
        <f t="shared" ref="R1679" si="231">N1679</f>
        <v>980</v>
      </c>
      <c r="S1679" s="244">
        <f t="shared" si="230"/>
        <v>98</v>
      </c>
    </row>
    <row r="1680" spans="1:19" x14ac:dyDescent="0.2">
      <c r="B1680" s="67">
        <f t="shared" si="225"/>
        <v>62</v>
      </c>
      <c r="C1680" s="2"/>
      <c r="D1680" s="2"/>
      <c r="E1680" s="2"/>
      <c r="F1680" s="77" t="s">
        <v>188</v>
      </c>
      <c r="G1680" s="78">
        <v>717</v>
      </c>
      <c r="H1680" s="78" t="s">
        <v>193</v>
      </c>
      <c r="I1680" s="79"/>
      <c r="J1680" s="79"/>
      <c r="K1680" s="225"/>
      <c r="L1680" s="68"/>
      <c r="M1680" s="79">
        <f>SUM(M1681:M1682)</f>
        <v>667755</v>
      </c>
      <c r="N1680" s="79">
        <f>SUM(N1681:N1682)</f>
        <v>0</v>
      </c>
      <c r="O1680" s="225">
        <f t="shared" si="227"/>
        <v>0</v>
      </c>
      <c r="P1680" s="68"/>
      <c r="Q1680" s="79">
        <f t="shared" si="228"/>
        <v>667755</v>
      </c>
      <c r="R1680" s="79">
        <f t="shared" ref="R1680:R1695" si="232">J1680+N1680</f>
        <v>0</v>
      </c>
      <c r="S1680" s="244">
        <f t="shared" si="230"/>
        <v>0</v>
      </c>
    </row>
    <row r="1681" spans="1:19" x14ac:dyDescent="0.2">
      <c r="B1681" s="67">
        <f t="shared" si="225"/>
        <v>63</v>
      </c>
      <c r="C1681" s="2"/>
      <c r="D1681" s="2"/>
      <c r="E1681" s="2"/>
      <c r="F1681" s="46"/>
      <c r="G1681" s="2"/>
      <c r="H1681" s="2" t="s">
        <v>467</v>
      </c>
      <c r="I1681" s="22"/>
      <c r="J1681" s="22"/>
      <c r="K1681" s="225"/>
      <c r="L1681" s="68"/>
      <c r="M1681" s="22">
        <f>130000-1500-1000</f>
        <v>127500</v>
      </c>
      <c r="N1681" s="22">
        <v>0</v>
      </c>
      <c r="O1681" s="225">
        <f t="shared" si="227"/>
        <v>0</v>
      </c>
      <c r="P1681" s="68"/>
      <c r="Q1681" s="22">
        <f t="shared" si="228"/>
        <v>127500</v>
      </c>
      <c r="R1681" s="22">
        <f t="shared" si="232"/>
        <v>0</v>
      </c>
      <c r="S1681" s="244">
        <f t="shared" si="230"/>
        <v>0</v>
      </c>
    </row>
    <row r="1682" spans="1:19" x14ac:dyDescent="0.2">
      <c r="B1682" s="67">
        <f t="shared" ref="B1682:B1716" si="233">B1681+1</f>
        <v>64</v>
      </c>
      <c r="C1682" s="2"/>
      <c r="D1682" s="2"/>
      <c r="E1682" s="2"/>
      <c r="F1682" s="46"/>
      <c r="G1682" s="2"/>
      <c r="H1682" s="2" t="s">
        <v>343</v>
      </c>
      <c r="I1682" s="22"/>
      <c r="J1682" s="22"/>
      <c r="K1682" s="225"/>
      <c r="L1682" s="68"/>
      <c r="M1682" s="22">
        <v>540255</v>
      </c>
      <c r="N1682" s="22">
        <v>0</v>
      </c>
      <c r="O1682" s="225">
        <f t="shared" ref="O1682:O1705" si="234">N1682/M1682*100</f>
        <v>0</v>
      </c>
      <c r="P1682" s="68"/>
      <c r="Q1682" s="22">
        <f t="shared" ref="Q1682:Q1716" si="235">I1682+M1682</f>
        <v>540255</v>
      </c>
      <c r="R1682" s="22">
        <f t="shared" si="232"/>
        <v>0</v>
      </c>
      <c r="S1682" s="244">
        <f t="shared" ref="S1682:S1716" si="236">R1682/Q1682*100</f>
        <v>0</v>
      </c>
    </row>
    <row r="1683" spans="1:19" ht="15" x14ac:dyDescent="0.25">
      <c r="B1683" s="67">
        <f t="shared" si="233"/>
        <v>65</v>
      </c>
      <c r="C1683" s="14"/>
      <c r="D1683" s="14"/>
      <c r="E1683" s="14">
        <v>2</v>
      </c>
      <c r="F1683" s="43"/>
      <c r="G1683" s="14"/>
      <c r="H1683" s="14" t="s">
        <v>255</v>
      </c>
      <c r="I1683" s="40">
        <f>I1684+I1685+I1686+I1691</f>
        <v>467505</v>
      </c>
      <c r="J1683" s="40">
        <f>J1684+J1685+J1686+J1691</f>
        <v>188219</v>
      </c>
      <c r="K1683" s="225">
        <f t="shared" ref="K1683:K1716" si="237">J1683/I1683*100</f>
        <v>40.260318071464475</v>
      </c>
      <c r="L1683" s="175"/>
      <c r="M1683" s="40">
        <v>0</v>
      </c>
      <c r="N1683" s="40">
        <v>0</v>
      </c>
      <c r="O1683" s="225"/>
      <c r="P1683" s="175"/>
      <c r="Q1683" s="40">
        <f t="shared" si="235"/>
        <v>467505</v>
      </c>
      <c r="R1683" s="40">
        <f t="shared" si="232"/>
        <v>188219</v>
      </c>
      <c r="S1683" s="244">
        <f t="shared" si="236"/>
        <v>40.260318071464475</v>
      </c>
    </row>
    <row r="1684" spans="1:19" x14ac:dyDescent="0.2">
      <c r="B1684" s="67">
        <f t="shared" si="233"/>
        <v>66</v>
      </c>
      <c r="C1684" s="11"/>
      <c r="D1684" s="11"/>
      <c r="E1684" s="11"/>
      <c r="F1684" s="45" t="s">
        <v>188</v>
      </c>
      <c r="G1684" s="11">
        <v>610</v>
      </c>
      <c r="H1684" s="11" t="s">
        <v>135</v>
      </c>
      <c r="I1684" s="42">
        <v>116000</v>
      </c>
      <c r="J1684" s="42">
        <v>57382</v>
      </c>
      <c r="K1684" s="225">
        <f t="shared" si="237"/>
        <v>49.467241379310344</v>
      </c>
      <c r="L1684" s="114"/>
      <c r="M1684" s="42"/>
      <c r="N1684" s="42"/>
      <c r="O1684" s="225"/>
      <c r="P1684" s="114"/>
      <c r="Q1684" s="42">
        <f t="shared" si="235"/>
        <v>116000</v>
      </c>
      <c r="R1684" s="42">
        <f t="shared" si="232"/>
        <v>57382</v>
      </c>
      <c r="S1684" s="244">
        <f t="shared" si="236"/>
        <v>49.467241379310344</v>
      </c>
    </row>
    <row r="1685" spans="1:19" x14ac:dyDescent="0.2">
      <c r="B1685" s="67">
        <f t="shared" si="233"/>
        <v>67</v>
      </c>
      <c r="C1685" s="11"/>
      <c r="D1685" s="11"/>
      <c r="E1685" s="11"/>
      <c r="F1685" s="45" t="s">
        <v>188</v>
      </c>
      <c r="G1685" s="11">
        <v>620</v>
      </c>
      <c r="H1685" s="11" t="s">
        <v>130</v>
      </c>
      <c r="I1685" s="42">
        <v>52500</v>
      </c>
      <c r="J1685" s="42">
        <v>20053</v>
      </c>
      <c r="K1685" s="225">
        <f t="shared" si="237"/>
        <v>38.19619047619048</v>
      </c>
      <c r="L1685" s="114"/>
      <c r="M1685" s="42"/>
      <c r="N1685" s="42"/>
      <c r="O1685" s="225"/>
      <c r="P1685" s="114"/>
      <c r="Q1685" s="42">
        <f t="shared" si="235"/>
        <v>52500</v>
      </c>
      <c r="R1685" s="42">
        <f t="shared" si="232"/>
        <v>20053</v>
      </c>
      <c r="S1685" s="244">
        <f t="shared" si="236"/>
        <v>38.19619047619048</v>
      </c>
    </row>
    <row r="1686" spans="1:19" x14ac:dyDescent="0.2">
      <c r="B1686" s="67">
        <f t="shared" si="233"/>
        <v>68</v>
      </c>
      <c r="C1686" s="11"/>
      <c r="D1686" s="11"/>
      <c r="E1686" s="11"/>
      <c r="F1686" s="45" t="s">
        <v>188</v>
      </c>
      <c r="G1686" s="11">
        <v>630</v>
      </c>
      <c r="H1686" s="11" t="s">
        <v>127</v>
      </c>
      <c r="I1686" s="42">
        <f>I1690+I1689+I1688+I1687</f>
        <v>298655</v>
      </c>
      <c r="J1686" s="42">
        <f>J1690+J1689+J1688+J1687</f>
        <v>110558</v>
      </c>
      <c r="K1686" s="225">
        <f t="shared" si="237"/>
        <v>37.018633540372669</v>
      </c>
      <c r="L1686" s="114"/>
      <c r="M1686" s="42">
        <v>0</v>
      </c>
      <c r="N1686" s="42">
        <v>0</v>
      </c>
      <c r="O1686" s="225"/>
      <c r="P1686" s="114"/>
      <c r="Q1686" s="42">
        <f t="shared" si="235"/>
        <v>298655</v>
      </c>
      <c r="R1686" s="42">
        <f t="shared" si="232"/>
        <v>110558</v>
      </c>
      <c r="S1686" s="244">
        <f t="shared" si="236"/>
        <v>37.018633540372669</v>
      </c>
    </row>
    <row r="1687" spans="1:19" x14ac:dyDescent="0.2">
      <c r="B1687" s="67">
        <f t="shared" si="233"/>
        <v>69</v>
      </c>
      <c r="C1687" s="2"/>
      <c r="D1687" s="2"/>
      <c r="E1687" s="2"/>
      <c r="F1687" s="46" t="s">
        <v>188</v>
      </c>
      <c r="G1687" s="2">
        <v>632</v>
      </c>
      <c r="H1687" s="2" t="s">
        <v>138</v>
      </c>
      <c r="I1687" s="22">
        <v>189000</v>
      </c>
      <c r="J1687" s="22">
        <v>86209</v>
      </c>
      <c r="K1687" s="225">
        <f t="shared" si="237"/>
        <v>45.613227513227514</v>
      </c>
      <c r="L1687" s="68"/>
      <c r="M1687" s="22"/>
      <c r="N1687" s="22"/>
      <c r="O1687" s="225"/>
      <c r="P1687" s="68"/>
      <c r="Q1687" s="22">
        <f t="shared" si="235"/>
        <v>189000</v>
      </c>
      <c r="R1687" s="22">
        <f t="shared" si="232"/>
        <v>86209</v>
      </c>
      <c r="S1687" s="244">
        <f t="shared" si="236"/>
        <v>45.613227513227514</v>
      </c>
    </row>
    <row r="1688" spans="1:19" s="63" customFormat="1" x14ac:dyDescent="0.2">
      <c r="A1688" s="59"/>
      <c r="B1688" s="67">
        <f t="shared" si="233"/>
        <v>70</v>
      </c>
      <c r="C1688" s="2"/>
      <c r="D1688" s="2"/>
      <c r="E1688" s="2"/>
      <c r="F1688" s="46" t="s">
        <v>188</v>
      </c>
      <c r="G1688" s="2">
        <v>633</v>
      </c>
      <c r="H1688" s="2" t="s">
        <v>131</v>
      </c>
      <c r="I1688" s="22">
        <v>33115</v>
      </c>
      <c r="J1688" s="22">
        <f>9713+814</f>
        <v>10527</v>
      </c>
      <c r="K1688" s="225">
        <f t="shared" si="237"/>
        <v>31.789219386984751</v>
      </c>
      <c r="L1688" s="68"/>
      <c r="M1688" s="22"/>
      <c r="N1688" s="22"/>
      <c r="O1688" s="225"/>
      <c r="P1688" s="68"/>
      <c r="Q1688" s="22">
        <f t="shared" si="235"/>
        <v>33115</v>
      </c>
      <c r="R1688" s="22">
        <f t="shared" si="232"/>
        <v>10527</v>
      </c>
      <c r="S1688" s="244">
        <f t="shared" si="236"/>
        <v>31.789219386984751</v>
      </c>
    </row>
    <row r="1689" spans="1:19" x14ac:dyDescent="0.2">
      <c r="B1689" s="67">
        <f t="shared" si="233"/>
        <v>71</v>
      </c>
      <c r="C1689" s="2"/>
      <c r="D1689" s="2"/>
      <c r="E1689" s="2"/>
      <c r="F1689" s="46" t="s">
        <v>188</v>
      </c>
      <c r="G1689" s="2">
        <v>635</v>
      </c>
      <c r="H1689" s="2" t="s">
        <v>137</v>
      </c>
      <c r="I1689" s="22">
        <f>26600-2500</f>
        <v>24100</v>
      </c>
      <c r="J1689" s="22">
        <f>3709+1630</f>
        <v>5339</v>
      </c>
      <c r="K1689" s="225">
        <f t="shared" si="237"/>
        <v>22.153526970954356</v>
      </c>
      <c r="L1689" s="68"/>
      <c r="M1689" s="22"/>
      <c r="N1689" s="22"/>
      <c r="O1689" s="225"/>
      <c r="P1689" s="68"/>
      <c r="Q1689" s="22">
        <f t="shared" si="235"/>
        <v>24100</v>
      </c>
      <c r="R1689" s="22">
        <f t="shared" si="232"/>
        <v>5339</v>
      </c>
      <c r="S1689" s="244">
        <f t="shared" si="236"/>
        <v>22.153526970954356</v>
      </c>
    </row>
    <row r="1690" spans="1:19" x14ac:dyDescent="0.2">
      <c r="B1690" s="67">
        <f t="shared" si="233"/>
        <v>72</v>
      </c>
      <c r="C1690" s="2"/>
      <c r="D1690" s="2"/>
      <c r="E1690" s="2"/>
      <c r="F1690" s="46" t="s">
        <v>188</v>
      </c>
      <c r="G1690" s="2">
        <v>637</v>
      </c>
      <c r="H1690" s="2" t="s">
        <v>128</v>
      </c>
      <c r="I1690" s="22">
        <f>49650+540+2250</f>
        <v>52440</v>
      </c>
      <c r="J1690" s="22">
        <v>8483</v>
      </c>
      <c r="K1690" s="225">
        <f t="shared" si="237"/>
        <v>16.176582761250955</v>
      </c>
      <c r="L1690" s="68"/>
      <c r="M1690" s="22"/>
      <c r="N1690" s="22"/>
      <c r="O1690" s="225"/>
      <c r="P1690" s="68"/>
      <c r="Q1690" s="22">
        <f t="shared" si="235"/>
        <v>52440</v>
      </c>
      <c r="R1690" s="22">
        <f t="shared" si="232"/>
        <v>8483</v>
      </c>
      <c r="S1690" s="244">
        <f t="shared" si="236"/>
        <v>16.176582761250955</v>
      </c>
    </row>
    <row r="1691" spans="1:19" x14ac:dyDescent="0.2">
      <c r="B1691" s="67">
        <f t="shared" si="233"/>
        <v>73</v>
      </c>
      <c r="C1691" s="11"/>
      <c r="D1691" s="11"/>
      <c r="E1691" s="11"/>
      <c r="F1691" s="45" t="s">
        <v>188</v>
      </c>
      <c r="G1691" s="11">
        <v>640</v>
      </c>
      <c r="H1691" s="11" t="s">
        <v>134</v>
      </c>
      <c r="I1691" s="42">
        <f>100+250</f>
        <v>350</v>
      </c>
      <c r="J1691" s="42">
        <v>226</v>
      </c>
      <c r="K1691" s="225">
        <f t="shared" si="237"/>
        <v>64.571428571428569</v>
      </c>
      <c r="L1691" s="114"/>
      <c r="M1691" s="42"/>
      <c r="N1691" s="42"/>
      <c r="O1691" s="225"/>
      <c r="P1691" s="114"/>
      <c r="Q1691" s="42">
        <f t="shared" si="235"/>
        <v>350</v>
      </c>
      <c r="R1691" s="42">
        <f t="shared" si="232"/>
        <v>226</v>
      </c>
      <c r="S1691" s="244">
        <f t="shared" si="236"/>
        <v>64.571428571428569</v>
      </c>
    </row>
    <row r="1692" spans="1:19" ht="15" x14ac:dyDescent="0.25">
      <c r="B1692" s="67">
        <f t="shared" si="233"/>
        <v>74</v>
      </c>
      <c r="C1692" s="165"/>
      <c r="D1692" s="165">
        <v>5</v>
      </c>
      <c r="E1692" s="340" t="s">
        <v>37</v>
      </c>
      <c r="F1692" s="303"/>
      <c r="G1692" s="303"/>
      <c r="H1692" s="303"/>
      <c r="I1692" s="39">
        <v>0</v>
      </c>
      <c r="J1692" s="39">
        <v>0</v>
      </c>
      <c r="K1692" s="225">
        <v>0</v>
      </c>
      <c r="L1692" s="174"/>
      <c r="M1692" s="39">
        <v>0</v>
      </c>
      <c r="N1692" s="39">
        <v>0</v>
      </c>
      <c r="O1692" s="225"/>
      <c r="P1692" s="174"/>
      <c r="Q1692" s="39">
        <f t="shared" si="235"/>
        <v>0</v>
      </c>
      <c r="R1692" s="39">
        <f t="shared" si="232"/>
        <v>0</v>
      </c>
      <c r="S1692" s="244"/>
    </row>
    <row r="1693" spans="1:19" ht="15" x14ac:dyDescent="0.2">
      <c r="B1693" s="67">
        <f t="shared" si="233"/>
        <v>75</v>
      </c>
      <c r="C1693" s="166">
        <v>4</v>
      </c>
      <c r="D1693" s="302" t="s">
        <v>59</v>
      </c>
      <c r="E1693" s="303"/>
      <c r="F1693" s="303"/>
      <c r="G1693" s="303"/>
      <c r="H1693" s="303"/>
      <c r="I1693" s="38">
        <f>I1694+I1706</f>
        <v>27000</v>
      </c>
      <c r="J1693" s="38">
        <f>J1694+J1706</f>
        <v>12064</v>
      </c>
      <c r="K1693" s="225">
        <f t="shared" si="237"/>
        <v>44.681481481481484</v>
      </c>
      <c r="L1693" s="173"/>
      <c r="M1693" s="38">
        <f>M1694+M1706</f>
        <v>143600</v>
      </c>
      <c r="N1693" s="38">
        <f>N1694+N1706</f>
        <v>0</v>
      </c>
      <c r="O1693" s="225">
        <f t="shared" si="234"/>
        <v>0</v>
      </c>
      <c r="P1693" s="173"/>
      <c r="Q1693" s="38">
        <f t="shared" si="235"/>
        <v>170600</v>
      </c>
      <c r="R1693" s="38">
        <f t="shared" si="232"/>
        <v>12064</v>
      </c>
      <c r="S1693" s="244">
        <f t="shared" si="236"/>
        <v>7.0715123094958958</v>
      </c>
    </row>
    <row r="1694" spans="1:19" x14ac:dyDescent="0.2">
      <c r="B1694" s="67">
        <f t="shared" si="233"/>
        <v>76</v>
      </c>
      <c r="C1694" s="11"/>
      <c r="D1694" s="11"/>
      <c r="E1694" s="11"/>
      <c r="F1694" s="45" t="s">
        <v>188</v>
      </c>
      <c r="G1694" s="11">
        <v>710</v>
      </c>
      <c r="H1694" s="11" t="s">
        <v>183</v>
      </c>
      <c r="I1694" s="42">
        <v>0</v>
      </c>
      <c r="J1694" s="42"/>
      <c r="K1694" s="225"/>
      <c r="L1694" s="114"/>
      <c r="M1694" s="42">
        <f>M1695+M1697+M1700</f>
        <v>143600</v>
      </c>
      <c r="N1694" s="42">
        <f>N1695+N1697+N1700</f>
        <v>0</v>
      </c>
      <c r="O1694" s="225">
        <f t="shared" si="234"/>
        <v>0</v>
      </c>
      <c r="P1694" s="114"/>
      <c r="Q1694" s="42">
        <f t="shared" si="235"/>
        <v>143600</v>
      </c>
      <c r="R1694" s="42">
        <f t="shared" si="232"/>
        <v>0</v>
      </c>
      <c r="S1694" s="244">
        <f t="shared" si="236"/>
        <v>0</v>
      </c>
    </row>
    <row r="1695" spans="1:19" x14ac:dyDescent="0.2">
      <c r="B1695" s="67">
        <f t="shared" si="233"/>
        <v>77</v>
      </c>
      <c r="C1695" s="11"/>
      <c r="D1695" s="11"/>
      <c r="E1695" s="11"/>
      <c r="F1695" s="77" t="s">
        <v>188</v>
      </c>
      <c r="G1695" s="78">
        <v>712</v>
      </c>
      <c r="H1695" s="78" t="s">
        <v>243</v>
      </c>
      <c r="I1695" s="79"/>
      <c r="J1695" s="79"/>
      <c r="K1695" s="225"/>
      <c r="L1695" s="68"/>
      <c r="M1695" s="79">
        <f>M1696</f>
        <v>40000</v>
      </c>
      <c r="N1695" s="79">
        <f>N1696</f>
        <v>0</v>
      </c>
      <c r="O1695" s="225">
        <f t="shared" si="234"/>
        <v>0</v>
      </c>
      <c r="P1695" s="68"/>
      <c r="Q1695" s="79">
        <f t="shared" si="235"/>
        <v>40000</v>
      </c>
      <c r="R1695" s="79">
        <f t="shared" si="232"/>
        <v>0</v>
      </c>
      <c r="S1695" s="244">
        <f t="shared" si="236"/>
        <v>0</v>
      </c>
    </row>
    <row r="1696" spans="1:19" x14ac:dyDescent="0.2">
      <c r="B1696" s="67">
        <f t="shared" si="233"/>
        <v>78</v>
      </c>
      <c r="C1696" s="11"/>
      <c r="D1696" s="11"/>
      <c r="E1696" s="11"/>
      <c r="F1696" s="45"/>
      <c r="G1696" s="11"/>
      <c r="H1696" s="53" t="s">
        <v>612</v>
      </c>
      <c r="I1696" s="42"/>
      <c r="J1696" s="42"/>
      <c r="K1696" s="225"/>
      <c r="L1696" s="114"/>
      <c r="M1696" s="51">
        <v>40000</v>
      </c>
      <c r="N1696" s="51">
        <v>0</v>
      </c>
      <c r="O1696" s="225">
        <f t="shared" si="234"/>
        <v>0</v>
      </c>
      <c r="P1696" s="68"/>
      <c r="Q1696" s="42"/>
      <c r="R1696" s="42"/>
      <c r="S1696" s="244">
        <v>0</v>
      </c>
    </row>
    <row r="1697" spans="2:19" x14ac:dyDescent="0.2">
      <c r="B1697" s="67">
        <f t="shared" si="233"/>
        <v>79</v>
      </c>
      <c r="C1697" s="11"/>
      <c r="D1697" s="11"/>
      <c r="E1697" s="11"/>
      <c r="F1697" s="77" t="s">
        <v>188</v>
      </c>
      <c r="G1697" s="78">
        <v>716</v>
      </c>
      <c r="H1697" s="78" t="s">
        <v>0</v>
      </c>
      <c r="I1697" s="79"/>
      <c r="J1697" s="79"/>
      <c r="K1697" s="225"/>
      <c r="L1697" s="68"/>
      <c r="M1697" s="79">
        <f>M1698+M1699</f>
        <v>3500</v>
      </c>
      <c r="N1697" s="79">
        <f>N1698+N1699</f>
        <v>0</v>
      </c>
      <c r="O1697" s="225">
        <f t="shared" si="234"/>
        <v>0</v>
      </c>
      <c r="P1697" s="68"/>
      <c r="Q1697" s="79">
        <f t="shared" ref="Q1697:Q1699" si="238">I1697+M1697</f>
        <v>3500</v>
      </c>
      <c r="R1697" s="79">
        <f t="shared" ref="R1697:R1701" si="239">J1697+N1697</f>
        <v>0</v>
      </c>
      <c r="S1697" s="244">
        <f t="shared" si="236"/>
        <v>0</v>
      </c>
    </row>
    <row r="1698" spans="2:19" ht="24" x14ac:dyDescent="0.2">
      <c r="B1698" s="67">
        <f t="shared" si="233"/>
        <v>80</v>
      </c>
      <c r="C1698" s="11"/>
      <c r="D1698" s="11"/>
      <c r="E1698" s="11"/>
      <c r="F1698" s="46"/>
      <c r="G1698" s="2"/>
      <c r="H1698" s="110" t="s">
        <v>555</v>
      </c>
      <c r="I1698" s="22"/>
      <c r="J1698" s="22"/>
      <c r="K1698" s="225"/>
      <c r="L1698" s="68"/>
      <c r="M1698" s="55">
        <v>3000</v>
      </c>
      <c r="N1698" s="55">
        <v>0</v>
      </c>
      <c r="O1698" s="225">
        <f t="shared" si="234"/>
        <v>0</v>
      </c>
      <c r="P1698" s="149"/>
      <c r="Q1698" s="55">
        <f t="shared" si="238"/>
        <v>3000</v>
      </c>
      <c r="R1698" s="55">
        <f t="shared" si="239"/>
        <v>0</v>
      </c>
      <c r="S1698" s="244">
        <f t="shared" si="236"/>
        <v>0</v>
      </c>
    </row>
    <row r="1699" spans="2:19" x14ac:dyDescent="0.2">
      <c r="B1699" s="67">
        <f t="shared" si="233"/>
        <v>81</v>
      </c>
      <c r="C1699" s="11"/>
      <c r="D1699" s="11"/>
      <c r="E1699" s="11"/>
      <c r="F1699" s="130" t="s">
        <v>188</v>
      </c>
      <c r="G1699" s="131">
        <v>716</v>
      </c>
      <c r="H1699" s="132" t="s">
        <v>572</v>
      </c>
      <c r="I1699" s="129"/>
      <c r="J1699" s="129"/>
      <c r="K1699" s="225"/>
      <c r="L1699" s="68"/>
      <c r="M1699" s="129">
        <v>500</v>
      </c>
      <c r="N1699" s="129">
        <v>0</v>
      </c>
      <c r="O1699" s="225">
        <f t="shared" si="234"/>
        <v>0</v>
      </c>
      <c r="P1699" s="68"/>
      <c r="Q1699" s="129">
        <f t="shared" si="238"/>
        <v>500</v>
      </c>
      <c r="R1699" s="129">
        <f t="shared" si="239"/>
        <v>0</v>
      </c>
      <c r="S1699" s="244">
        <f t="shared" si="236"/>
        <v>0</v>
      </c>
    </row>
    <row r="1700" spans="2:19" x14ac:dyDescent="0.2">
      <c r="B1700" s="67">
        <f t="shared" si="233"/>
        <v>82</v>
      </c>
      <c r="C1700" s="2"/>
      <c r="D1700" s="2"/>
      <c r="E1700" s="2"/>
      <c r="F1700" s="77" t="s">
        <v>188</v>
      </c>
      <c r="G1700" s="78">
        <v>717</v>
      </c>
      <c r="H1700" s="78" t="s">
        <v>193</v>
      </c>
      <c r="I1700" s="79"/>
      <c r="J1700" s="79"/>
      <c r="K1700" s="225"/>
      <c r="L1700" s="68"/>
      <c r="M1700" s="79">
        <f>SUM(M1701:M1705)</f>
        <v>100100</v>
      </c>
      <c r="N1700" s="79">
        <f>SUM(N1701:N1705)</f>
        <v>0</v>
      </c>
      <c r="O1700" s="225">
        <f t="shared" si="234"/>
        <v>0</v>
      </c>
      <c r="P1700" s="68"/>
      <c r="Q1700" s="79">
        <f t="shared" si="235"/>
        <v>100100</v>
      </c>
      <c r="R1700" s="79">
        <f t="shared" si="239"/>
        <v>0</v>
      </c>
      <c r="S1700" s="244">
        <f t="shared" si="236"/>
        <v>0</v>
      </c>
    </row>
    <row r="1701" spans="2:19" ht="24" x14ac:dyDescent="0.2">
      <c r="B1701" s="67">
        <f t="shared" si="233"/>
        <v>83</v>
      </c>
      <c r="C1701" s="2"/>
      <c r="D1701" s="2"/>
      <c r="E1701" s="2"/>
      <c r="F1701" s="46"/>
      <c r="G1701" s="2"/>
      <c r="H1701" s="110" t="s">
        <v>441</v>
      </c>
      <c r="I1701" s="22"/>
      <c r="J1701" s="22"/>
      <c r="K1701" s="225"/>
      <c r="L1701" s="68"/>
      <c r="M1701" s="55">
        <f>5000-3000</f>
        <v>2000</v>
      </c>
      <c r="N1701" s="55">
        <v>0</v>
      </c>
      <c r="O1701" s="225">
        <f t="shared" si="234"/>
        <v>0</v>
      </c>
      <c r="P1701" s="149"/>
      <c r="Q1701" s="55">
        <f t="shared" si="235"/>
        <v>2000</v>
      </c>
      <c r="R1701" s="55">
        <f t="shared" si="239"/>
        <v>0</v>
      </c>
      <c r="S1701" s="244">
        <f t="shared" si="236"/>
        <v>0</v>
      </c>
    </row>
    <row r="1702" spans="2:19" x14ac:dyDescent="0.2">
      <c r="B1702" s="67">
        <f t="shared" si="233"/>
        <v>84</v>
      </c>
      <c r="C1702" s="2"/>
      <c r="D1702" s="2"/>
      <c r="E1702" s="2"/>
      <c r="F1702" s="46"/>
      <c r="G1702" s="2"/>
      <c r="H1702" s="137" t="s">
        <v>586</v>
      </c>
      <c r="I1702" s="123"/>
      <c r="J1702" s="123"/>
      <c r="K1702" s="225"/>
      <c r="L1702" s="68"/>
      <c r="M1702" s="123">
        <v>30000</v>
      </c>
      <c r="N1702" s="123">
        <v>0</v>
      </c>
      <c r="O1702" s="225">
        <f t="shared" si="234"/>
        <v>0</v>
      </c>
      <c r="P1702" s="68"/>
      <c r="Q1702" s="123">
        <f>M1702</f>
        <v>30000</v>
      </c>
      <c r="R1702" s="123">
        <f t="shared" ref="R1702" si="240">N1702</f>
        <v>0</v>
      </c>
      <c r="S1702" s="244">
        <f t="shared" si="236"/>
        <v>0</v>
      </c>
    </row>
    <row r="1703" spans="2:19" x14ac:dyDescent="0.2">
      <c r="B1703" s="67">
        <f t="shared" si="233"/>
        <v>85</v>
      </c>
      <c r="C1703" s="2"/>
      <c r="D1703" s="2"/>
      <c r="E1703" s="2"/>
      <c r="F1703" s="46"/>
      <c r="G1703" s="2"/>
      <c r="H1703" s="2" t="s">
        <v>450</v>
      </c>
      <c r="I1703" s="22"/>
      <c r="J1703" s="22"/>
      <c r="K1703" s="225"/>
      <c r="L1703" s="68"/>
      <c r="M1703" s="22">
        <v>40600</v>
      </c>
      <c r="N1703" s="22">
        <v>0</v>
      </c>
      <c r="O1703" s="225">
        <f t="shared" si="234"/>
        <v>0</v>
      </c>
      <c r="P1703" s="68"/>
      <c r="Q1703" s="22">
        <f t="shared" si="235"/>
        <v>40600</v>
      </c>
      <c r="R1703" s="22">
        <f t="shared" ref="R1703" si="241">J1703+N1703</f>
        <v>0</v>
      </c>
      <c r="S1703" s="244">
        <f t="shared" si="236"/>
        <v>0</v>
      </c>
    </row>
    <row r="1704" spans="2:19" x14ac:dyDescent="0.2">
      <c r="B1704" s="67">
        <f t="shared" si="233"/>
        <v>86</v>
      </c>
      <c r="C1704" s="2"/>
      <c r="D1704" s="2"/>
      <c r="E1704" s="2"/>
      <c r="F1704" s="46"/>
      <c r="G1704" s="2"/>
      <c r="H1704" s="161" t="s">
        <v>679</v>
      </c>
      <c r="I1704" s="115"/>
      <c r="J1704" s="115"/>
      <c r="K1704" s="225"/>
      <c r="L1704" s="68"/>
      <c r="M1704" s="115">
        <v>12500</v>
      </c>
      <c r="N1704" s="115">
        <v>0</v>
      </c>
      <c r="O1704" s="225">
        <f t="shared" si="234"/>
        <v>0</v>
      </c>
      <c r="P1704" s="68"/>
      <c r="Q1704" s="115">
        <f t="shared" ref="Q1704:Q1705" si="242">I1704+M1704</f>
        <v>12500</v>
      </c>
      <c r="R1704" s="115">
        <f t="shared" ref="R1704:R1705" si="243">J1704+N1704</f>
        <v>0</v>
      </c>
      <c r="S1704" s="244"/>
    </row>
    <row r="1705" spans="2:19" ht="24" x14ac:dyDescent="0.2">
      <c r="B1705" s="67">
        <f t="shared" si="233"/>
        <v>87</v>
      </c>
      <c r="C1705" s="2"/>
      <c r="D1705" s="2"/>
      <c r="E1705" s="2"/>
      <c r="F1705" s="46"/>
      <c r="G1705" s="2"/>
      <c r="H1705" s="161" t="s">
        <v>680</v>
      </c>
      <c r="I1705" s="115"/>
      <c r="J1705" s="115"/>
      <c r="K1705" s="225"/>
      <c r="L1705" s="68"/>
      <c r="M1705" s="118">
        <v>15000</v>
      </c>
      <c r="N1705" s="118">
        <v>0</v>
      </c>
      <c r="O1705" s="225">
        <f t="shared" si="234"/>
        <v>0</v>
      </c>
      <c r="P1705" s="149"/>
      <c r="Q1705" s="118">
        <f t="shared" si="242"/>
        <v>15000</v>
      </c>
      <c r="R1705" s="118">
        <f t="shared" si="243"/>
        <v>0</v>
      </c>
      <c r="S1705" s="244"/>
    </row>
    <row r="1706" spans="2:19" ht="15" x14ac:dyDescent="0.25">
      <c r="B1706" s="67">
        <f t="shared" si="233"/>
        <v>88</v>
      </c>
      <c r="C1706" s="14"/>
      <c r="D1706" s="14"/>
      <c r="E1706" s="14">
        <v>2</v>
      </c>
      <c r="F1706" s="43"/>
      <c r="G1706" s="14"/>
      <c r="H1706" s="14" t="s">
        <v>255</v>
      </c>
      <c r="I1706" s="40">
        <f>I1707+I1708+I1709</f>
        <v>27000</v>
      </c>
      <c r="J1706" s="40">
        <f>J1707+J1708+J1709</f>
        <v>12064</v>
      </c>
      <c r="K1706" s="225">
        <f t="shared" si="237"/>
        <v>44.681481481481484</v>
      </c>
      <c r="L1706" s="175"/>
      <c r="M1706" s="40">
        <f>M1707+M1708+M1709</f>
        <v>0</v>
      </c>
      <c r="N1706" s="40">
        <f>N1707+N1708+N1709</f>
        <v>0</v>
      </c>
      <c r="O1706" s="225"/>
      <c r="P1706" s="175"/>
      <c r="Q1706" s="40">
        <f t="shared" si="235"/>
        <v>27000</v>
      </c>
      <c r="R1706" s="40">
        <f t="shared" ref="R1706:R1716" si="244">J1706+N1706</f>
        <v>12064</v>
      </c>
      <c r="S1706" s="244">
        <f t="shared" si="236"/>
        <v>44.681481481481484</v>
      </c>
    </row>
    <row r="1707" spans="2:19" x14ac:dyDescent="0.2">
      <c r="B1707" s="67">
        <f t="shared" si="233"/>
        <v>89</v>
      </c>
      <c r="C1707" s="11"/>
      <c r="D1707" s="11"/>
      <c r="E1707" s="11"/>
      <c r="F1707" s="45" t="s">
        <v>188</v>
      </c>
      <c r="G1707" s="11">
        <v>610</v>
      </c>
      <c r="H1707" s="11" t="s">
        <v>135</v>
      </c>
      <c r="I1707" s="42">
        <v>7000</v>
      </c>
      <c r="J1707" s="42">
        <v>3485</v>
      </c>
      <c r="K1707" s="225">
        <f t="shared" si="237"/>
        <v>49.785714285714285</v>
      </c>
      <c r="L1707" s="114"/>
      <c r="M1707" s="42"/>
      <c r="N1707" s="42"/>
      <c r="O1707" s="225"/>
      <c r="P1707" s="114"/>
      <c r="Q1707" s="42">
        <f t="shared" si="235"/>
        <v>7000</v>
      </c>
      <c r="R1707" s="42">
        <f t="shared" si="244"/>
        <v>3485</v>
      </c>
      <c r="S1707" s="244">
        <f t="shared" si="236"/>
        <v>49.785714285714285</v>
      </c>
    </row>
    <row r="1708" spans="2:19" x14ac:dyDescent="0.2">
      <c r="B1708" s="67">
        <f t="shared" si="233"/>
        <v>90</v>
      </c>
      <c r="C1708" s="11"/>
      <c r="D1708" s="11"/>
      <c r="E1708" s="11"/>
      <c r="F1708" s="45" t="s">
        <v>188</v>
      </c>
      <c r="G1708" s="11">
        <v>620</v>
      </c>
      <c r="H1708" s="11" t="s">
        <v>130</v>
      </c>
      <c r="I1708" s="42">
        <v>2930</v>
      </c>
      <c r="J1708" s="42">
        <v>1287</v>
      </c>
      <c r="K1708" s="225">
        <f t="shared" si="237"/>
        <v>43.924914675767916</v>
      </c>
      <c r="L1708" s="114"/>
      <c r="M1708" s="42"/>
      <c r="N1708" s="42"/>
      <c r="O1708" s="225"/>
      <c r="P1708" s="114"/>
      <c r="Q1708" s="42">
        <f t="shared" si="235"/>
        <v>2930</v>
      </c>
      <c r="R1708" s="42">
        <f t="shared" si="244"/>
        <v>1287</v>
      </c>
      <c r="S1708" s="244">
        <f t="shared" si="236"/>
        <v>43.924914675767916</v>
      </c>
    </row>
    <row r="1709" spans="2:19" x14ac:dyDescent="0.2">
      <c r="B1709" s="67">
        <f t="shared" si="233"/>
        <v>91</v>
      </c>
      <c r="C1709" s="11"/>
      <c r="D1709" s="11"/>
      <c r="E1709" s="11"/>
      <c r="F1709" s="45" t="s">
        <v>188</v>
      </c>
      <c r="G1709" s="11">
        <v>630</v>
      </c>
      <c r="H1709" s="11" t="s">
        <v>127</v>
      </c>
      <c r="I1709" s="42">
        <f>I1716+I1715+I1714+I1713+I1710+I1712+I1711</f>
        <v>17070</v>
      </c>
      <c r="J1709" s="42">
        <f>J1716+J1715+J1714+J1713+J1710+J1712+J1711</f>
        <v>7292</v>
      </c>
      <c r="K1709" s="225">
        <f t="shared" si="237"/>
        <v>42.718219097832453</v>
      </c>
      <c r="L1709" s="114"/>
      <c r="M1709" s="42">
        <f>M1716+M1715+M1714+M1713+M1710</f>
        <v>0</v>
      </c>
      <c r="N1709" s="42">
        <f>N1716+N1715+N1714+N1713+N1710</f>
        <v>0</v>
      </c>
      <c r="O1709" s="225"/>
      <c r="P1709" s="114"/>
      <c r="Q1709" s="42">
        <f t="shared" si="235"/>
        <v>17070</v>
      </c>
      <c r="R1709" s="42">
        <f t="shared" si="244"/>
        <v>7292</v>
      </c>
      <c r="S1709" s="244">
        <f t="shared" si="236"/>
        <v>42.718219097832453</v>
      </c>
    </row>
    <row r="1710" spans="2:19" x14ac:dyDescent="0.2">
      <c r="B1710" s="67">
        <f t="shared" si="233"/>
        <v>92</v>
      </c>
      <c r="C1710" s="2"/>
      <c r="D1710" s="2"/>
      <c r="E1710" s="2"/>
      <c r="F1710" s="46" t="s">
        <v>188</v>
      </c>
      <c r="G1710" s="2">
        <v>633</v>
      </c>
      <c r="H1710" s="2" t="s">
        <v>131</v>
      </c>
      <c r="I1710" s="22">
        <v>7050</v>
      </c>
      <c r="J1710" s="22">
        <v>6699</v>
      </c>
      <c r="K1710" s="225">
        <f t="shared" si="237"/>
        <v>95.021276595744681</v>
      </c>
      <c r="L1710" s="68"/>
      <c r="M1710" s="22"/>
      <c r="N1710" s="22"/>
      <c r="O1710" s="225"/>
      <c r="P1710" s="68"/>
      <c r="Q1710" s="22">
        <f t="shared" si="235"/>
        <v>7050</v>
      </c>
      <c r="R1710" s="22">
        <f t="shared" si="244"/>
        <v>6699</v>
      </c>
      <c r="S1710" s="244">
        <f t="shared" si="236"/>
        <v>95.021276595744681</v>
      </c>
    </row>
    <row r="1711" spans="2:19" x14ac:dyDescent="0.2">
      <c r="B1711" s="67">
        <f t="shared" si="233"/>
        <v>93</v>
      </c>
      <c r="C1711" s="2"/>
      <c r="D1711" s="2"/>
      <c r="E1711" s="2"/>
      <c r="F1711" s="46" t="s">
        <v>188</v>
      </c>
      <c r="G1711" s="2">
        <v>633</v>
      </c>
      <c r="H1711" s="2" t="s">
        <v>682</v>
      </c>
      <c r="I1711" s="22">
        <v>2000</v>
      </c>
      <c r="J1711" s="22"/>
      <c r="K1711" s="225">
        <f t="shared" si="237"/>
        <v>0</v>
      </c>
      <c r="L1711" s="68"/>
      <c r="M1711" s="22"/>
      <c r="N1711" s="22"/>
      <c r="O1711" s="225"/>
      <c r="P1711" s="68"/>
      <c r="Q1711" s="22">
        <f t="shared" si="235"/>
        <v>2000</v>
      </c>
      <c r="R1711" s="22">
        <f t="shared" si="244"/>
        <v>0</v>
      </c>
      <c r="S1711" s="244">
        <f t="shared" si="236"/>
        <v>0</v>
      </c>
    </row>
    <row r="1712" spans="2:19" x14ac:dyDescent="0.2">
      <c r="B1712" s="67">
        <f t="shared" si="233"/>
        <v>94</v>
      </c>
      <c r="C1712" s="2"/>
      <c r="D1712" s="2"/>
      <c r="E1712" s="2"/>
      <c r="F1712" s="46" t="s">
        <v>188</v>
      </c>
      <c r="G1712" s="2">
        <v>633</v>
      </c>
      <c r="H1712" s="116" t="s">
        <v>681</v>
      </c>
      <c r="I1712" s="115">
        <v>5000</v>
      </c>
      <c r="J1712" s="115"/>
      <c r="K1712" s="225">
        <f t="shared" si="237"/>
        <v>0</v>
      </c>
      <c r="L1712" s="68"/>
      <c r="M1712" s="115"/>
      <c r="N1712" s="115"/>
      <c r="O1712" s="225"/>
      <c r="P1712" s="68"/>
      <c r="Q1712" s="115">
        <f t="shared" si="235"/>
        <v>5000</v>
      </c>
      <c r="R1712" s="115">
        <f t="shared" si="244"/>
        <v>0</v>
      </c>
      <c r="S1712" s="244">
        <f t="shared" si="236"/>
        <v>0</v>
      </c>
    </row>
    <row r="1713" spans="2:19" x14ac:dyDescent="0.2">
      <c r="B1713" s="67">
        <f t="shared" si="233"/>
        <v>95</v>
      </c>
      <c r="C1713" s="2"/>
      <c r="D1713" s="2"/>
      <c r="E1713" s="2"/>
      <c r="F1713" s="46" t="s">
        <v>188</v>
      </c>
      <c r="G1713" s="2">
        <v>634</v>
      </c>
      <c r="H1713" s="2" t="s">
        <v>136</v>
      </c>
      <c r="I1713" s="22">
        <v>900</v>
      </c>
      <c r="J1713" s="22">
        <v>202</v>
      </c>
      <c r="K1713" s="225">
        <f t="shared" si="237"/>
        <v>22.444444444444443</v>
      </c>
      <c r="L1713" s="68"/>
      <c r="M1713" s="22"/>
      <c r="N1713" s="22"/>
      <c r="O1713" s="225"/>
      <c r="P1713" s="68"/>
      <c r="Q1713" s="22">
        <f t="shared" si="235"/>
        <v>900</v>
      </c>
      <c r="R1713" s="22">
        <f t="shared" si="244"/>
        <v>202</v>
      </c>
      <c r="S1713" s="244">
        <f t="shared" si="236"/>
        <v>22.444444444444443</v>
      </c>
    </row>
    <row r="1714" spans="2:19" x14ac:dyDescent="0.2">
      <c r="B1714" s="67">
        <f t="shared" si="233"/>
        <v>96</v>
      </c>
      <c r="C1714" s="2"/>
      <c r="D1714" s="2"/>
      <c r="E1714" s="2"/>
      <c r="F1714" s="46" t="s">
        <v>188</v>
      </c>
      <c r="G1714" s="2">
        <v>635</v>
      </c>
      <c r="H1714" s="2" t="s">
        <v>137</v>
      </c>
      <c r="I1714" s="22">
        <v>650</v>
      </c>
      <c r="J1714" s="22">
        <v>70</v>
      </c>
      <c r="K1714" s="225">
        <f t="shared" si="237"/>
        <v>10.76923076923077</v>
      </c>
      <c r="L1714" s="68"/>
      <c r="M1714" s="22"/>
      <c r="N1714" s="22"/>
      <c r="O1714" s="225"/>
      <c r="P1714" s="68"/>
      <c r="Q1714" s="22">
        <f t="shared" si="235"/>
        <v>650</v>
      </c>
      <c r="R1714" s="22">
        <f t="shared" si="244"/>
        <v>70</v>
      </c>
      <c r="S1714" s="244">
        <f t="shared" si="236"/>
        <v>10.76923076923077</v>
      </c>
    </row>
    <row r="1715" spans="2:19" x14ac:dyDescent="0.2">
      <c r="B1715" s="67">
        <f t="shared" si="233"/>
        <v>97</v>
      </c>
      <c r="C1715" s="2"/>
      <c r="D1715" s="2"/>
      <c r="E1715" s="2"/>
      <c r="F1715" s="46" t="s">
        <v>188</v>
      </c>
      <c r="G1715" s="2">
        <v>636</v>
      </c>
      <c r="H1715" s="2" t="s">
        <v>132</v>
      </c>
      <c r="I1715" s="22">
        <v>50</v>
      </c>
      <c r="J1715" s="22">
        <v>46</v>
      </c>
      <c r="K1715" s="225">
        <f t="shared" si="237"/>
        <v>92</v>
      </c>
      <c r="L1715" s="68"/>
      <c r="M1715" s="22"/>
      <c r="N1715" s="22"/>
      <c r="O1715" s="225"/>
      <c r="P1715" s="68"/>
      <c r="Q1715" s="22">
        <f t="shared" si="235"/>
        <v>50</v>
      </c>
      <c r="R1715" s="22">
        <f t="shared" si="244"/>
        <v>46</v>
      </c>
      <c r="S1715" s="244">
        <f t="shared" si="236"/>
        <v>92</v>
      </c>
    </row>
    <row r="1716" spans="2:19" x14ac:dyDescent="0.2">
      <c r="B1716" s="67">
        <f t="shared" si="233"/>
        <v>98</v>
      </c>
      <c r="C1716" s="2"/>
      <c r="D1716" s="2"/>
      <c r="E1716" s="2"/>
      <c r="F1716" s="46" t="s">
        <v>188</v>
      </c>
      <c r="G1716" s="2">
        <v>637</v>
      </c>
      <c r="H1716" s="2" t="s">
        <v>128</v>
      </c>
      <c r="I1716" s="22">
        <v>1420</v>
      </c>
      <c r="J1716" s="22">
        <v>275</v>
      </c>
      <c r="K1716" s="225">
        <f t="shared" si="237"/>
        <v>19.366197183098592</v>
      </c>
      <c r="L1716" s="68"/>
      <c r="M1716" s="22"/>
      <c r="N1716" s="22"/>
      <c r="O1716" s="225"/>
      <c r="P1716" s="68"/>
      <c r="Q1716" s="22">
        <f t="shared" si="235"/>
        <v>1420</v>
      </c>
      <c r="R1716" s="22">
        <f t="shared" si="244"/>
        <v>275</v>
      </c>
      <c r="S1716" s="244">
        <f t="shared" si="236"/>
        <v>19.366197183098592</v>
      </c>
    </row>
    <row r="1733" spans="2:19" ht="27" x14ac:dyDescent="0.35">
      <c r="B1733" s="306" t="s">
        <v>304</v>
      </c>
      <c r="C1733" s="307"/>
      <c r="D1733" s="307"/>
      <c r="E1733" s="307"/>
      <c r="F1733" s="307"/>
      <c r="G1733" s="307"/>
      <c r="H1733" s="307"/>
      <c r="I1733" s="307"/>
      <c r="J1733" s="307"/>
      <c r="K1733" s="307"/>
      <c r="L1733" s="307"/>
      <c r="M1733" s="307"/>
      <c r="N1733" s="307"/>
      <c r="O1733" s="307"/>
      <c r="P1733" s="307"/>
      <c r="Q1733" s="307"/>
    </row>
    <row r="1734" spans="2:19" ht="12.75" customHeight="1" x14ac:dyDescent="0.2">
      <c r="B1734" s="308" t="s">
        <v>279</v>
      </c>
      <c r="C1734" s="309"/>
      <c r="D1734" s="309"/>
      <c r="E1734" s="309"/>
      <c r="F1734" s="309"/>
      <c r="G1734" s="309"/>
      <c r="H1734" s="309"/>
      <c r="I1734" s="309"/>
      <c r="J1734" s="309"/>
      <c r="K1734" s="309"/>
      <c r="L1734" s="309"/>
      <c r="M1734" s="309"/>
      <c r="N1734" s="181"/>
      <c r="O1734" s="182"/>
      <c r="P1734" s="182"/>
      <c r="Q1734" s="310" t="s">
        <v>590</v>
      </c>
      <c r="R1734" s="310" t="s">
        <v>693</v>
      </c>
      <c r="S1734" s="337" t="s">
        <v>691</v>
      </c>
    </row>
    <row r="1735" spans="2:19" ht="12.75" customHeight="1" x14ac:dyDescent="0.2">
      <c r="B1735" s="313" t="s">
        <v>111</v>
      </c>
      <c r="C1735" s="315" t="s">
        <v>119</v>
      </c>
      <c r="D1735" s="315" t="s">
        <v>120</v>
      </c>
      <c r="E1735" s="317" t="s">
        <v>124</v>
      </c>
      <c r="F1735" s="315" t="s">
        <v>121</v>
      </c>
      <c r="G1735" s="315" t="s">
        <v>122</v>
      </c>
      <c r="H1735" s="320" t="s">
        <v>123</v>
      </c>
      <c r="I1735" s="310" t="s">
        <v>587</v>
      </c>
      <c r="J1735" s="310" t="s">
        <v>690</v>
      </c>
      <c r="K1735" s="337" t="s">
        <v>691</v>
      </c>
      <c r="L1735" s="169"/>
      <c r="M1735" s="310" t="s">
        <v>588</v>
      </c>
      <c r="N1735" s="311" t="s">
        <v>692</v>
      </c>
      <c r="O1735" s="337" t="s">
        <v>691</v>
      </c>
      <c r="P1735" s="170"/>
      <c r="Q1735" s="311"/>
      <c r="R1735" s="311"/>
      <c r="S1735" s="338"/>
    </row>
    <row r="1736" spans="2:19" x14ac:dyDescent="0.2">
      <c r="B1736" s="313"/>
      <c r="C1736" s="315"/>
      <c r="D1736" s="315"/>
      <c r="E1736" s="318"/>
      <c r="F1736" s="315"/>
      <c r="G1736" s="315"/>
      <c r="H1736" s="320"/>
      <c r="I1736" s="311"/>
      <c r="J1736" s="311"/>
      <c r="K1736" s="338"/>
      <c r="L1736" s="170"/>
      <c r="M1736" s="311"/>
      <c r="N1736" s="311"/>
      <c r="O1736" s="338"/>
      <c r="P1736" s="170"/>
      <c r="Q1736" s="311"/>
      <c r="R1736" s="311"/>
      <c r="S1736" s="338"/>
    </row>
    <row r="1737" spans="2:19" x14ac:dyDescent="0.2">
      <c r="B1737" s="313"/>
      <c r="C1737" s="315"/>
      <c r="D1737" s="315"/>
      <c r="E1737" s="318"/>
      <c r="F1737" s="315"/>
      <c r="G1737" s="315"/>
      <c r="H1737" s="320"/>
      <c r="I1737" s="311"/>
      <c r="J1737" s="311"/>
      <c r="K1737" s="338"/>
      <c r="L1737" s="170"/>
      <c r="M1737" s="311"/>
      <c r="N1737" s="311"/>
      <c r="O1737" s="338"/>
      <c r="P1737" s="170"/>
      <c r="Q1737" s="311"/>
      <c r="R1737" s="311"/>
      <c r="S1737" s="338"/>
    </row>
    <row r="1738" spans="2:19" ht="13.5" thickBot="1" x14ac:dyDescent="0.25">
      <c r="B1738" s="314"/>
      <c r="C1738" s="316"/>
      <c r="D1738" s="316"/>
      <c r="E1738" s="319"/>
      <c r="F1738" s="316"/>
      <c r="G1738" s="316"/>
      <c r="H1738" s="321"/>
      <c r="I1738" s="312"/>
      <c r="J1738" s="312"/>
      <c r="K1738" s="339"/>
      <c r="L1738" s="171"/>
      <c r="M1738" s="312"/>
      <c r="N1738" s="312"/>
      <c r="O1738" s="339"/>
      <c r="P1738" s="171"/>
      <c r="Q1738" s="312"/>
      <c r="R1738" s="312"/>
      <c r="S1738" s="339"/>
    </row>
    <row r="1739" spans="2:19" ht="16.5" thickTop="1" x14ac:dyDescent="0.2">
      <c r="B1739" s="67">
        <f t="shared" ref="B1739:B1786" si="245">B1738+1</f>
        <v>1</v>
      </c>
      <c r="C1739" s="322" t="s">
        <v>304</v>
      </c>
      <c r="D1739" s="323"/>
      <c r="E1739" s="323"/>
      <c r="F1739" s="323"/>
      <c r="G1739" s="323"/>
      <c r="H1739" s="324"/>
      <c r="I1739" s="37">
        <f>I1783+I1764+I1748+I1740</f>
        <v>352950</v>
      </c>
      <c r="J1739" s="37">
        <f>J1783+J1764+J1748+J1740</f>
        <v>136098</v>
      </c>
      <c r="K1739" s="225">
        <f t="shared" ref="K1739:K1782" si="246">J1739/I1739*100</f>
        <v>38.560135996600089</v>
      </c>
      <c r="L1739" s="172"/>
      <c r="M1739" s="37">
        <f>M1783+M1764+M1748+M1740</f>
        <v>23620</v>
      </c>
      <c r="N1739" s="37">
        <f>N1783+N1764+N1748+N1740</f>
        <v>0</v>
      </c>
      <c r="O1739" s="225">
        <f t="shared" ref="O1739:O1786" si="247">N1739/M1739*100</f>
        <v>0</v>
      </c>
      <c r="P1739" s="172"/>
      <c r="Q1739" s="37">
        <f t="shared" ref="Q1739:Q1786" si="248">I1739+M1739</f>
        <v>376570</v>
      </c>
      <c r="R1739" s="37">
        <f t="shared" ref="R1739:R1776" si="249">J1739+N1739</f>
        <v>136098</v>
      </c>
      <c r="S1739" s="244">
        <f t="shared" ref="S1739:S1786" si="250">R1739/Q1739*100</f>
        <v>36.141487638420479</v>
      </c>
    </row>
    <row r="1740" spans="2:19" ht="15" x14ac:dyDescent="0.2">
      <c r="B1740" s="67">
        <f t="shared" si="245"/>
        <v>2</v>
      </c>
      <c r="C1740" s="166">
        <v>1</v>
      </c>
      <c r="D1740" s="325" t="s">
        <v>13</v>
      </c>
      <c r="E1740" s="326"/>
      <c r="F1740" s="326"/>
      <c r="G1740" s="326"/>
      <c r="H1740" s="327"/>
      <c r="I1740" s="38">
        <f>I1741</f>
        <v>104000</v>
      </c>
      <c r="J1740" s="38">
        <f>J1741</f>
        <v>43700</v>
      </c>
      <c r="K1740" s="225">
        <f t="shared" si="246"/>
        <v>42.019230769230766</v>
      </c>
      <c r="L1740" s="173"/>
      <c r="M1740" s="38">
        <f>M1741</f>
        <v>0</v>
      </c>
      <c r="N1740" s="38">
        <f>N1741</f>
        <v>0</v>
      </c>
      <c r="O1740" s="225"/>
      <c r="P1740" s="173"/>
      <c r="Q1740" s="38">
        <f t="shared" si="248"/>
        <v>104000</v>
      </c>
      <c r="R1740" s="38">
        <f t="shared" si="249"/>
        <v>43700</v>
      </c>
      <c r="S1740" s="244">
        <f t="shared" si="250"/>
        <v>42.019230769230766</v>
      </c>
    </row>
    <row r="1741" spans="2:19" x14ac:dyDescent="0.2">
      <c r="B1741" s="67">
        <f t="shared" si="245"/>
        <v>3</v>
      </c>
      <c r="C1741" s="11"/>
      <c r="D1741" s="11"/>
      <c r="E1741" s="11"/>
      <c r="F1741" s="45" t="s">
        <v>74</v>
      </c>
      <c r="G1741" s="11">
        <v>640</v>
      </c>
      <c r="H1741" s="11" t="s">
        <v>134</v>
      </c>
      <c r="I1741" s="42">
        <f>SUM(I1742:I1747)</f>
        <v>104000</v>
      </c>
      <c r="J1741" s="42">
        <f>SUM(J1742:J1747)</f>
        <v>43700</v>
      </c>
      <c r="K1741" s="225">
        <f t="shared" si="246"/>
        <v>42.019230769230766</v>
      </c>
      <c r="L1741" s="114"/>
      <c r="M1741" s="42"/>
      <c r="N1741" s="42"/>
      <c r="O1741" s="225"/>
      <c r="P1741" s="114"/>
      <c r="Q1741" s="42">
        <f t="shared" si="248"/>
        <v>104000</v>
      </c>
      <c r="R1741" s="42">
        <f t="shared" si="249"/>
        <v>43700</v>
      </c>
      <c r="S1741" s="244">
        <f t="shared" si="250"/>
        <v>42.019230769230766</v>
      </c>
    </row>
    <row r="1742" spans="2:19" x14ac:dyDescent="0.2">
      <c r="B1742" s="67">
        <f t="shared" si="245"/>
        <v>4</v>
      </c>
      <c r="C1742" s="11"/>
      <c r="D1742" s="50"/>
      <c r="E1742" s="11"/>
      <c r="F1742" s="45"/>
      <c r="G1742" s="11"/>
      <c r="H1742" s="53" t="s">
        <v>233</v>
      </c>
      <c r="I1742" s="51">
        <f>50000+20000-10000</f>
        <v>60000</v>
      </c>
      <c r="J1742" s="51">
        <f>36700+7000</f>
        <v>43700</v>
      </c>
      <c r="K1742" s="225">
        <f t="shared" si="246"/>
        <v>72.833333333333343</v>
      </c>
      <c r="L1742" s="68"/>
      <c r="M1742" s="51"/>
      <c r="N1742" s="51"/>
      <c r="O1742" s="225"/>
      <c r="P1742" s="68"/>
      <c r="Q1742" s="58">
        <f t="shared" si="248"/>
        <v>60000</v>
      </c>
      <c r="R1742" s="58">
        <f t="shared" si="249"/>
        <v>43700</v>
      </c>
      <c r="S1742" s="244">
        <f t="shared" si="250"/>
        <v>72.833333333333343</v>
      </c>
    </row>
    <row r="1743" spans="2:19" x14ac:dyDescent="0.2">
      <c r="B1743" s="67">
        <f t="shared" si="245"/>
        <v>5</v>
      </c>
      <c r="C1743" s="11"/>
      <c r="D1743" s="50"/>
      <c r="E1743" s="11"/>
      <c r="F1743" s="45"/>
      <c r="G1743" s="11"/>
      <c r="H1743" s="53" t="s">
        <v>344</v>
      </c>
      <c r="I1743" s="51">
        <v>20000</v>
      </c>
      <c r="J1743" s="51">
        <v>0</v>
      </c>
      <c r="K1743" s="225">
        <f t="shared" si="246"/>
        <v>0</v>
      </c>
      <c r="L1743" s="68"/>
      <c r="M1743" s="51"/>
      <c r="N1743" s="51"/>
      <c r="O1743" s="225"/>
      <c r="P1743" s="68"/>
      <c r="Q1743" s="58">
        <f t="shared" si="248"/>
        <v>20000</v>
      </c>
      <c r="R1743" s="58">
        <f t="shared" si="249"/>
        <v>0</v>
      </c>
      <c r="S1743" s="244">
        <f t="shared" si="250"/>
        <v>0</v>
      </c>
    </row>
    <row r="1744" spans="2:19" x14ac:dyDescent="0.2">
      <c r="B1744" s="67">
        <f t="shared" si="245"/>
        <v>6</v>
      </c>
      <c r="C1744" s="60"/>
      <c r="D1744" s="61"/>
      <c r="E1744" s="60"/>
      <c r="F1744" s="64"/>
      <c r="G1744" s="60"/>
      <c r="H1744" s="74" t="s">
        <v>552</v>
      </c>
      <c r="I1744" s="58">
        <v>10000</v>
      </c>
      <c r="J1744" s="58">
        <v>0</v>
      </c>
      <c r="K1744" s="225">
        <f t="shared" si="246"/>
        <v>0</v>
      </c>
      <c r="L1744" s="149"/>
      <c r="M1744" s="58"/>
      <c r="N1744" s="58"/>
      <c r="O1744" s="225"/>
      <c r="P1744" s="149"/>
      <c r="Q1744" s="58">
        <f t="shared" si="248"/>
        <v>10000</v>
      </c>
      <c r="R1744" s="58">
        <f t="shared" si="249"/>
        <v>0</v>
      </c>
      <c r="S1744" s="244">
        <f t="shared" si="250"/>
        <v>0</v>
      </c>
    </row>
    <row r="1745" spans="2:19" x14ac:dyDescent="0.2">
      <c r="B1745" s="67">
        <f t="shared" si="245"/>
        <v>7</v>
      </c>
      <c r="C1745" s="11"/>
      <c r="D1745" s="50"/>
      <c r="E1745" s="11"/>
      <c r="F1745" s="45"/>
      <c r="G1745" s="11"/>
      <c r="H1745" s="52" t="s">
        <v>489</v>
      </c>
      <c r="I1745" s="51">
        <v>4000</v>
      </c>
      <c r="J1745" s="51">
        <v>0</v>
      </c>
      <c r="K1745" s="225">
        <f t="shared" si="246"/>
        <v>0</v>
      </c>
      <c r="L1745" s="68"/>
      <c r="M1745" s="51"/>
      <c r="N1745" s="51"/>
      <c r="O1745" s="225"/>
      <c r="P1745" s="68"/>
      <c r="Q1745" s="58">
        <f t="shared" si="248"/>
        <v>4000</v>
      </c>
      <c r="R1745" s="58">
        <f t="shared" si="249"/>
        <v>0</v>
      </c>
      <c r="S1745" s="244">
        <f t="shared" si="250"/>
        <v>0</v>
      </c>
    </row>
    <row r="1746" spans="2:19" x14ac:dyDescent="0.2">
      <c r="B1746" s="67">
        <f t="shared" si="245"/>
        <v>8</v>
      </c>
      <c r="C1746" s="11"/>
      <c r="D1746" s="50"/>
      <c r="E1746" s="11"/>
      <c r="F1746" s="45"/>
      <c r="G1746" s="11"/>
      <c r="H1746" s="52" t="s">
        <v>613</v>
      </c>
      <c r="I1746" s="51">
        <v>5000</v>
      </c>
      <c r="J1746" s="51">
        <v>0</v>
      </c>
      <c r="K1746" s="225">
        <f t="shared" si="246"/>
        <v>0</v>
      </c>
      <c r="L1746" s="68"/>
      <c r="M1746" s="51"/>
      <c r="N1746" s="51"/>
      <c r="O1746" s="225"/>
      <c r="P1746" s="68"/>
      <c r="Q1746" s="58">
        <f t="shared" si="248"/>
        <v>5000</v>
      </c>
      <c r="R1746" s="58">
        <f t="shared" si="249"/>
        <v>0</v>
      </c>
      <c r="S1746" s="244">
        <f t="shared" si="250"/>
        <v>0</v>
      </c>
    </row>
    <row r="1747" spans="2:19" x14ac:dyDescent="0.2">
      <c r="B1747" s="67">
        <f t="shared" si="245"/>
        <v>9</v>
      </c>
      <c r="C1747" s="11"/>
      <c r="D1747" s="50"/>
      <c r="E1747" s="11"/>
      <c r="F1747" s="45"/>
      <c r="G1747" s="11"/>
      <c r="H1747" s="52" t="s">
        <v>614</v>
      </c>
      <c r="I1747" s="51">
        <v>5000</v>
      </c>
      <c r="J1747" s="51">
        <v>0</v>
      </c>
      <c r="K1747" s="225">
        <f t="shared" si="246"/>
        <v>0</v>
      </c>
      <c r="L1747" s="68"/>
      <c r="M1747" s="51"/>
      <c r="N1747" s="51"/>
      <c r="O1747" s="225"/>
      <c r="P1747" s="68"/>
      <c r="Q1747" s="58">
        <f t="shared" si="248"/>
        <v>5000</v>
      </c>
      <c r="R1747" s="58">
        <f t="shared" si="249"/>
        <v>0</v>
      </c>
      <c r="S1747" s="244">
        <f t="shared" si="250"/>
        <v>0</v>
      </c>
    </row>
    <row r="1748" spans="2:19" ht="15" x14ac:dyDescent="0.2">
      <c r="B1748" s="67">
        <f t="shared" si="245"/>
        <v>10</v>
      </c>
      <c r="C1748" s="166">
        <v>2</v>
      </c>
      <c r="D1748" s="325" t="s">
        <v>179</v>
      </c>
      <c r="E1748" s="326"/>
      <c r="F1748" s="326"/>
      <c r="G1748" s="326"/>
      <c r="H1748" s="327"/>
      <c r="I1748" s="38">
        <f>I1749</f>
        <v>80050</v>
      </c>
      <c r="J1748" s="38">
        <f>J1749</f>
        <v>9885</v>
      </c>
      <c r="K1748" s="225">
        <f t="shared" si="246"/>
        <v>12.348532167395378</v>
      </c>
      <c r="L1748" s="173"/>
      <c r="M1748" s="38">
        <v>0</v>
      </c>
      <c r="N1748" s="38"/>
      <c r="O1748" s="225"/>
      <c r="P1748" s="173"/>
      <c r="Q1748" s="38">
        <f t="shared" si="248"/>
        <v>80050</v>
      </c>
      <c r="R1748" s="38">
        <f t="shared" si="249"/>
        <v>9885</v>
      </c>
      <c r="S1748" s="244">
        <f t="shared" si="250"/>
        <v>12.348532167395378</v>
      </c>
    </row>
    <row r="1749" spans="2:19" x14ac:dyDescent="0.2">
      <c r="B1749" s="67">
        <f t="shared" si="245"/>
        <v>11</v>
      </c>
      <c r="C1749" s="11"/>
      <c r="D1749" s="11"/>
      <c r="E1749" s="11"/>
      <c r="F1749" s="45" t="s">
        <v>74</v>
      </c>
      <c r="G1749" s="11">
        <v>630</v>
      </c>
      <c r="H1749" s="11" t="s">
        <v>127</v>
      </c>
      <c r="I1749" s="42">
        <f>I1751+I1750</f>
        <v>80050</v>
      </c>
      <c r="J1749" s="42">
        <f>J1751+J1750</f>
        <v>9885</v>
      </c>
      <c r="K1749" s="225">
        <f t="shared" si="246"/>
        <v>12.348532167395378</v>
      </c>
      <c r="L1749" s="114"/>
      <c r="M1749" s="42">
        <f>M1751+M1750</f>
        <v>0</v>
      </c>
      <c r="N1749" s="42">
        <f>N1751+N1750</f>
        <v>0</v>
      </c>
      <c r="O1749" s="225"/>
      <c r="P1749" s="114"/>
      <c r="Q1749" s="42">
        <f t="shared" si="248"/>
        <v>80050</v>
      </c>
      <c r="R1749" s="42">
        <f t="shared" si="249"/>
        <v>9885</v>
      </c>
      <c r="S1749" s="244">
        <f t="shared" si="250"/>
        <v>12.348532167395378</v>
      </c>
    </row>
    <row r="1750" spans="2:19" x14ac:dyDescent="0.2">
      <c r="B1750" s="67">
        <f t="shared" si="245"/>
        <v>12</v>
      </c>
      <c r="C1750" s="2"/>
      <c r="D1750" s="2"/>
      <c r="E1750" s="2"/>
      <c r="F1750" s="46" t="s">
        <v>74</v>
      </c>
      <c r="G1750" s="2">
        <v>633</v>
      </c>
      <c r="H1750" s="2" t="s">
        <v>131</v>
      </c>
      <c r="I1750" s="22">
        <v>5100</v>
      </c>
      <c r="J1750" s="22">
        <v>774</v>
      </c>
      <c r="K1750" s="225">
        <f t="shared" si="246"/>
        <v>15.176470588235293</v>
      </c>
      <c r="L1750" s="68"/>
      <c r="M1750" s="22"/>
      <c r="N1750" s="22"/>
      <c r="O1750" s="225"/>
      <c r="P1750" s="68"/>
      <c r="Q1750" s="22">
        <f t="shared" si="248"/>
        <v>5100</v>
      </c>
      <c r="R1750" s="22">
        <f t="shared" si="249"/>
        <v>774</v>
      </c>
      <c r="S1750" s="244">
        <f t="shared" si="250"/>
        <v>15.176470588235293</v>
      </c>
    </row>
    <row r="1751" spans="2:19" x14ac:dyDescent="0.2">
      <c r="B1751" s="67">
        <f t="shared" si="245"/>
        <v>13</v>
      </c>
      <c r="C1751" s="2"/>
      <c r="D1751" s="2"/>
      <c r="E1751" s="2"/>
      <c r="F1751" s="46" t="s">
        <v>74</v>
      </c>
      <c r="G1751" s="2">
        <v>637</v>
      </c>
      <c r="H1751" s="2" t="s">
        <v>128</v>
      </c>
      <c r="I1751" s="22">
        <f>SUM(I1752:I1763)</f>
        <v>74950</v>
      </c>
      <c r="J1751" s="22">
        <f>SUM(J1752:J1763)</f>
        <v>9111</v>
      </c>
      <c r="K1751" s="225">
        <f t="shared" si="246"/>
        <v>12.156104069379586</v>
      </c>
      <c r="L1751" s="68"/>
      <c r="M1751" s="22"/>
      <c r="N1751" s="22"/>
      <c r="O1751" s="225"/>
      <c r="P1751" s="68"/>
      <c r="Q1751" s="22">
        <f t="shared" si="248"/>
        <v>74950</v>
      </c>
      <c r="R1751" s="22">
        <f t="shared" si="249"/>
        <v>9111</v>
      </c>
      <c r="S1751" s="244">
        <f t="shared" si="250"/>
        <v>12.156104069379586</v>
      </c>
    </row>
    <row r="1752" spans="2:19" x14ac:dyDescent="0.2">
      <c r="B1752" s="67">
        <f t="shared" si="245"/>
        <v>14</v>
      </c>
      <c r="C1752" s="2"/>
      <c r="D1752" s="2"/>
      <c r="E1752" s="2"/>
      <c r="F1752" s="46"/>
      <c r="G1752" s="2"/>
      <c r="H1752" s="2" t="s">
        <v>232</v>
      </c>
      <c r="I1752" s="51">
        <v>10000</v>
      </c>
      <c r="J1752" s="51">
        <v>0</v>
      </c>
      <c r="K1752" s="225">
        <f t="shared" si="246"/>
        <v>0</v>
      </c>
      <c r="L1752" s="68"/>
      <c r="M1752" s="22"/>
      <c r="N1752" s="22"/>
      <c r="O1752" s="225"/>
      <c r="P1752" s="68"/>
      <c r="Q1752" s="22">
        <f t="shared" si="248"/>
        <v>10000</v>
      </c>
      <c r="R1752" s="22">
        <f t="shared" si="249"/>
        <v>0</v>
      </c>
      <c r="S1752" s="244">
        <f t="shared" si="250"/>
        <v>0</v>
      </c>
    </row>
    <row r="1753" spans="2:19" x14ac:dyDescent="0.2">
      <c r="B1753" s="67">
        <f t="shared" si="245"/>
        <v>15</v>
      </c>
      <c r="C1753" s="2"/>
      <c r="D1753" s="2"/>
      <c r="E1753" s="2"/>
      <c r="F1753" s="46"/>
      <c r="G1753" s="2"/>
      <c r="H1753" s="2" t="s">
        <v>345</v>
      </c>
      <c r="I1753" s="51">
        <v>3000</v>
      </c>
      <c r="J1753" s="51">
        <v>83</v>
      </c>
      <c r="K1753" s="225">
        <f t="shared" si="246"/>
        <v>2.7666666666666666</v>
      </c>
      <c r="L1753" s="68"/>
      <c r="M1753" s="22"/>
      <c r="N1753" s="22"/>
      <c r="O1753" s="225"/>
      <c r="P1753" s="68"/>
      <c r="Q1753" s="22">
        <f t="shared" si="248"/>
        <v>3000</v>
      </c>
      <c r="R1753" s="22">
        <f t="shared" si="249"/>
        <v>83</v>
      </c>
      <c r="S1753" s="244">
        <f t="shared" si="250"/>
        <v>2.7666666666666666</v>
      </c>
    </row>
    <row r="1754" spans="2:19" x14ac:dyDescent="0.2">
      <c r="B1754" s="67">
        <f t="shared" si="245"/>
        <v>16</v>
      </c>
      <c r="C1754" s="2"/>
      <c r="D1754" s="2"/>
      <c r="E1754" s="2"/>
      <c r="F1754" s="46"/>
      <c r="G1754" s="2"/>
      <c r="H1754" s="2" t="s">
        <v>346</v>
      </c>
      <c r="I1754" s="51">
        <v>12000</v>
      </c>
      <c r="J1754" s="51">
        <v>0</v>
      </c>
      <c r="K1754" s="225">
        <f t="shared" si="246"/>
        <v>0</v>
      </c>
      <c r="L1754" s="68"/>
      <c r="M1754" s="22"/>
      <c r="N1754" s="22"/>
      <c r="O1754" s="225"/>
      <c r="P1754" s="68"/>
      <c r="Q1754" s="22">
        <f t="shared" si="248"/>
        <v>12000</v>
      </c>
      <c r="R1754" s="22">
        <f t="shared" si="249"/>
        <v>0</v>
      </c>
      <c r="S1754" s="244">
        <f t="shared" si="250"/>
        <v>0</v>
      </c>
    </row>
    <row r="1755" spans="2:19" ht="24" x14ac:dyDescent="0.2">
      <c r="B1755" s="67">
        <f t="shared" si="245"/>
        <v>17</v>
      </c>
      <c r="C1755" s="71"/>
      <c r="D1755" s="71"/>
      <c r="E1755" s="71"/>
      <c r="F1755" s="72"/>
      <c r="G1755" s="71"/>
      <c r="H1755" s="73" t="s">
        <v>428</v>
      </c>
      <c r="I1755" s="58">
        <v>3000</v>
      </c>
      <c r="J1755" s="58"/>
      <c r="K1755" s="225">
        <f t="shared" si="246"/>
        <v>0</v>
      </c>
      <c r="L1755" s="149"/>
      <c r="M1755" s="55"/>
      <c r="N1755" s="55"/>
      <c r="O1755" s="225"/>
      <c r="P1755" s="149"/>
      <c r="Q1755" s="55">
        <f t="shared" si="248"/>
        <v>3000</v>
      </c>
      <c r="R1755" s="55">
        <f t="shared" si="249"/>
        <v>0</v>
      </c>
      <c r="S1755" s="248">
        <f t="shared" si="250"/>
        <v>0</v>
      </c>
    </row>
    <row r="1756" spans="2:19" x14ac:dyDescent="0.2">
      <c r="B1756" s="67">
        <f t="shared" si="245"/>
        <v>18</v>
      </c>
      <c r="C1756" s="71"/>
      <c r="D1756" s="71"/>
      <c r="E1756" s="71"/>
      <c r="F1756" s="72"/>
      <c r="G1756" s="71"/>
      <c r="H1756" s="73" t="s">
        <v>424</v>
      </c>
      <c r="I1756" s="58">
        <v>10000</v>
      </c>
      <c r="J1756" s="58"/>
      <c r="K1756" s="225">
        <f t="shared" si="246"/>
        <v>0</v>
      </c>
      <c r="L1756" s="149"/>
      <c r="M1756" s="55"/>
      <c r="N1756" s="55"/>
      <c r="O1756" s="225"/>
      <c r="P1756" s="149"/>
      <c r="Q1756" s="55">
        <f t="shared" si="248"/>
        <v>10000</v>
      </c>
      <c r="R1756" s="55">
        <f t="shared" si="249"/>
        <v>0</v>
      </c>
      <c r="S1756" s="244">
        <f t="shared" si="250"/>
        <v>0</v>
      </c>
    </row>
    <row r="1757" spans="2:19" x14ac:dyDescent="0.2">
      <c r="B1757" s="67">
        <f t="shared" si="245"/>
        <v>19</v>
      </c>
      <c r="C1757" s="2"/>
      <c r="D1757" s="2"/>
      <c r="E1757" s="2"/>
      <c r="F1757" s="46"/>
      <c r="G1757" s="2"/>
      <c r="H1757" s="2" t="s">
        <v>244</v>
      </c>
      <c r="I1757" s="51">
        <v>3000</v>
      </c>
      <c r="J1757" s="51">
        <v>3000</v>
      </c>
      <c r="K1757" s="225">
        <f t="shared" si="246"/>
        <v>100</v>
      </c>
      <c r="L1757" s="68"/>
      <c r="M1757" s="22"/>
      <c r="N1757" s="22"/>
      <c r="O1757" s="225"/>
      <c r="P1757" s="68"/>
      <c r="Q1757" s="22">
        <f t="shared" si="248"/>
        <v>3000</v>
      </c>
      <c r="R1757" s="22">
        <f t="shared" si="249"/>
        <v>3000</v>
      </c>
      <c r="S1757" s="244">
        <f t="shared" si="250"/>
        <v>100</v>
      </c>
    </row>
    <row r="1758" spans="2:19" x14ac:dyDescent="0.2">
      <c r="B1758" s="67">
        <f t="shared" si="245"/>
        <v>20</v>
      </c>
      <c r="C1758" s="2"/>
      <c r="D1758" s="2"/>
      <c r="E1758" s="2"/>
      <c r="F1758" s="46"/>
      <c r="G1758" s="2"/>
      <c r="H1758" s="2" t="s">
        <v>245</v>
      </c>
      <c r="I1758" s="51">
        <v>2500</v>
      </c>
      <c r="J1758" s="51">
        <v>2500</v>
      </c>
      <c r="K1758" s="225">
        <f t="shared" si="246"/>
        <v>100</v>
      </c>
      <c r="L1758" s="68"/>
      <c r="M1758" s="22"/>
      <c r="N1758" s="22"/>
      <c r="O1758" s="225"/>
      <c r="P1758" s="68"/>
      <c r="Q1758" s="22">
        <f t="shared" si="248"/>
        <v>2500</v>
      </c>
      <c r="R1758" s="22">
        <f t="shared" si="249"/>
        <v>2500</v>
      </c>
      <c r="S1758" s="244">
        <f t="shared" si="250"/>
        <v>100</v>
      </c>
    </row>
    <row r="1759" spans="2:19" x14ac:dyDescent="0.2">
      <c r="B1759" s="67">
        <f t="shared" si="245"/>
        <v>21</v>
      </c>
      <c r="C1759" s="2"/>
      <c r="D1759" s="2"/>
      <c r="E1759" s="2"/>
      <c r="F1759" s="46"/>
      <c r="G1759" s="2"/>
      <c r="H1759" s="2" t="s">
        <v>18</v>
      </c>
      <c r="I1759" s="51">
        <v>18000</v>
      </c>
      <c r="J1759" s="51">
        <v>750</v>
      </c>
      <c r="K1759" s="225">
        <f t="shared" si="246"/>
        <v>4.1666666666666661</v>
      </c>
      <c r="L1759" s="68"/>
      <c r="M1759" s="22"/>
      <c r="N1759" s="22"/>
      <c r="O1759" s="225"/>
      <c r="P1759" s="68"/>
      <c r="Q1759" s="22">
        <f t="shared" si="248"/>
        <v>18000</v>
      </c>
      <c r="R1759" s="22">
        <f t="shared" si="249"/>
        <v>750</v>
      </c>
      <c r="S1759" s="244">
        <f t="shared" si="250"/>
        <v>4.1666666666666661</v>
      </c>
    </row>
    <row r="1760" spans="2:19" x14ac:dyDescent="0.2">
      <c r="B1760" s="67">
        <f t="shared" si="245"/>
        <v>22</v>
      </c>
      <c r="C1760" s="2"/>
      <c r="D1760" s="2"/>
      <c r="E1760" s="2"/>
      <c r="F1760" s="46"/>
      <c r="G1760" s="2"/>
      <c r="H1760" s="2" t="s">
        <v>24</v>
      </c>
      <c r="I1760" s="51">
        <v>8000</v>
      </c>
      <c r="J1760" s="51">
        <v>2478</v>
      </c>
      <c r="K1760" s="225">
        <f t="shared" si="246"/>
        <v>30.975000000000001</v>
      </c>
      <c r="L1760" s="68"/>
      <c r="M1760" s="22"/>
      <c r="N1760" s="22"/>
      <c r="O1760" s="225"/>
      <c r="P1760" s="68"/>
      <c r="Q1760" s="22">
        <f t="shared" si="248"/>
        <v>8000</v>
      </c>
      <c r="R1760" s="22">
        <f t="shared" si="249"/>
        <v>2478</v>
      </c>
      <c r="S1760" s="244">
        <f t="shared" si="250"/>
        <v>30.975000000000001</v>
      </c>
    </row>
    <row r="1761" spans="2:19" x14ac:dyDescent="0.2">
      <c r="B1761" s="67">
        <f t="shared" si="245"/>
        <v>23</v>
      </c>
      <c r="C1761" s="2"/>
      <c r="D1761" s="2"/>
      <c r="E1761" s="2"/>
      <c r="F1761" s="46"/>
      <c r="G1761" s="2"/>
      <c r="H1761" s="2" t="s">
        <v>78</v>
      </c>
      <c r="I1761" s="51">
        <v>1500</v>
      </c>
      <c r="J1761" s="51">
        <v>300</v>
      </c>
      <c r="K1761" s="225">
        <f t="shared" si="246"/>
        <v>20</v>
      </c>
      <c r="L1761" s="68"/>
      <c r="M1761" s="22"/>
      <c r="N1761" s="22"/>
      <c r="O1761" s="225"/>
      <c r="P1761" s="68"/>
      <c r="Q1761" s="22">
        <f t="shared" si="248"/>
        <v>1500</v>
      </c>
      <c r="R1761" s="22">
        <f t="shared" si="249"/>
        <v>300</v>
      </c>
      <c r="S1761" s="244">
        <f t="shared" si="250"/>
        <v>20</v>
      </c>
    </row>
    <row r="1762" spans="2:19" x14ac:dyDescent="0.2">
      <c r="B1762" s="67">
        <f t="shared" si="245"/>
        <v>24</v>
      </c>
      <c r="C1762" s="2"/>
      <c r="D1762" s="2"/>
      <c r="E1762" s="2"/>
      <c r="F1762" s="46"/>
      <c r="G1762" s="2"/>
      <c r="H1762" s="2" t="s">
        <v>237</v>
      </c>
      <c r="I1762" s="51">
        <v>500</v>
      </c>
      <c r="J1762" s="51"/>
      <c r="K1762" s="225">
        <f t="shared" si="246"/>
        <v>0</v>
      </c>
      <c r="L1762" s="68"/>
      <c r="M1762" s="22"/>
      <c r="N1762" s="22"/>
      <c r="O1762" s="225"/>
      <c r="P1762" s="68"/>
      <c r="Q1762" s="22">
        <f t="shared" si="248"/>
        <v>500</v>
      </c>
      <c r="R1762" s="22">
        <f t="shared" si="249"/>
        <v>0</v>
      </c>
      <c r="S1762" s="244">
        <f t="shared" si="250"/>
        <v>0</v>
      </c>
    </row>
    <row r="1763" spans="2:19" x14ac:dyDescent="0.2">
      <c r="B1763" s="67">
        <f t="shared" si="245"/>
        <v>25</v>
      </c>
      <c r="C1763" s="2"/>
      <c r="D1763" s="2"/>
      <c r="E1763" s="2"/>
      <c r="F1763" s="46"/>
      <c r="G1763" s="2"/>
      <c r="H1763" s="2" t="s">
        <v>471</v>
      </c>
      <c r="I1763" s="22">
        <f>4000-550</f>
        <v>3450</v>
      </c>
      <c r="J1763" s="22"/>
      <c r="K1763" s="225">
        <f t="shared" si="246"/>
        <v>0</v>
      </c>
      <c r="L1763" s="68"/>
      <c r="M1763" s="22"/>
      <c r="N1763" s="22"/>
      <c r="O1763" s="225"/>
      <c r="P1763" s="68"/>
      <c r="Q1763" s="22">
        <f t="shared" si="248"/>
        <v>3450</v>
      </c>
      <c r="R1763" s="22">
        <f t="shared" si="249"/>
        <v>0</v>
      </c>
      <c r="S1763" s="244">
        <f t="shared" si="250"/>
        <v>0</v>
      </c>
    </row>
    <row r="1764" spans="2:19" ht="15" x14ac:dyDescent="0.2">
      <c r="B1764" s="67">
        <f t="shared" si="245"/>
        <v>26</v>
      </c>
      <c r="C1764" s="166">
        <v>3</v>
      </c>
      <c r="D1764" s="325" t="s">
        <v>141</v>
      </c>
      <c r="E1764" s="326"/>
      <c r="F1764" s="326"/>
      <c r="G1764" s="326"/>
      <c r="H1764" s="327"/>
      <c r="I1764" s="38">
        <f>I1765+I1766+I1773</f>
        <v>168900</v>
      </c>
      <c r="J1764" s="38">
        <f>J1765+J1766+J1773</f>
        <v>82513</v>
      </c>
      <c r="K1764" s="225">
        <f t="shared" si="246"/>
        <v>48.853167554766138</v>
      </c>
      <c r="L1764" s="173"/>
      <c r="M1764" s="38">
        <f>M1770</f>
        <v>5300</v>
      </c>
      <c r="N1764" s="38">
        <f>N1770</f>
        <v>0</v>
      </c>
      <c r="O1764" s="225">
        <f t="shared" si="247"/>
        <v>0</v>
      </c>
      <c r="P1764" s="173"/>
      <c r="Q1764" s="38">
        <f t="shared" si="248"/>
        <v>174200</v>
      </c>
      <c r="R1764" s="38">
        <f t="shared" si="249"/>
        <v>82513</v>
      </c>
      <c r="S1764" s="244">
        <f t="shared" si="250"/>
        <v>47.366819747416763</v>
      </c>
    </row>
    <row r="1765" spans="2:19" x14ac:dyDescent="0.2">
      <c r="B1765" s="67">
        <f t="shared" si="245"/>
        <v>27</v>
      </c>
      <c r="C1765" s="11"/>
      <c r="D1765" s="11"/>
      <c r="E1765" s="11"/>
      <c r="F1765" s="45" t="s">
        <v>74</v>
      </c>
      <c r="G1765" s="11">
        <v>620</v>
      </c>
      <c r="H1765" s="11" t="s">
        <v>130</v>
      </c>
      <c r="I1765" s="42">
        <v>2400</v>
      </c>
      <c r="J1765" s="42">
        <v>859</v>
      </c>
      <c r="K1765" s="225">
        <f t="shared" si="246"/>
        <v>35.791666666666664</v>
      </c>
      <c r="L1765" s="114"/>
      <c r="M1765" s="42"/>
      <c r="N1765" s="42"/>
      <c r="O1765" s="225"/>
      <c r="P1765" s="114"/>
      <c r="Q1765" s="42">
        <f t="shared" si="248"/>
        <v>2400</v>
      </c>
      <c r="R1765" s="42">
        <f t="shared" si="249"/>
        <v>859</v>
      </c>
      <c r="S1765" s="244">
        <f t="shared" si="250"/>
        <v>35.791666666666664</v>
      </c>
    </row>
    <row r="1766" spans="2:19" x14ac:dyDescent="0.2">
      <c r="B1766" s="67">
        <f t="shared" si="245"/>
        <v>28</v>
      </c>
      <c r="C1766" s="11"/>
      <c r="D1766" s="11"/>
      <c r="E1766" s="11"/>
      <c r="F1766" s="45" t="s">
        <v>74</v>
      </c>
      <c r="G1766" s="11">
        <v>630</v>
      </c>
      <c r="H1766" s="11" t="s">
        <v>127</v>
      </c>
      <c r="I1766" s="42">
        <f>I1767+I1768+I1769</f>
        <v>26700</v>
      </c>
      <c r="J1766" s="42">
        <f>J1767+J1768+J1769</f>
        <v>14114</v>
      </c>
      <c r="K1766" s="225">
        <f t="shared" si="246"/>
        <v>52.861423220973776</v>
      </c>
      <c r="L1766" s="114"/>
      <c r="M1766" s="42">
        <v>0</v>
      </c>
      <c r="N1766" s="42"/>
      <c r="O1766" s="225"/>
      <c r="P1766" s="114"/>
      <c r="Q1766" s="42">
        <f t="shared" si="248"/>
        <v>26700</v>
      </c>
      <c r="R1766" s="42">
        <f t="shared" si="249"/>
        <v>14114</v>
      </c>
      <c r="S1766" s="244">
        <f t="shared" si="250"/>
        <v>52.861423220973776</v>
      </c>
    </row>
    <row r="1767" spans="2:19" x14ac:dyDescent="0.2">
      <c r="B1767" s="67">
        <f t="shared" si="245"/>
        <v>29</v>
      </c>
      <c r="C1767" s="2"/>
      <c r="D1767" s="2"/>
      <c r="E1767" s="2"/>
      <c r="F1767" s="46" t="s">
        <v>74</v>
      </c>
      <c r="G1767" s="2">
        <v>633</v>
      </c>
      <c r="H1767" s="2" t="s">
        <v>131</v>
      </c>
      <c r="I1767" s="22">
        <v>5000</v>
      </c>
      <c r="J1767" s="22">
        <v>3860</v>
      </c>
      <c r="K1767" s="225">
        <f t="shared" si="246"/>
        <v>77.2</v>
      </c>
      <c r="L1767" s="68"/>
      <c r="M1767" s="22"/>
      <c r="N1767" s="22"/>
      <c r="O1767" s="225"/>
      <c r="P1767" s="68"/>
      <c r="Q1767" s="22">
        <f t="shared" si="248"/>
        <v>5000</v>
      </c>
      <c r="R1767" s="22">
        <f t="shared" si="249"/>
        <v>3860</v>
      </c>
      <c r="S1767" s="244">
        <f t="shared" si="250"/>
        <v>77.2</v>
      </c>
    </row>
    <row r="1768" spans="2:19" x14ac:dyDescent="0.2">
      <c r="B1768" s="67">
        <f t="shared" si="245"/>
        <v>30</v>
      </c>
      <c r="C1768" s="2"/>
      <c r="D1768" s="2"/>
      <c r="E1768" s="2"/>
      <c r="F1768" s="46" t="s">
        <v>74</v>
      </c>
      <c r="G1768" s="2">
        <v>637</v>
      </c>
      <c r="H1768" s="2" t="s">
        <v>128</v>
      </c>
      <c r="I1768" s="22">
        <f>12200-2500</f>
        <v>9700</v>
      </c>
      <c r="J1768" s="22">
        <v>4454</v>
      </c>
      <c r="K1768" s="225">
        <f t="shared" si="246"/>
        <v>45.917525773195877</v>
      </c>
      <c r="L1768" s="68"/>
      <c r="M1768" s="22"/>
      <c r="N1768" s="22"/>
      <c r="O1768" s="225"/>
      <c r="P1768" s="68"/>
      <c r="Q1768" s="22">
        <f t="shared" si="248"/>
        <v>9700</v>
      </c>
      <c r="R1768" s="22">
        <f t="shared" si="249"/>
        <v>4454</v>
      </c>
      <c r="S1768" s="244">
        <f t="shared" si="250"/>
        <v>45.917525773195877</v>
      </c>
    </row>
    <row r="1769" spans="2:19" x14ac:dyDescent="0.2">
      <c r="B1769" s="67">
        <f t="shared" si="245"/>
        <v>31</v>
      </c>
      <c r="C1769" s="2"/>
      <c r="D1769" s="2"/>
      <c r="E1769" s="2"/>
      <c r="F1769" s="46" t="s">
        <v>74</v>
      </c>
      <c r="G1769" s="2">
        <v>630</v>
      </c>
      <c r="H1769" s="2" t="s">
        <v>142</v>
      </c>
      <c r="I1769" s="51">
        <f>500+9000+2500</f>
        <v>12000</v>
      </c>
      <c r="J1769" s="51">
        <v>5800</v>
      </c>
      <c r="K1769" s="225">
        <f t="shared" si="246"/>
        <v>48.333333333333336</v>
      </c>
      <c r="L1769" s="68"/>
      <c r="M1769" s="22"/>
      <c r="N1769" s="22"/>
      <c r="O1769" s="225"/>
      <c r="P1769" s="68"/>
      <c r="Q1769" s="22">
        <f t="shared" si="248"/>
        <v>12000</v>
      </c>
      <c r="R1769" s="22">
        <f t="shared" si="249"/>
        <v>5800</v>
      </c>
      <c r="S1769" s="244">
        <f t="shared" si="250"/>
        <v>48.333333333333336</v>
      </c>
    </row>
    <row r="1770" spans="2:19" x14ac:dyDescent="0.2">
      <c r="B1770" s="67">
        <f t="shared" si="245"/>
        <v>32</v>
      </c>
      <c r="C1770" s="2"/>
      <c r="D1770" s="2"/>
      <c r="E1770" s="2"/>
      <c r="F1770" s="45" t="s">
        <v>188</v>
      </c>
      <c r="G1770" s="11">
        <v>710</v>
      </c>
      <c r="H1770" s="11" t="s">
        <v>183</v>
      </c>
      <c r="I1770" s="42">
        <v>0</v>
      </c>
      <c r="J1770" s="42"/>
      <c r="K1770" s="225"/>
      <c r="L1770" s="114"/>
      <c r="M1770" s="42">
        <f>M1771</f>
        <v>5300</v>
      </c>
      <c r="N1770" s="42">
        <f>N1771</f>
        <v>0</v>
      </c>
      <c r="O1770" s="225">
        <f t="shared" si="247"/>
        <v>0</v>
      </c>
      <c r="P1770" s="114"/>
      <c r="Q1770" s="42">
        <f t="shared" si="248"/>
        <v>5300</v>
      </c>
      <c r="R1770" s="42">
        <f t="shared" si="249"/>
        <v>0</v>
      </c>
      <c r="S1770" s="244">
        <f t="shared" si="250"/>
        <v>0</v>
      </c>
    </row>
    <row r="1771" spans="2:19" x14ac:dyDescent="0.2">
      <c r="B1771" s="67">
        <f t="shared" si="245"/>
        <v>33</v>
      </c>
      <c r="C1771" s="2"/>
      <c r="D1771" s="2"/>
      <c r="E1771" s="2"/>
      <c r="F1771" s="77" t="s">
        <v>188</v>
      </c>
      <c r="G1771" s="78">
        <v>716</v>
      </c>
      <c r="H1771" s="78" t="s">
        <v>0</v>
      </c>
      <c r="I1771" s="79"/>
      <c r="J1771" s="79"/>
      <c r="K1771" s="225"/>
      <c r="L1771" s="68"/>
      <c r="M1771" s="79">
        <f>M1772</f>
        <v>5300</v>
      </c>
      <c r="N1771" s="79">
        <f>N1772</f>
        <v>0</v>
      </c>
      <c r="O1771" s="225">
        <f t="shared" si="247"/>
        <v>0</v>
      </c>
      <c r="P1771" s="68"/>
      <c r="Q1771" s="79">
        <f t="shared" si="248"/>
        <v>5300</v>
      </c>
      <c r="R1771" s="79">
        <f t="shared" si="249"/>
        <v>0</v>
      </c>
      <c r="S1771" s="244">
        <f t="shared" si="250"/>
        <v>0</v>
      </c>
    </row>
    <row r="1772" spans="2:19" ht="24" x14ac:dyDescent="0.2">
      <c r="B1772" s="67">
        <f t="shared" si="245"/>
        <v>34</v>
      </c>
      <c r="C1772" s="2"/>
      <c r="D1772" s="2"/>
      <c r="E1772" s="2"/>
      <c r="F1772" s="64"/>
      <c r="G1772" s="60"/>
      <c r="H1772" s="73" t="s">
        <v>664</v>
      </c>
      <c r="I1772" s="62"/>
      <c r="J1772" s="62"/>
      <c r="K1772" s="225"/>
      <c r="L1772" s="177"/>
      <c r="M1772" s="58">
        <v>5300</v>
      </c>
      <c r="N1772" s="58">
        <v>0</v>
      </c>
      <c r="O1772" s="225">
        <f t="shared" si="247"/>
        <v>0</v>
      </c>
      <c r="P1772" s="149"/>
      <c r="Q1772" s="58">
        <f t="shared" si="248"/>
        <v>5300</v>
      </c>
      <c r="R1772" s="58">
        <f t="shared" si="249"/>
        <v>0</v>
      </c>
      <c r="S1772" s="248">
        <f t="shared" si="250"/>
        <v>0</v>
      </c>
    </row>
    <row r="1773" spans="2:19" ht="15" x14ac:dyDescent="0.25">
      <c r="B1773" s="67">
        <f t="shared" si="245"/>
        <v>35</v>
      </c>
      <c r="C1773" s="14"/>
      <c r="D1773" s="14"/>
      <c r="E1773" s="14">
        <v>2</v>
      </c>
      <c r="F1773" s="43"/>
      <c r="G1773" s="14"/>
      <c r="H1773" s="14" t="s">
        <v>255</v>
      </c>
      <c r="I1773" s="40">
        <f>I1774</f>
        <v>139800</v>
      </c>
      <c r="J1773" s="40">
        <f>J1774</f>
        <v>67540</v>
      </c>
      <c r="K1773" s="225">
        <f t="shared" si="246"/>
        <v>48.31187410586552</v>
      </c>
      <c r="L1773" s="175"/>
      <c r="M1773" s="40">
        <f>M1774</f>
        <v>0</v>
      </c>
      <c r="N1773" s="40">
        <f>N1774</f>
        <v>0</v>
      </c>
      <c r="O1773" s="225"/>
      <c r="P1773" s="175"/>
      <c r="Q1773" s="40">
        <f t="shared" si="248"/>
        <v>139800</v>
      </c>
      <c r="R1773" s="40">
        <f t="shared" si="249"/>
        <v>67540</v>
      </c>
      <c r="S1773" s="244">
        <f t="shared" si="250"/>
        <v>48.31187410586552</v>
      </c>
    </row>
    <row r="1774" spans="2:19" x14ac:dyDescent="0.2">
      <c r="B1774" s="67">
        <f t="shared" si="245"/>
        <v>36</v>
      </c>
      <c r="C1774" s="11"/>
      <c r="D1774" s="11"/>
      <c r="E1774" s="11"/>
      <c r="F1774" s="45" t="s">
        <v>74</v>
      </c>
      <c r="G1774" s="11">
        <v>630</v>
      </c>
      <c r="H1774" s="11" t="s">
        <v>127</v>
      </c>
      <c r="I1774" s="42">
        <f>I1782+I1780+I1776+I1775+I1781+I1777+I1778+I1779</f>
        <v>139800</v>
      </c>
      <c r="J1774" s="42">
        <f>J1782+J1780+J1776+J1775+J1781+J1777+J1778+J1779</f>
        <v>67540</v>
      </c>
      <c r="K1774" s="225">
        <f t="shared" si="246"/>
        <v>48.31187410586552</v>
      </c>
      <c r="L1774" s="114"/>
      <c r="M1774" s="42">
        <f>M1782+M1780+M1776+M1775</f>
        <v>0</v>
      </c>
      <c r="N1774" s="42">
        <f>N1782+N1780+N1776+N1775</f>
        <v>0</v>
      </c>
      <c r="O1774" s="225"/>
      <c r="P1774" s="114"/>
      <c r="Q1774" s="42">
        <f t="shared" si="248"/>
        <v>139800</v>
      </c>
      <c r="R1774" s="42">
        <f t="shared" si="249"/>
        <v>67540</v>
      </c>
      <c r="S1774" s="244">
        <f t="shared" si="250"/>
        <v>48.31187410586552</v>
      </c>
    </row>
    <row r="1775" spans="2:19" x14ac:dyDescent="0.2">
      <c r="B1775" s="67">
        <f t="shared" si="245"/>
        <v>37</v>
      </c>
      <c r="C1775" s="2"/>
      <c r="D1775" s="2"/>
      <c r="E1775" s="2"/>
      <c r="F1775" s="46" t="s">
        <v>74</v>
      </c>
      <c r="G1775" s="2">
        <v>632</v>
      </c>
      <c r="H1775" s="2" t="s">
        <v>138</v>
      </c>
      <c r="I1775" s="22">
        <v>114000</v>
      </c>
      <c r="J1775" s="22">
        <v>62590</v>
      </c>
      <c r="K1775" s="225">
        <f t="shared" si="246"/>
        <v>54.903508771929822</v>
      </c>
      <c r="L1775" s="68"/>
      <c r="M1775" s="22"/>
      <c r="N1775" s="22"/>
      <c r="O1775" s="225"/>
      <c r="P1775" s="68"/>
      <c r="Q1775" s="22">
        <f t="shared" si="248"/>
        <v>114000</v>
      </c>
      <c r="R1775" s="22">
        <f t="shared" si="249"/>
        <v>62590</v>
      </c>
      <c r="S1775" s="244">
        <f t="shared" si="250"/>
        <v>54.903508771929822</v>
      </c>
    </row>
    <row r="1776" spans="2:19" x14ac:dyDescent="0.2">
      <c r="B1776" s="67">
        <f t="shared" si="245"/>
        <v>38</v>
      </c>
      <c r="C1776" s="2"/>
      <c r="D1776" s="2"/>
      <c r="E1776" s="2"/>
      <c r="F1776" s="46" t="s">
        <v>74</v>
      </c>
      <c r="G1776" s="2">
        <v>633</v>
      </c>
      <c r="H1776" s="2" t="s">
        <v>131</v>
      </c>
      <c r="I1776" s="22">
        <v>2500</v>
      </c>
      <c r="J1776" s="22">
        <f>2032-J1777-J1778-J1779</f>
        <v>35</v>
      </c>
      <c r="K1776" s="225">
        <f t="shared" si="246"/>
        <v>1.4000000000000001</v>
      </c>
      <c r="L1776" s="68"/>
      <c r="M1776" s="22"/>
      <c r="N1776" s="22"/>
      <c r="O1776" s="225"/>
      <c r="P1776" s="68"/>
      <c r="Q1776" s="22">
        <f t="shared" si="248"/>
        <v>2500</v>
      </c>
      <c r="R1776" s="22">
        <f t="shared" si="249"/>
        <v>35</v>
      </c>
      <c r="S1776" s="244">
        <f t="shared" si="250"/>
        <v>1.4000000000000001</v>
      </c>
    </row>
    <row r="1777" spans="2:19" x14ac:dyDescent="0.2">
      <c r="B1777" s="67">
        <f t="shared" si="245"/>
        <v>39</v>
      </c>
      <c r="C1777" s="71"/>
      <c r="D1777" s="71"/>
      <c r="E1777" s="71"/>
      <c r="F1777" s="142" t="s">
        <v>74</v>
      </c>
      <c r="G1777" s="138">
        <v>633</v>
      </c>
      <c r="H1777" s="139" t="s">
        <v>573</v>
      </c>
      <c r="I1777" s="134">
        <v>1000</v>
      </c>
      <c r="J1777" s="134">
        <v>1000</v>
      </c>
      <c r="K1777" s="225">
        <f t="shared" si="246"/>
        <v>100</v>
      </c>
      <c r="L1777" s="149"/>
      <c r="M1777" s="134"/>
      <c r="N1777" s="134"/>
      <c r="O1777" s="225"/>
      <c r="P1777" s="149"/>
      <c r="Q1777" s="134">
        <f>M1777+I1777</f>
        <v>1000</v>
      </c>
      <c r="R1777" s="134">
        <f t="shared" ref="R1777:R1779" si="251">N1777+J1777</f>
        <v>1000</v>
      </c>
      <c r="S1777" s="244">
        <f t="shared" si="250"/>
        <v>100</v>
      </c>
    </row>
    <row r="1778" spans="2:19" x14ac:dyDescent="0.2">
      <c r="B1778" s="67">
        <f t="shared" si="245"/>
        <v>40</v>
      </c>
      <c r="C1778" s="71"/>
      <c r="D1778" s="71"/>
      <c r="E1778" s="71"/>
      <c r="F1778" s="142" t="s">
        <v>74</v>
      </c>
      <c r="G1778" s="138">
        <v>633</v>
      </c>
      <c r="H1778" s="139" t="s">
        <v>574</v>
      </c>
      <c r="I1778" s="134">
        <v>1000</v>
      </c>
      <c r="J1778" s="134"/>
      <c r="K1778" s="225">
        <f t="shared" si="246"/>
        <v>0</v>
      </c>
      <c r="L1778" s="149"/>
      <c r="M1778" s="134"/>
      <c r="N1778" s="134"/>
      <c r="O1778" s="225"/>
      <c r="P1778" s="149"/>
      <c r="Q1778" s="134">
        <f t="shared" ref="Q1778:Q1779" si="252">M1778+I1778</f>
        <v>1000</v>
      </c>
      <c r="R1778" s="134">
        <f t="shared" si="251"/>
        <v>0</v>
      </c>
      <c r="S1778" s="244">
        <f t="shared" si="250"/>
        <v>0</v>
      </c>
    </row>
    <row r="1779" spans="2:19" x14ac:dyDescent="0.2">
      <c r="B1779" s="66">
        <f t="shared" si="245"/>
        <v>41</v>
      </c>
      <c r="C1779" s="71"/>
      <c r="D1779" s="71"/>
      <c r="E1779" s="71"/>
      <c r="F1779" s="142" t="s">
        <v>74</v>
      </c>
      <c r="G1779" s="138">
        <v>633</v>
      </c>
      <c r="H1779" s="139" t="s">
        <v>575</v>
      </c>
      <c r="I1779" s="134">
        <v>1000</v>
      </c>
      <c r="J1779" s="134">
        <v>997</v>
      </c>
      <c r="K1779" s="225">
        <f t="shared" si="246"/>
        <v>99.7</v>
      </c>
      <c r="L1779" s="149"/>
      <c r="M1779" s="134"/>
      <c r="N1779" s="134"/>
      <c r="O1779" s="225"/>
      <c r="P1779" s="149"/>
      <c r="Q1779" s="134">
        <f t="shared" si="252"/>
        <v>1000</v>
      </c>
      <c r="R1779" s="134">
        <f t="shared" si="251"/>
        <v>997</v>
      </c>
      <c r="S1779" s="244">
        <f t="shared" si="250"/>
        <v>99.7</v>
      </c>
    </row>
    <row r="1780" spans="2:19" x14ac:dyDescent="0.2">
      <c r="B1780" s="67">
        <f t="shared" si="245"/>
        <v>42</v>
      </c>
      <c r="C1780" s="2"/>
      <c r="D1780" s="2"/>
      <c r="E1780" s="2"/>
      <c r="F1780" s="46" t="s">
        <v>74</v>
      </c>
      <c r="G1780" s="2">
        <v>635</v>
      </c>
      <c r="H1780" s="2" t="s">
        <v>137</v>
      </c>
      <c r="I1780" s="22">
        <f>10500-1000</f>
        <v>9500</v>
      </c>
      <c r="J1780" s="22">
        <v>671</v>
      </c>
      <c r="K1780" s="225">
        <f t="shared" si="246"/>
        <v>7.0631578947368423</v>
      </c>
      <c r="L1780" s="68"/>
      <c r="M1780" s="22"/>
      <c r="N1780" s="22"/>
      <c r="O1780" s="225"/>
      <c r="P1780" s="68"/>
      <c r="Q1780" s="22">
        <f t="shared" si="248"/>
        <v>9500</v>
      </c>
      <c r="R1780" s="22">
        <f t="shared" ref="R1780" si="253">J1780+N1780</f>
        <v>671</v>
      </c>
      <c r="S1780" s="244">
        <f t="shared" si="250"/>
        <v>7.0631578947368423</v>
      </c>
    </row>
    <row r="1781" spans="2:19" ht="24" x14ac:dyDescent="0.2">
      <c r="B1781" s="67">
        <f t="shared" si="245"/>
        <v>43</v>
      </c>
      <c r="C1781" s="2"/>
      <c r="D1781" s="2"/>
      <c r="E1781" s="2"/>
      <c r="F1781" s="72" t="s">
        <v>74</v>
      </c>
      <c r="G1781" s="71">
        <v>635</v>
      </c>
      <c r="H1781" s="121" t="s">
        <v>542</v>
      </c>
      <c r="I1781" s="118">
        <v>3000</v>
      </c>
      <c r="J1781" s="118">
        <v>0</v>
      </c>
      <c r="K1781" s="225">
        <f t="shared" si="246"/>
        <v>0</v>
      </c>
      <c r="L1781" s="149"/>
      <c r="M1781" s="118"/>
      <c r="N1781" s="118"/>
      <c r="O1781" s="225"/>
      <c r="P1781" s="149"/>
      <c r="Q1781" s="118">
        <f>I1781</f>
        <v>3000</v>
      </c>
      <c r="R1781" s="118">
        <f t="shared" ref="R1781" si="254">J1781</f>
        <v>0</v>
      </c>
      <c r="S1781" s="248">
        <f t="shared" si="250"/>
        <v>0</v>
      </c>
    </row>
    <row r="1782" spans="2:19" x14ac:dyDescent="0.2">
      <c r="B1782" s="67">
        <f t="shared" si="245"/>
        <v>44</v>
      </c>
      <c r="C1782" s="2"/>
      <c r="D1782" s="2"/>
      <c r="E1782" s="2"/>
      <c r="F1782" s="46" t="s">
        <v>74</v>
      </c>
      <c r="G1782" s="2">
        <v>637</v>
      </c>
      <c r="H1782" s="2" t="s">
        <v>128</v>
      </c>
      <c r="I1782" s="22">
        <v>7800</v>
      </c>
      <c r="J1782" s="22">
        <v>2247</v>
      </c>
      <c r="K1782" s="225">
        <f t="shared" si="246"/>
        <v>28.807692307692307</v>
      </c>
      <c r="L1782" s="68"/>
      <c r="M1782" s="22"/>
      <c r="N1782" s="22"/>
      <c r="O1782" s="225"/>
      <c r="P1782" s="68"/>
      <c r="Q1782" s="22">
        <f t="shared" si="248"/>
        <v>7800</v>
      </c>
      <c r="R1782" s="22">
        <f t="shared" ref="R1782:R1786" si="255">J1782+N1782</f>
        <v>2247</v>
      </c>
      <c r="S1782" s="244">
        <f t="shared" si="250"/>
        <v>28.807692307692307</v>
      </c>
    </row>
    <row r="1783" spans="2:19" ht="15" x14ac:dyDescent="0.2">
      <c r="B1783" s="67">
        <f t="shared" si="245"/>
        <v>45</v>
      </c>
      <c r="C1783" s="166">
        <v>4</v>
      </c>
      <c r="D1783" s="325" t="s">
        <v>203</v>
      </c>
      <c r="E1783" s="326"/>
      <c r="F1783" s="326"/>
      <c r="G1783" s="326"/>
      <c r="H1783" s="327"/>
      <c r="I1783" s="38">
        <f>I1784</f>
        <v>0</v>
      </c>
      <c r="J1783" s="38">
        <f>J1784</f>
        <v>0</v>
      </c>
      <c r="K1783" s="225"/>
      <c r="L1783" s="173"/>
      <c r="M1783" s="38">
        <f>M1784</f>
        <v>18320</v>
      </c>
      <c r="N1783" s="38">
        <f>N1784</f>
        <v>0</v>
      </c>
      <c r="O1783" s="225">
        <f t="shared" si="247"/>
        <v>0</v>
      </c>
      <c r="P1783" s="173"/>
      <c r="Q1783" s="38">
        <f t="shared" si="248"/>
        <v>18320</v>
      </c>
      <c r="R1783" s="38">
        <f t="shared" si="255"/>
        <v>0</v>
      </c>
      <c r="S1783" s="244">
        <f t="shared" si="250"/>
        <v>0</v>
      </c>
    </row>
    <row r="1784" spans="2:19" x14ac:dyDescent="0.2">
      <c r="B1784" s="67">
        <f t="shared" si="245"/>
        <v>46</v>
      </c>
      <c r="C1784" s="11"/>
      <c r="D1784" s="11"/>
      <c r="E1784" s="11"/>
      <c r="F1784" s="45" t="s">
        <v>74</v>
      </c>
      <c r="G1784" s="11">
        <v>710</v>
      </c>
      <c r="H1784" s="11" t="s">
        <v>183</v>
      </c>
      <c r="I1784" s="42">
        <f>I1785</f>
        <v>0</v>
      </c>
      <c r="J1784" s="42">
        <f>J1785</f>
        <v>0</v>
      </c>
      <c r="K1784" s="225"/>
      <c r="L1784" s="114"/>
      <c r="M1784" s="42">
        <f>M1785</f>
        <v>18320</v>
      </c>
      <c r="N1784" s="42">
        <f>N1785</f>
        <v>0</v>
      </c>
      <c r="O1784" s="225">
        <f t="shared" si="247"/>
        <v>0</v>
      </c>
      <c r="P1784" s="114"/>
      <c r="Q1784" s="42">
        <f t="shared" si="248"/>
        <v>18320</v>
      </c>
      <c r="R1784" s="42">
        <f t="shared" si="255"/>
        <v>0</v>
      </c>
      <c r="S1784" s="244">
        <f t="shared" si="250"/>
        <v>0</v>
      </c>
    </row>
    <row r="1785" spans="2:19" x14ac:dyDescent="0.2">
      <c r="B1785" s="67">
        <f t="shared" si="245"/>
        <v>47</v>
      </c>
      <c r="C1785" s="2"/>
      <c r="D1785" s="2"/>
      <c r="E1785" s="2"/>
      <c r="F1785" s="77" t="s">
        <v>74</v>
      </c>
      <c r="G1785" s="78">
        <v>717</v>
      </c>
      <c r="H1785" s="78" t="s">
        <v>193</v>
      </c>
      <c r="I1785" s="79"/>
      <c r="J1785" s="79"/>
      <c r="K1785" s="225"/>
      <c r="L1785" s="68"/>
      <c r="M1785" s="79">
        <v>18320</v>
      </c>
      <c r="N1785" s="79"/>
      <c r="O1785" s="225">
        <f t="shared" si="247"/>
        <v>0</v>
      </c>
      <c r="P1785" s="68"/>
      <c r="Q1785" s="79">
        <f t="shared" si="248"/>
        <v>18320</v>
      </c>
      <c r="R1785" s="79">
        <f t="shared" si="255"/>
        <v>0</v>
      </c>
      <c r="S1785" s="244">
        <f t="shared" si="250"/>
        <v>0</v>
      </c>
    </row>
    <row r="1786" spans="2:19" x14ac:dyDescent="0.2">
      <c r="B1786" s="67">
        <f t="shared" si="245"/>
        <v>48</v>
      </c>
      <c r="C1786" s="2"/>
      <c r="D1786" s="2"/>
      <c r="E1786" s="2"/>
      <c r="F1786" s="46"/>
      <c r="G1786" s="2"/>
      <c r="H1786" s="2" t="s">
        <v>383</v>
      </c>
      <c r="I1786" s="22"/>
      <c r="J1786" s="22"/>
      <c r="K1786" s="225"/>
      <c r="L1786" s="68"/>
      <c r="M1786" s="22">
        <v>18320</v>
      </c>
      <c r="N1786" s="22">
        <v>0</v>
      </c>
      <c r="O1786" s="225">
        <f t="shared" si="247"/>
        <v>0</v>
      </c>
      <c r="P1786" s="68"/>
      <c r="Q1786" s="22">
        <f t="shared" si="248"/>
        <v>18320</v>
      </c>
      <c r="R1786" s="22">
        <f t="shared" si="255"/>
        <v>0</v>
      </c>
      <c r="S1786" s="244">
        <f t="shared" si="250"/>
        <v>0</v>
      </c>
    </row>
    <row r="1787" spans="2:19" x14ac:dyDescent="0.2">
      <c r="B1787" s="89"/>
      <c r="C1787" s="9"/>
      <c r="D1787" s="9"/>
      <c r="E1787" s="9"/>
      <c r="F1787" s="101"/>
      <c r="G1787" s="9"/>
      <c r="H1787" s="9"/>
      <c r="I1787" s="102"/>
      <c r="J1787" s="102"/>
      <c r="K1787" s="176"/>
      <c r="L1787" s="176"/>
      <c r="M1787" s="102"/>
      <c r="N1787" s="102"/>
      <c r="O1787" s="176"/>
      <c r="P1787" s="176"/>
      <c r="Q1787" s="102"/>
    </row>
    <row r="1788" spans="2:19" x14ac:dyDescent="0.2">
      <c r="B1788" s="89"/>
      <c r="C1788" s="9"/>
      <c r="D1788" s="9"/>
      <c r="E1788" s="9"/>
      <c r="F1788" s="101"/>
      <c r="G1788" s="9"/>
      <c r="H1788" s="9"/>
      <c r="I1788" s="102"/>
      <c r="J1788" s="102"/>
      <c r="K1788" s="176"/>
      <c r="L1788" s="176"/>
      <c r="M1788" s="102"/>
      <c r="N1788" s="102"/>
      <c r="O1788" s="176"/>
      <c r="P1788" s="176"/>
      <c r="Q1788" s="102"/>
    </row>
    <row r="1789" spans="2:19" x14ac:dyDescent="0.2">
      <c r="B1789" s="89"/>
      <c r="C1789" s="9"/>
      <c r="D1789" s="9"/>
      <c r="E1789" s="9"/>
      <c r="F1789" s="101"/>
      <c r="G1789" s="9"/>
      <c r="H1789" s="9"/>
      <c r="I1789" s="102"/>
      <c r="J1789" s="102"/>
      <c r="K1789" s="176"/>
      <c r="L1789" s="176"/>
      <c r="M1789" s="102"/>
      <c r="N1789" s="102"/>
      <c r="O1789" s="176"/>
      <c r="P1789" s="176"/>
      <c r="Q1789" s="102"/>
    </row>
    <row r="1790" spans="2:19" x14ac:dyDescent="0.2">
      <c r="B1790" s="89"/>
      <c r="C1790" s="9"/>
      <c r="D1790" s="9"/>
      <c r="E1790" s="9"/>
      <c r="F1790" s="101"/>
      <c r="G1790" s="9"/>
      <c r="H1790" s="9"/>
      <c r="I1790" s="102"/>
      <c r="J1790" s="102"/>
      <c r="K1790" s="176"/>
      <c r="L1790" s="176"/>
      <c r="M1790" s="102"/>
      <c r="N1790" s="102"/>
      <c r="O1790" s="176"/>
      <c r="P1790" s="176"/>
      <c r="Q1790" s="102"/>
    </row>
    <row r="1791" spans="2:19" x14ac:dyDescent="0.2">
      <c r="B1791" s="89"/>
      <c r="C1791" s="9"/>
      <c r="D1791" s="9"/>
      <c r="E1791" s="9"/>
      <c r="F1791" s="101"/>
      <c r="G1791" s="9"/>
      <c r="H1791" s="9"/>
      <c r="I1791" s="102"/>
      <c r="J1791" s="102"/>
      <c r="K1791" s="176"/>
      <c r="L1791" s="176"/>
      <c r="M1791" s="102"/>
      <c r="N1791" s="102"/>
      <c r="O1791" s="176"/>
      <c r="P1791" s="176"/>
      <c r="Q1791" s="102"/>
    </row>
    <row r="1792" spans="2:19" x14ac:dyDescent="0.2">
      <c r="B1792" s="89"/>
      <c r="C1792" s="9"/>
      <c r="D1792" s="9"/>
      <c r="E1792" s="9"/>
      <c r="F1792" s="101"/>
      <c r="G1792" s="9"/>
      <c r="H1792" s="9"/>
      <c r="I1792" s="102"/>
      <c r="J1792" s="102"/>
      <c r="K1792" s="176"/>
      <c r="L1792" s="176"/>
      <c r="M1792" s="102"/>
      <c r="N1792" s="102"/>
      <c r="O1792" s="176"/>
      <c r="P1792" s="176"/>
      <c r="Q1792" s="102"/>
    </row>
    <row r="1793" spans="2:19" x14ac:dyDescent="0.2">
      <c r="B1793" s="89"/>
      <c r="C1793" s="9"/>
      <c r="D1793" s="9"/>
      <c r="E1793" s="9"/>
      <c r="F1793" s="101"/>
      <c r="G1793" s="9"/>
      <c r="H1793" s="9"/>
      <c r="I1793" s="102"/>
      <c r="J1793" s="102"/>
      <c r="K1793" s="176"/>
      <c r="L1793" s="176"/>
      <c r="M1793" s="102"/>
      <c r="N1793" s="102"/>
      <c r="O1793" s="176"/>
      <c r="P1793" s="176"/>
      <c r="Q1793" s="102"/>
    </row>
    <row r="1794" spans="2:19" x14ac:dyDescent="0.2">
      <c r="B1794" s="89"/>
      <c r="C1794" s="9"/>
      <c r="D1794" s="9"/>
      <c r="E1794" s="9"/>
      <c r="F1794" s="101"/>
      <c r="G1794" s="9"/>
      <c r="H1794" s="9"/>
      <c r="I1794" s="102"/>
      <c r="J1794" s="102"/>
      <c r="K1794" s="176"/>
      <c r="L1794" s="176"/>
      <c r="M1794" s="102"/>
      <c r="N1794" s="102"/>
      <c r="O1794" s="176"/>
      <c r="P1794" s="176"/>
      <c r="Q1794" s="102"/>
    </row>
    <row r="1795" spans="2:19" ht="27" x14ac:dyDescent="0.35">
      <c r="B1795" s="306" t="s">
        <v>306</v>
      </c>
      <c r="C1795" s="307"/>
      <c r="D1795" s="307"/>
      <c r="E1795" s="307"/>
      <c r="F1795" s="307"/>
      <c r="G1795" s="307"/>
      <c r="H1795" s="307"/>
      <c r="I1795" s="307"/>
      <c r="J1795" s="307"/>
      <c r="K1795" s="307"/>
      <c r="L1795" s="307"/>
      <c r="M1795" s="307"/>
      <c r="N1795" s="307"/>
      <c r="O1795" s="307"/>
      <c r="P1795" s="307"/>
      <c r="Q1795" s="307"/>
    </row>
    <row r="1796" spans="2:19" ht="12.75" customHeight="1" x14ac:dyDescent="0.2">
      <c r="B1796" s="308" t="s">
        <v>279</v>
      </c>
      <c r="C1796" s="309"/>
      <c r="D1796" s="309"/>
      <c r="E1796" s="309"/>
      <c r="F1796" s="309"/>
      <c r="G1796" s="309"/>
      <c r="H1796" s="309"/>
      <c r="I1796" s="309"/>
      <c r="J1796" s="309"/>
      <c r="K1796" s="309"/>
      <c r="L1796" s="309"/>
      <c r="M1796" s="309"/>
      <c r="N1796" s="181"/>
      <c r="O1796" s="182"/>
      <c r="P1796" s="182"/>
      <c r="Q1796" s="310" t="s">
        <v>590</v>
      </c>
      <c r="R1796" s="310" t="s">
        <v>693</v>
      </c>
      <c r="S1796" s="337" t="s">
        <v>691</v>
      </c>
    </row>
    <row r="1797" spans="2:19" ht="12.75" customHeight="1" x14ac:dyDescent="0.2">
      <c r="B1797" s="313" t="s">
        <v>111</v>
      </c>
      <c r="C1797" s="315" t="s">
        <v>119</v>
      </c>
      <c r="D1797" s="315" t="s">
        <v>120</v>
      </c>
      <c r="E1797" s="317" t="s">
        <v>124</v>
      </c>
      <c r="F1797" s="315" t="s">
        <v>121</v>
      </c>
      <c r="G1797" s="315" t="s">
        <v>122</v>
      </c>
      <c r="H1797" s="320" t="s">
        <v>123</v>
      </c>
      <c r="I1797" s="310" t="s">
        <v>587</v>
      </c>
      <c r="J1797" s="310" t="s">
        <v>690</v>
      </c>
      <c r="K1797" s="337" t="s">
        <v>691</v>
      </c>
      <c r="L1797" s="169"/>
      <c r="M1797" s="310" t="s">
        <v>588</v>
      </c>
      <c r="N1797" s="311" t="s">
        <v>692</v>
      </c>
      <c r="O1797" s="337" t="s">
        <v>691</v>
      </c>
      <c r="P1797" s="170"/>
      <c r="Q1797" s="311"/>
      <c r="R1797" s="311"/>
      <c r="S1797" s="338"/>
    </row>
    <row r="1798" spans="2:19" x14ac:dyDescent="0.2">
      <c r="B1798" s="313"/>
      <c r="C1798" s="315"/>
      <c r="D1798" s="315"/>
      <c r="E1798" s="318"/>
      <c r="F1798" s="315"/>
      <c r="G1798" s="315"/>
      <c r="H1798" s="320"/>
      <c r="I1798" s="311"/>
      <c r="J1798" s="311"/>
      <c r="K1798" s="338"/>
      <c r="L1798" s="170"/>
      <c r="M1798" s="311"/>
      <c r="N1798" s="311"/>
      <c r="O1798" s="338"/>
      <c r="P1798" s="170"/>
      <c r="Q1798" s="311"/>
      <c r="R1798" s="311"/>
      <c r="S1798" s="338"/>
    </row>
    <row r="1799" spans="2:19" x14ac:dyDescent="0.2">
      <c r="B1799" s="313"/>
      <c r="C1799" s="315"/>
      <c r="D1799" s="315"/>
      <c r="E1799" s="318"/>
      <c r="F1799" s="315"/>
      <c r="G1799" s="315"/>
      <c r="H1799" s="320"/>
      <c r="I1799" s="311"/>
      <c r="J1799" s="311"/>
      <c r="K1799" s="338"/>
      <c r="L1799" s="170"/>
      <c r="M1799" s="311"/>
      <c r="N1799" s="311"/>
      <c r="O1799" s="338"/>
      <c r="P1799" s="170"/>
      <c r="Q1799" s="311"/>
      <c r="R1799" s="311"/>
      <c r="S1799" s="338"/>
    </row>
    <row r="1800" spans="2:19" ht="13.5" thickBot="1" x14ac:dyDescent="0.25">
      <c r="B1800" s="314"/>
      <c r="C1800" s="316"/>
      <c r="D1800" s="316"/>
      <c r="E1800" s="319"/>
      <c r="F1800" s="316"/>
      <c r="G1800" s="316"/>
      <c r="H1800" s="321"/>
      <c r="I1800" s="312"/>
      <c r="J1800" s="312"/>
      <c r="K1800" s="339"/>
      <c r="L1800" s="171"/>
      <c r="M1800" s="312"/>
      <c r="N1800" s="312"/>
      <c r="O1800" s="339"/>
      <c r="P1800" s="171"/>
      <c r="Q1800" s="312"/>
      <c r="R1800" s="312"/>
      <c r="S1800" s="339"/>
    </row>
    <row r="1801" spans="2:19" ht="16.5" thickTop="1" x14ac:dyDescent="0.2">
      <c r="B1801" s="67">
        <f t="shared" ref="B1801:B1864" si="256">B1800+1</f>
        <v>1</v>
      </c>
      <c r="C1801" s="322" t="s">
        <v>306</v>
      </c>
      <c r="D1801" s="323"/>
      <c r="E1801" s="323"/>
      <c r="F1801" s="323"/>
      <c r="G1801" s="323"/>
      <c r="H1801" s="324"/>
      <c r="I1801" s="37">
        <f>I1878+I1867+I1864+I1855+I1844+I1802</f>
        <v>3666110</v>
      </c>
      <c r="J1801" s="37">
        <f>J1878+J1867+J1864+J1855+J1844+J1802</f>
        <v>1523825</v>
      </c>
      <c r="K1801" s="225">
        <f t="shared" ref="K1801:K1864" si="257">J1801/I1801*100</f>
        <v>41.565173985505069</v>
      </c>
      <c r="L1801" s="172"/>
      <c r="M1801" s="37">
        <f>M1878+M1867+M1864+M1855+M1844+M1802</f>
        <v>129660</v>
      </c>
      <c r="N1801" s="37">
        <f>N1878+N1867+N1864+N1855+N1844+N1802</f>
        <v>48497</v>
      </c>
      <c r="O1801" s="225">
        <f t="shared" ref="O1801:O1854" si="258">N1801/M1801*100</f>
        <v>37.403208391176925</v>
      </c>
      <c r="P1801" s="172"/>
      <c r="Q1801" s="37">
        <f t="shared" ref="Q1801:Q1830" si="259">I1801+M1801</f>
        <v>3795770</v>
      </c>
      <c r="R1801" s="37">
        <f t="shared" ref="R1801:R1805" si="260">J1801+N1801</f>
        <v>1572322</v>
      </c>
      <c r="S1801" s="244">
        <f t="shared" ref="S1801:S1864" si="261">R1801/Q1801*100</f>
        <v>41.423005081972832</v>
      </c>
    </row>
    <row r="1802" spans="2:19" ht="15" x14ac:dyDescent="0.2">
      <c r="B1802" s="67">
        <f t="shared" si="256"/>
        <v>2</v>
      </c>
      <c r="C1802" s="166">
        <v>1</v>
      </c>
      <c r="D1802" s="325" t="s">
        <v>205</v>
      </c>
      <c r="E1802" s="326"/>
      <c r="F1802" s="326"/>
      <c r="G1802" s="326"/>
      <c r="H1802" s="327"/>
      <c r="I1802" s="38">
        <f>I1803+I1820+I1805</f>
        <v>603480</v>
      </c>
      <c r="J1802" s="38">
        <f>J1803+J1820+J1805</f>
        <v>154142</v>
      </c>
      <c r="K1802" s="225">
        <f t="shared" si="257"/>
        <v>25.54218863922582</v>
      </c>
      <c r="L1802" s="173"/>
      <c r="M1802" s="38">
        <f>M1803+M1813+M1810</f>
        <v>33600</v>
      </c>
      <c r="N1802" s="38">
        <f>N1803+N1813+N1810</f>
        <v>0</v>
      </c>
      <c r="O1802" s="225">
        <f t="shared" si="258"/>
        <v>0</v>
      </c>
      <c r="P1802" s="173"/>
      <c r="Q1802" s="38">
        <f t="shared" si="259"/>
        <v>637080</v>
      </c>
      <c r="R1802" s="38">
        <f t="shared" si="260"/>
        <v>154142</v>
      </c>
      <c r="S1802" s="244">
        <f t="shared" si="261"/>
        <v>24.1950775412821</v>
      </c>
    </row>
    <row r="1803" spans="2:19" x14ac:dyDescent="0.2">
      <c r="B1803" s="67">
        <f t="shared" si="256"/>
        <v>3</v>
      </c>
      <c r="C1803" s="11"/>
      <c r="D1803" s="11"/>
      <c r="E1803" s="11"/>
      <c r="F1803" s="45" t="s">
        <v>15</v>
      </c>
      <c r="G1803" s="11">
        <v>630</v>
      </c>
      <c r="H1803" s="11" t="s">
        <v>127</v>
      </c>
      <c r="I1803" s="42">
        <f>I1804</f>
        <v>50000</v>
      </c>
      <c r="J1803" s="42">
        <f>J1804</f>
        <v>0</v>
      </c>
      <c r="K1803" s="225">
        <f t="shared" si="257"/>
        <v>0</v>
      </c>
      <c r="L1803" s="114"/>
      <c r="M1803" s="42">
        <v>0</v>
      </c>
      <c r="N1803" s="42">
        <v>0</v>
      </c>
      <c r="O1803" s="225"/>
      <c r="P1803" s="114"/>
      <c r="Q1803" s="42">
        <f t="shared" si="259"/>
        <v>50000</v>
      </c>
      <c r="R1803" s="42">
        <f t="shared" si="260"/>
        <v>0</v>
      </c>
      <c r="S1803" s="244">
        <f t="shared" si="261"/>
        <v>0</v>
      </c>
    </row>
    <row r="1804" spans="2:19" x14ac:dyDescent="0.2">
      <c r="B1804" s="67">
        <f t="shared" si="256"/>
        <v>4</v>
      </c>
      <c r="C1804" s="2"/>
      <c r="D1804" s="2"/>
      <c r="E1804" s="2"/>
      <c r="F1804" s="46" t="s">
        <v>15</v>
      </c>
      <c r="G1804" s="2">
        <v>635</v>
      </c>
      <c r="H1804" s="2" t="s">
        <v>416</v>
      </c>
      <c r="I1804" s="22">
        <v>50000</v>
      </c>
      <c r="J1804" s="22">
        <v>0</v>
      </c>
      <c r="K1804" s="225">
        <f t="shared" si="257"/>
        <v>0</v>
      </c>
      <c r="L1804" s="68"/>
      <c r="M1804" s="22"/>
      <c r="N1804" s="22"/>
      <c r="O1804" s="225"/>
      <c r="P1804" s="68"/>
      <c r="Q1804" s="22">
        <f t="shared" si="259"/>
        <v>50000</v>
      </c>
      <c r="R1804" s="22">
        <f t="shared" si="260"/>
        <v>0</v>
      </c>
      <c r="S1804" s="244">
        <f t="shared" si="261"/>
        <v>0</v>
      </c>
    </row>
    <row r="1805" spans="2:19" x14ac:dyDescent="0.2">
      <c r="B1805" s="67">
        <f t="shared" si="256"/>
        <v>5</v>
      </c>
      <c r="C1805" s="2"/>
      <c r="D1805" s="2"/>
      <c r="E1805" s="2"/>
      <c r="F1805" s="45" t="s">
        <v>204</v>
      </c>
      <c r="G1805" s="11">
        <v>630</v>
      </c>
      <c r="H1805" s="11" t="s">
        <v>127</v>
      </c>
      <c r="I1805" s="42">
        <f>I1806+I1807+I1808+I1809</f>
        <v>249375</v>
      </c>
      <c r="J1805" s="42">
        <f>J1806+J1807+J1808+J1809</f>
        <v>62344</v>
      </c>
      <c r="K1805" s="225">
        <f t="shared" si="257"/>
        <v>25.000100250626566</v>
      </c>
      <c r="L1805" s="114"/>
      <c r="M1805" s="42">
        <v>0</v>
      </c>
      <c r="N1805" s="42">
        <v>0</v>
      </c>
      <c r="O1805" s="225"/>
      <c r="P1805" s="114"/>
      <c r="Q1805" s="42">
        <f t="shared" si="259"/>
        <v>249375</v>
      </c>
      <c r="R1805" s="42">
        <f t="shared" si="260"/>
        <v>62344</v>
      </c>
      <c r="S1805" s="244">
        <f t="shared" si="261"/>
        <v>25.000100250626566</v>
      </c>
    </row>
    <row r="1806" spans="2:19" x14ac:dyDescent="0.2">
      <c r="B1806" s="67">
        <f t="shared" si="256"/>
        <v>6</v>
      </c>
      <c r="C1806" s="2"/>
      <c r="D1806" s="2"/>
      <c r="E1806" s="2"/>
      <c r="F1806" s="46" t="s">
        <v>204</v>
      </c>
      <c r="G1806" s="2">
        <v>635</v>
      </c>
      <c r="H1806" s="2" t="s">
        <v>619</v>
      </c>
      <c r="I1806" s="22">
        <v>11275</v>
      </c>
      <c r="J1806" s="22">
        <v>2819</v>
      </c>
      <c r="K1806" s="225">
        <f t="shared" si="257"/>
        <v>25.00221729490022</v>
      </c>
      <c r="L1806" s="68"/>
      <c r="M1806" s="22"/>
      <c r="N1806" s="22"/>
      <c r="O1806" s="225"/>
      <c r="P1806" s="68"/>
      <c r="Q1806" s="22">
        <f t="shared" ref="Q1806:Q1809" si="262">I1806+M1806</f>
        <v>11275</v>
      </c>
      <c r="R1806" s="22">
        <f t="shared" ref="R1806:R1809" si="263">J1806+N1806</f>
        <v>2819</v>
      </c>
      <c r="S1806" s="244">
        <f t="shared" si="261"/>
        <v>25.00221729490022</v>
      </c>
    </row>
    <row r="1807" spans="2:19" x14ac:dyDescent="0.2">
      <c r="B1807" s="67">
        <f t="shared" si="256"/>
        <v>7</v>
      </c>
      <c r="C1807" s="2"/>
      <c r="D1807" s="2"/>
      <c r="E1807" s="2"/>
      <c r="F1807" s="46" t="s">
        <v>204</v>
      </c>
      <c r="G1807" s="2">
        <v>635</v>
      </c>
      <c r="H1807" s="2" t="s">
        <v>620</v>
      </c>
      <c r="I1807" s="22">
        <v>51750</v>
      </c>
      <c r="J1807" s="22">
        <v>12937</v>
      </c>
      <c r="K1807" s="225">
        <f t="shared" si="257"/>
        <v>24.999033816425118</v>
      </c>
      <c r="L1807" s="68"/>
      <c r="M1807" s="22"/>
      <c r="N1807" s="22"/>
      <c r="O1807" s="225"/>
      <c r="P1807" s="68"/>
      <c r="Q1807" s="22">
        <f t="shared" si="262"/>
        <v>51750</v>
      </c>
      <c r="R1807" s="22">
        <f t="shared" si="263"/>
        <v>12937</v>
      </c>
      <c r="S1807" s="244">
        <f t="shared" si="261"/>
        <v>24.999033816425118</v>
      </c>
    </row>
    <row r="1808" spans="2:19" x14ac:dyDescent="0.2">
      <c r="B1808" s="67">
        <f t="shared" si="256"/>
        <v>8</v>
      </c>
      <c r="C1808" s="2"/>
      <c r="D1808" s="2"/>
      <c r="E1808" s="2"/>
      <c r="F1808" s="46" t="s">
        <v>204</v>
      </c>
      <c r="G1808" s="2">
        <v>635</v>
      </c>
      <c r="H1808" s="2" t="s">
        <v>621</v>
      </c>
      <c r="I1808" s="22">
        <v>63850</v>
      </c>
      <c r="J1808" s="22">
        <v>15963</v>
      </c>
      <c r="K1808" s="225">
        <f t="shared" si="257"/>
        <v>25.000783085356304</v>
      </c>
      <c r="L1808" s="68"/>
      <c r="M1808" s="22"/>
      <c r="N1808" s="22"/>
      <c r="O1808" s="225"/>
      <c r="P1808" s="68"/>
      <c r="Q1808" s="22">
        <f t="shared" si="262"/>
        <v>63850</v>
      </c>
      <c r="R1808" s="22">
        <f t="shared" si="263"/>
        <v>15963</v>
      </c>
      <c r="S1808" s="244">
        <f t="shared" si="261"/>
        <v>25.000783085356304</v>
      </c>
    </row>
    <row r="1809" spans="2:19" x14ac:dyDescent="0.2">
      <c r="B1809" s="67">
        <f t="shared" si="256"/>
        <v>9</v>
      </c>
      <c r="C1809" s="2"/>
      <c r="D1809" s="2"/>
      <c r="E1809" s="2"/>
      <c r="F1809" s="46" t="s">
        <v>204</v>
      </c>
      <c r="G1809" s="2">
        <v>635</v>
      </c>
      <c r="H1809" s="2" t="s">
        <v>622</v>
      </c>
      <c r="I1809" s="22">
        <v>122500</v>
      </c>
      <c r="J1809" s="22">
        <v>30625</v>
      </c>
      <c r="K1809" s="225">
        <f t="shared" si="257"/>
        <v>25</v>
      </c>
      <c r="L1809" s="68"/>
      <c r="M1809" s="22"/>
      <c r="N1809" s="22"/>
      <c r="O1809" s="225"/>
      <c r="P1809" s="68"/>
      <c r="Q1809" s="22">
        <f t="shared" si="262"/>
        <v>122500</v>
      </c>
      <c r="R1809" s="22">
        <f t="shared" si="263"/>
        <v>30625</v>
      </c>
      <c r="S1809" s="244">
        <f t="shared" si="261"/>
        <v>25</v>
      </c>
    </row>
    <row r="1810" spans="2:19" x14ac:dyDescent="0.2">
      <c r="B1810" s="67">
        <f t="shared" si="256"/>
        <v>10</v>
      </c>
      <c r="C1810" s="2"/>
      <c r="D1810" s="2"/>
      <c r="E1810" s="2"/>
      <c r="F1810" s="45" t="s">
        <v>15</v>
      </c>
      <c r="G1810" s="11">
        <v>710</v>
      </c>
      <c r="H1810" s="11" t="s">
        <v>183</v>
      </c>
      <c r="I1810" s="42">
        <v>0</v>
      </c>
      <c r="J1810" s="42">
        <v>0</v>
      </c>
      <c r="K1810" s="225"/>
      <c r="L1810" s="114"/>
      <c r="M1810" s="42">
        <f>M1811</f>
        <v>2100</v>
      </c>
      <c r="N1810" s="42">
        <f>N1811</f>
        <v>0</v>
      </c>
      <c r="O1810" s="225">
        <f t="shared" si="258"/>
        <v>0</v>
      </c>
      <c r="P1810" s="114"/>
      <c r="Q1810" s="42">
        <f t="shared" ref="Q1810:Q1811" si="264">I1810+M1810</f>
        <v>2100</v>
      </c>
      <c r="R1810" s="42">
        <f t="shared" ref="R1810:R1811" si="265">J1810+N1810</f>
        <v>0</v>
      </c>
      <c r="S1810" s="244">
        <f t="shared" si="261"/>
        <v>0</v>
      </c>
    </row>
    <row r="1811" spans="2:19" x14ac:dyDescent="0.2">
      <c r="B1811" s="67">
        <f t="shared" si="256"/>
        <v>11</v>
      </c>
      <c r="C1811" s="2"/>
      <c r="D1811" s="2"/>
      <c r="E1811" s="2"/>
      <c r="F1811" s="77" t="s">
        <v>15</v>
      </c>
      <c r="G1811" s="78">
        <v>717</v>
      </c>
      <c r="H1811" s="78" t="s">
        <v>193</v>
      </c>
      <c r="I1811" s="79"/>
      <c r="J1811" s="79"/>
      <c r="K1811" s="225"/>
      <c r="L1811" s="68"/>
      <c r="M1811" s="79">
        <f>M1812</f>
        <v>2100</v>
      </c>
      <c r="N1811" s="79">
        <f>N1812</f>
        <v>0</v>
      </c>
      <c r="O1811" s="225">
        <f t="shared" si="258"/>
        <v>0</v>
      </c>
      <c r="P1811" s="68"/>
      <c r="Q1811" s="79">
        <f t="shared" si="264"/>
        <v>2100</v>
      </c>
      <c r="R1811" s="79">
        <f t="shared" si="265"/>
        <v>0</v>
      </c>
      <c r="S1811" s="244">
        <f t="shared" si="261"/>
        <v>0</v>
      </c>
    </row>
    <row r="1812" spans="2:19" ht="12.75" customHeight="1" x14ac:dyDescent="0.2">
      <c r="B1812" s="67">
        <f t="shared" si="256"/>
        <v>12</v>
      </c>
      <c r="C1812" s="2"/>
      <c r="D1812" s="2"/>
      <c r="E1812" s="2"/>
      <c r="F1812" s="46"/>
      <c r="G1812" s="2"/>
      <c r="H1812" s="2" t="s">
        <v>615</v>
      </c>
      <c r="I1812" s="22"/>
      <c r="J1812" s="22"/>
      <c r="K1812" s="225"/>
      <c r="L1812" s="68"/>
      <c r="M1812" s="22">
        <v>2100</v>
      </c>
      <c r="N1812" s="22">
        <v>0</v>
      </c>
      <c r="O1812" s="225">
        <f t="shared" si="258"/>
        <v>0</v>
      </c>
      <c r="P1812" s="68"/>
      <c r="Q1812" s="22"/>
      <c r="R1812" s="22"/>
      <c r="S1812" s="244"/>
    </row>
    <row r="1813" spans="2:19" ht="18.75" customHeight="1" x14ac:dyDescent="0.2">
      <c r="B1813" s="67">
        <f t="shared" si="256"/>
        <v>13</v>
      </c>
      <c r="C1813" s="2"/>
      <c r="D1813" s="2"/>
      <c r="E1813" s="2"/>
      <c r="F1813" s="45" t="s">
        <v>204</v>
      </c>
      <c r="G1813" s="11">
        <v>710</v>
      </c>
      <c r="H1813" s="11" t="s">
        <v>183</v>
      </c>
      <c r="I1813" s="42">
        <v>0</v>
      </c>
      <c r="J1813" s="42">
        <v>0</v>
      </c>
      <c r="K1813" s="225"/>
      <c r="L1813" s="114"/>
      <c r="M1813" s="42">
        <f>M1814</f>
        <v>31500</v>
      </c>
      <c r="N1813" s="42">
        <f>N1814</f>
        <v>0</v>
      </c>
      <c r="O1813" s="225">
        <f t="shared" si="258"/>
        <v>0</v>
      </c>
      <c r="P1813" s="114"/>
      <c r="Q1813" s="42">
        <f t="shared" si="259"/>
        <v>31500</v>
      </c>
      <c r="R1813" s="42">
        <f t="shared" ref="R1813:R1830" si="266">J1813+N1813</f>
        <v>0</v>
      </c>
      <c r="S1813" s="244">
        <f t="shared" si="261"/>
        <v>0</v>
      </c>
    </row>
    <row r="1814" spans="2:19" x14ac:dyDescent="0.2">
      <c r="B1814" s="67">
        <f t="shared" si="256"/>
        <v>14</v>
      </c>
      <c r="C1814" s="2"/>
      <c r="D1814" s="2"/>
      <c r="E1814" s="2"/>
      <c r="F1814" s="77" t="s">
        <v>204</v>
      </c>
      <c r="G1814" s="78">
        <v>717</v>
      </c>
      <c r="H1814" s="78" t="s">
        <v>193</v>
      </c>
      <c r="I1814" s="79"/>
      <c r="J1814" s="79"/>
      <c r="K1814" s="225"/>
      <c r="L1814" s="68"/>
      <c r="M1814" s="79">
        <f>SUM(M1815:M1819)</f>
        <v>31500</v>
      </c>
      <c r="N1814" s="79">
        <f>SUM(N1815:N1819)</f>
        <v>0</v>
      </c>
      <c r="O1814" s="225">
        <f t="shared" si="258"/>
        <v>0</v>
      </c>
      <c r="P1814" s="68"/>
      <c r="Q1814" s="79">
        <f t="shared" si="259"/>
        <v>31500</v>
      </c>
      <c r="R1814" s="79">
        <f t="shared" si="266"/>
        <v>0</v>
      </c>
      <c r="S1814" s="244">
        <f t="shared" si="261"/>
        <v>0</v>
      </c>
    </row>
    <row r="1815" spans="2:19" ht="17.25" customHeight="1" x14ac:dyDescent="0.2">
      <c r="B1815" s="67">
        <f t="shared" si="256"/>
        <v>15</v>
      </c>
      <c r="C1815" s="71"/>
      <c r="D1815" s="71"/>
      <c r="E1815" s="71"/>
      <c r="F1815" s="142" t="s">
        <v>204</v>
      </c>
      <c r="G1815" s="138">
        <v>717</v>
      </c>
      <c r="H1815" s="138" t="s">
        <v>576</v>
      </c>
      <c r="I1815" s="134"/>
      <c r="J1815" s="134"/>
      <c r="K1815" s="225"/>
      <c r="L1815" s="149"/>
      <c r="M1815" s="134">
        <f>7000-4500</f>
        <v>2500</v>
      </c>
      <c r="N1815" s="134">
        <v>0</v>
      </c>
      <c r="O1815" s="225">
        <f t="shared" si="258"/>
        <v>0</v>
      </c>
      <c r="P1815" s="149"/>
      <c r="Q1815" s="134">
        <f t="shared" si="259"/>
        <v>2500</v>
      </c>
      <c r="R1815" s="134">
        <f t="shared" si="266"/>
        <v>0</v>
      </c>
      <c r="S1815" s="244">
        <f t="shared" si="261"/>
        <v>0</v>
      </c>
    </row>
    <row r="1816" spans="2:19" ht="24" x14ac:dyDescent="0.2">
      <c r="B1816" s="67">
        <f t="shared" si="256"/>
        <v>16</v>
      </c>
      <c r="C1816" s="71"/>
      <c r="D1816" s="71"/>
      <c r="E1816" s="71"/>
      <c r="F1816" s="142" t="s">
        <v>204</v>
      </c>
      <c r="G1816" s="138">
        <v>717</v>
      </c>
      <c r="H1816" s="139" t="s">
        <v>577</v>
      </c>
      <c r="I1816" s="134"/>
      <c r="J1816" s="134"/>
      <c r="K1816" s="225"/>
      <c r="L1816" s="149"/>
      <c r="M1816" s="134">
        <v>10000</v>
      </c>
      <c r="N1816" s="134">
        <v>0</v>
      </c>
      <c r="O1816" s="225">
        <f t="shared" si="258"/>
        <v>0</v>
      </c>
      <c r="P1816" s="149"/>
      <c r="Q1816" s="134">
        <f t="shared" si="259"/>
        <v>10000</v>
      </c>
      <c r="R1816" s="134">
        <f t="shared" si="266"/>
        <v>0</v>
      </c>
      <c r="S1816" s="244">
        <f t="shared" si="261"/>
        <v>0</v>
      </c>
    </row>
    <row r="1817" spans="2:19" x14ac:dyDescent="0.2">
      <c r="B1817" s="67">
        <f t="shared" si="256"/>
        <v>17</v>
      </c>
      <c r="C1817" s="71"/>
      <c r="D1817" s="71"/>
      <c r="E1817" s="71"/>
      <c r="F1817" s="142" t="s">
        <v>204</v>
      </c>
      <c r="G1817" s="138">
        <v>717</v>
      </c>
      <c r="H1817" s="138" t="s">
        <v>578</v>
      </c>
      <c r="I1817" s="134"/>
      <c r="J1817" s="134"/>
      <c r="K1817" s="225"/>
      <c r="L1817" s="149"/>
      <c r="M1817" s="134">
        <v>7000</v>
      </c>
      <c r="N1817" s="134">
        <v>0</v>
      </c>
      <c r="O1817" s="225">
        <f t="shared" si="258"/>
        <v>0</v>
      </c>
      <c r="P1817" s="149"/>
      <c r="Q1817" s="134">
        <f t="shared" si="259"/>
        <v>7000</v>
      </c>
      <c r="R1817" s="134">
        <f t="shared" si="266"/>
        <v>0</v>
      </c>
      <c r="S1817" s="244">
        <f t="shared" si="261"/>
        <v>0</v>
      </c>
    </row>
    <row r="1818" spans="2:19" ht="24" x14ac:dyDescent="0.2">
      <c r="B1818" s="67">
        <f t="shared" si="256"/>
        <v>18</v>
      </c>
      <c r="C1818" s="71"/>
      <c r="D1818" s="71"/>
      <c r="E1818" s="71"/>
      <c r="F1818" s="142" t="s">
        <v>204</v>
      </c>
      <c r="G1818" s="138">
        <v>717</v>
      </c>
      <c r="H1818" s="139" t="s">
        <v>579</v>
      </c>
      <c r="I1818" s="134"/>
      <c r="J1818" s="134"/>
      <c r="K1818" s="225"/>
      <c r="L1818" s="149"/>
      <c r="M1818" s="134">
        <v>3000</v>
      </c>
      <c r="N1818" s="134">
        <v>0</v>
      </c>
      <c r="O1818" s="225">
        <f t="shared" si="258"/>
        <v>0</v>
      </c>
      <c r="P1818" s="149"/>
      <c r="Q1818" s="134">
        <f t="shared" si="259"/>
        <v>3000</v>
      </c>
      <c r="R1818" s="134">
        <f t="shared" si="266"/>
        <v>0</v>
      </c>
      <c r="S1818" s="244">
        <f t="shared" si="261"/>
        <v>0</v>
      </c>
    </row>
    <row r="1819" spans="2:19" x14ac:dyDescent="0.2">
      <c r="B1819" s="66">
        <f t="shared" si="256"/>
        <v>19</v>
      </c>
      <c r="C1819" s="71"/>
      <c r="D1819" s="71"/>
      <c r="E1819" s="71"/>
      <c r="F1819" s="142" t="s">
        <v>204</v>
      </c>
      <c r="G1819" s="138">
        <v>717</v>
      </c>
      <c r="H1819" s="138" t="s">
        <v>580</v>
      </c>
      <c r="I1819" s="134"/>
      <c r="J1819" s="134"/>
      <c r="K1819" s="225"/>
      <c r="L1819" s="149"/>
      <c r="M1819" s="134">
        <v>9000</v>
      </c>
      <c r="N1819" s="134">
        <v>0</v>
      </c>
      <c r="O1819" s="225">
        <f t="shared" si="258"/>
        <v>0</v>
      </c>
      <c r="P1819" s="149"/>
      <c r="Q1819" s="134">
        <f t="shared" si="259"/>
        <v>9000</v>
      </c>
      <c r="R1819" s="134">
        <f t="shared" si="266"/>
        <v>0</v>
      </c>
      <c r="S1819" s="244">
        <f t="shared" si="261"/>
        <v>0</v>
      </c>
    </row>
    <row r="1820" spans="2:19" ht="15" x14ac:dyDescent="0.2">
      <c r="B1820" s="66">
        <f t="shared" si="256"/>
        <v>20</v>
      </c>
      <c r="C1820" s="143"/>
      <c r="D1820" s="143"/>
      <c r="E1820" s="143">
        <v>2</v>
      </c>
      <c r="F1820" s="144"/>
      <c r="G1820" s="143"/>
      <c r="H1820" s="143" t="s">
        <v>255</v>
      </c>
      <c r="I1820" s="145">
        <f>I1821+I1822+I1823+I1830+I1832+I1833+I1834+I1840+I1842</f>
        <v>304105</v>
      </c>
      <c r="J1820" s="145">
        <f>J1821+J1822+J1823+J1830+J1832+J1833+J1834+J1840+J1842</f>
        <v>91798</v>
      </c>
      <c r="K1820" s="225">
        <f t="shared" si="257"/>
        <v>30.186284342579047</v>
      </c>
      <c r="L1820" s="178"/>
      <c r="M1820" s="145">
        <v>0</v>
      </c>
      <c r="N1820" s="145">
        <v>0</v>
      </c>
      <c r="O1820" s="225"/>
      <c r="P1820" s="178"/>
      <c r="Q1820" s="145">
        <f t="shared" si="259"/>
        <v>304105</v>
      </c>
      <c r="R1820" s="145">
        <f t="shared" si="266"/>
        <v>91798</v>
      </c>
      <c r="S1820" s="244">
        <f t="shared" si="261"/>
        <v>30.186284342579047</v>
      </c>
    </row>
    <row r="1821" spans="2:19" x14ac:dyDescent="0.2">
      <c r="B1821" s="67">
        <f t="shared" si="256"/>
        <v>21</v>
      </c>
      <c r="C1821" s="11"/>
      <c r="D1821" s="11"/>
      <c r="E1821" s="11"/>
      <c r="F1821" s="45" t="s">
        <v>15</v>
      </c>
      <c r="G1821" s="11">
        <v>610</v>
      </c>
      <c r="H1821" s="11" t="s">
        <v>135</v>
      </c>
      <c r="I1821" s="42">
        <f>23500+11920</f>
        <v>35420</v>
      </c>
      <c r="J1821" s="42">
        <f>1193+11700</f>
        <v>12893</v>
      </c>
      <c r="K1821" s="225">
        <f t="shared" si="257"/>
        <v>36.400338791643136</v>
      </c>
      <c r="L1821" s="114"/>
      <c r="M1821" s="42"/>
      <c r="N1821" s="42"/>
      <c r="O1821" s="225"/>
      <c r="P1821" s="114"/>
      <c r="Q1821" s="42">
        <f t="shared" si="259"/>
        <v>35420</v>
      </c>
      <c r="R1821" s="42">
        <f t="shared" si="266"/>
        <v>12893</v>
      </c>
      <c r="S1821" s="244">
        <f t="shared" si="261"/>
        <v>36.400338791643136</v>
      </c>
    </row>
    <row r="1822" spans="2:19" x14ac:dyDescent="0.2">
      <c r="B1822" s="67">
        <f t="shared" si="256"/>
        <v>22</v>
      </c>
      <c r="C1822" s="11"/>
      <c r="D1822" s="11"/>
      <c r="E1822" s="11"/>
      <c r="F1822" s="45" t="s">
        <v>15</v>
      </c>
      <c r="G1822" s="11">
        <v>620</v>
      </c>
      <c r="H1822" s="11" t="s">
        <v>130</v>
      </c>
      <c r="I1822" s="42">
        <f>8550+4520</f>
        <v>13070</v>
      </c>
      <c r="J1822" s="42">
        <f>417+4114</f>
        <v>4531</v>
      </c>
      <c r="K1822" s="225">
        <f t="shared" si="257"/>
        <v>34.66717674062739</v>
      </c>
      <c r="L1822" s="114"/>
      <c r="M1822" s="42"/>
      <c r="N1822" s="42"/>
      <c r="O1822" s="225"/>
      <c r="P1822" s="114"/>
      <c r="Q1822" s="42">
        <f t="shared" si="259"/>
        <v>13070</v>
      </c>
      <c r="R1822" s="42">
        <f t="shared" si="266"/>
        <v>4531</v>
      </c>
      <c r="S1822" s="244">
        <f t="shared" si="261"/>
        <v>34.66717674062739</v>
      </c>
    </row>
    <row r="1823" spans="2:19" x14ac:dyDescent="0.2">
      <c r="B1823" s="67">
        <f t="shared" si="256"/>
        <v>23</v>
      </c>
      <c r="C1823" s="11"/>
      <c r="D1823" s="11"/>
      <c r="E1823" s="11"/>
      <c r="F1823" s="45" t="s">
        <v>15</v>
      </c>
      <c r="G1823" s="11">
        <v>630</v>
      </c>
      <c r="H1823" s="11" t="s">
        <v>127</v>
      </c>
      <c r="I1823" s="42">
        <f>I1829+I1828+I1827+I1826+I1825+I1824</f>
        <v>32560</v>
      </c>
      <c r="J1823" s="42">
        <f>J1829+J1828+J1827+J1826+J1825+J1824</f>
        <v>14974</v>
      </c>
      <c r="K1823" s="225">
        <f t="shared" si="257"/>
        <v>45.988943488943491</v>
      </c>
      <c r="L1823" s="114"/>
      <c r="M1823" s="42">
        <f>M1829+M1828+M1827+M1826+M1825+M1824</f>
        <v>0</v>
      </c>
      <c r="N1823" s="42">
        <f>N1829+N1828+N1827+N1826+N1825+N1824</f>
        <v>0</v>
      </c>
      <c r="O1823" s="225"/>
      <c r="P1823" s="114"/>
      <c r="Q1823" s="42">
        <f t="shared" si="259"/>
        <v>32560</v>
      </c>
      <c r="R1823" s="42">
        <f t="shared" si="266"/>
        <v>14974</v>
      </c>
      <c r="S1823" s="244">
        <f t="shared" si="261"/>
        <v>45.988943488943491</v>
      </c>
    </row>
    <row r="1824" spans="2:19" x14ac:dyDescent="0.2">
      <c r="B1824" s="67">
        <f t="shared" si="256"/>
        <v>24</v>
      </c>
      <c r="C1824" s="2"/>
      <c r="D1824" s="2"/>
      <c r="E1824" s="2"/>
      <c r="F1824" s="46" t="s">
        <v>15</v>
      </c>
      <c r="G1824" s="2">
        <v>631</v>
      </c>
      <c r="H1824" s="2" t="s">
        <v>133</v>
      </c>
      <c r="I1824" s="22">
        <v>50</v>
      </c>
      <c r="J1824" s="22">
        <v>0</v>
      </c>
      <c r="K1824" s="225">
        <f t="shared" si="257"/>
        <v>0</v>
      </c>
      <c r="L1824" s="68"/>
      <c r="M1824" s="22"/>
      <c r="N1824" s="22"/>
      <c r="O1824" s="225"/>
      <c r="P1824" s="68"/>
      <c r="Q1824" s="22">
        <f t="shared" si="259"/>
        <v>50</v>
      </c>
      <c r="R1824" s="22">
        <f t="shared" si="266"/>
        <v>0</v>
      </c>
      <c r="S1824" s="244">
        <f t="shared" si="261"/>
        <v>0</v>
      </c>
    </row>
    <row r="1825" spans="1:19" x14ac:dyDescent="0.2">
      <c r="B1825" s="67">
        <f t="shared" si="256"/>
        <v>25</v>
      </c>
      <c r="C1825" s="2"/>
      <c r="D1825" s="2"/>
      <c r="E1825" s="2"/>
      <c r="F1825" s="46" t="s">
        <v>15</v>
      </c>
      <c r="G1825" s="2">
        <v>632</v>
      </c>
      <c r="H1825" s="2" t="s">
        <v>138</v>
      </c>
      <c r="I1825" s="22">
        <v>3350</v>
      </c>
      <c r="J1825" s="22">
        <f>690+113</f>
        <v>803</v>
      </c>
      <c r="K1825" s="225">
        <f t="shared" si="257"/>
        <v>23.970149253731343</v>
      </c>
      <c r="L1825" s="68"/>
      <c r="M1825" s="22"/>
      <c r="N1825" s="22"/>
      <c r="O1825" s="225"/>
      <c r="P1825" s="68"/>
      <c r="Q1825" s="22">
        <f t="shared" si="259"/>
        <v>3350</v>
      </c>
      <c r="R1825" s="22">
        <f t="shared" si="266"/>
        <v>803</v>
      </c>
      <c r="S1825" s="244">
        <f t="shared" si="261"/>
        <v>23.970149253731343</v>
      </c>
    </row>
    <row r="1826" spans="1:19" x14ac:dyDescent="0.2">
      <c r="B1826" s="67">
        <f t="shared" si="256"/>
        <v>26</v>
      </c>
      <c r="C1826" s="2"/>
      <c r="D1826" s="2"/>
      <c r="E1826" s="2"/>
      <c r="F1826" s="46" t="s">
        <v>15</v>
      </c>
      <c r="G1826" s="2">
        <v>633</v>
      </c>
      <c r="H1826" s="2" t="s">
        <v>131</v>
      </c>
      <c r="I1826" s="22">
        <f>7600+3020</f>
        <v>10620</v>
      </c>
      <c r="J1826" s="22">
        <f>2541+2083</f>
        <v>4624</v>
      </c>
      <c r="K1826" s="225">
        <f t="shared" si="257"/>
        <v>43.540489642184561</v>
      </c>
      <c r="L1826" s="68"/>
      <c r="M1826" s="22"/>
      <c r="N1826" s="22"/>
      <c r="O1826" s="225"/>
      <c r="P1826" s="68"/>
      <c r="Q1826" s="22">
        <f t="shared" si="259"/>
        <v>10620</v>
      </c>
      <c r="R1826" s="22">
        <f t="shared" si="266"/>
        <v>4624</v>
      </c>
      <c r="S1826" s="244">
        <f t="shared" si="261"/>
        <v>43.540489642184561</v>
      </c>
    </row>
    <row r="1827" spans="1:19" x14ac:dyDescent="0.2">
      <c r="B1827" s="67">
        <f t="shared" si="256"/>
        <v>27</v>
      </c>
      <c r="C1827" s="2"/>
      <c r="D1827" s="2"/>
      <c r="E1827" s="2"/>
      <c r="F1827" s="46" t="s">
        <v>15</v>
      </c>
      <c r="G1827" s="2">
        <v>634</v>
      </c>
      <c r="H1827" s="2" t="s">
        <v>136</v>
      </c>
      <c r="I1827" s="22">
        <v>2670</v>
      </c>
      <c r="J1827" s="22">
        <f>92+670</f>
        <v>762</v>
      </c>
      <c r="K1827" s="225">
        <f t="shared" si="257"/>
        <v>28.539325842696627</v>
      </c>
      <c r="L1827" s="68"/>
      <c r="M1827" s="22"/>
      <c r="N1827" s="22"/>
      <c r="O1827" s="225"/>
      <c r="P1827" s="68"/>
      <c r="Q1827" s="22">
        <f t="shared" si="259"/>
        <v>2670</v>
      </c>
      <c r="R1827" s="22">
        <f t="shared" si="266"/>
        <v>762</v>
      </c>
      <c r="S1827" s="244">
        <f t="shared" si="261"/>
        <v>28.539325842696627</v>
      </c>
    </row>
    <row r="1828" spans="1:19" x14ac:dyDescent="0.2">
      <c r="B1828" s="67">
        <f t="shared" si="256"/>
        <v>28</v>
      </c>
      <c r="C1828" s="2"/>
      <c r="D1828" s="2"/>
      <c r="E1828" s="2"/>
      <c r="F1828" s="46" t="s">
        <v>15</v>
      </c>
      <c r="G1828" s="2">
        <v>635</v>
      </c>
      <c r="H1828" s="2" t="s">
        <v>137</v>
      </c>
      <c r="I1828" s="22">
        <f>1300+5200</f>
        <v>6500</v>
      </c>
      <c r="J1828" s="22">
        <f>4500+0</f>
        <v>4500</v>
      </c>
      <c r="K1828" s="225">
        <f t="shared" si="257"/>
        <v>69.230769230769226</v>
      </c>
      <c r="L1828" s="68"/>
      <c r="M1828" s="22"/>
      <c r="N1828" s="22"/>
      <c r="O1828" s="225"/>
      <c r="P1828" s="68"/>
      <c r="Q1828" s="22">
        <f t="shared" si="259"/>
        <v>6500</v>
      </c>
      <c r="R1828" s="22">
        <f t="shared" si="266"/>
        <v>4500</v>
      </c>
      <c r="S1828" s="244">
        <f t="shared" si="261"/>
        <v>69.230769230769226</v>
      </c>
    </row>
    <row r="1829" spans="1:19" x14ac:dyDescent="0.2">
      <c r="B1829" s="67">
        <f t="shared" si="256"/>
        <v>29</v>
      </c>
      <c r="C1829" s="2"/>
      <c r="D1829" s="2"/>
      <c r="E1829" s="2"/>
      <c r="F1829" s="46" t="s">
        <v>15</v>
      </c>
      <c r="G1829" s="2">
        <v>637</v>
      </c>
      <c r="H1829" s="2" t="s">
        <v>128</v>
      </c>
      <c r="I1829" s="22">
        <f>7900+1540-70</f>
        <v>9370</v>
      </c>
      <c r="J1829" s="22">
        <f>825+3460</f>
        <v>4285</v>
      </c>
      <c r="K1829" s="225">
        <f t="shared" si="257"/>
        <v>45.73105656350053</v>
      </c>
      <c r="L1829" s="68"/>
      <c r="M1829" s="22"/>
      <c r="N1829" s="22"/>
      <c r="O1829" s="225"/>
      <c r="P1829" s="68"/>
      <c r="Q1829" s="22">
        <f t="shared" si="259"/>
        <v>9370</v>
      </c>
      <c r="R1829" s="22">
        <f t="shared" si="266"/>
        <v>4285</v>
      </c>
      <c r="S1829" s="244">
        <f t="shared" si="261"/>
        <v>45.73105656350053</v>
      </c>
    </row>
    <row r="1830" spans="1:19" x14ac:dyDescent="0.2">
      <c r="B1830" s="67">
        <f t="shared" si="256"/>
        <v>30</v>
      </c>
      <c r="C1830" s="11"/>
      <c r="D1830" s="11"/>
      <c r="E1830" s="11"/>
      <c r="F1830" s="45" t="s">
        <v>15</v>
      </c>
      <c r="G1830" s="11">
        <v>640</v>
      </c>
      <c r="H1830" s="11" t="s">
        <v>134</v>
      </c>
      <c r="I1830" s="42">
        <f>190+70</f>
        <v>260</v>
      </c>
      <c r="J1830" s="42">
        <v>258</v>
      </c>
      <c r="K1830" s="225">
        <f t="shared" si="257"/>
        <v>99.230769230769226</v>
      </c>
      <c r="L1830" s="114"/>
      <c r="M1830" s="42"/>
      <c r="N1830" s="42"/>
      <c r="O1830" s="225"/>
      <c r="P1830" s="114"/>
      <c r="Q1830" s="42">
        <f t="shared" si="259"/>
        <v>260</v>
      </c>
      <c r="R1830" s="42">
        <f t="shared" si="266"/>
        <v>258</v>
      </c>
      <c r="S1830" s="244">
        <f t="shared" si="261"/>
        <v>99.230769230769226</v>
      </c>
    </row>
    <row r="1831" spans="1:19" s="63" customFormat="1" x14ac:dyDescent="0.2">
      <c r="A1831" s="59"/>
      <c r="B1831" s="67">
        <f t="shared" si="256"/>
        <v>31</v>
      </c>
      <c r="C1831" s="11"/>
      <c r="D1831" s="11"/>
      <c r="E1831" s="11"/>
      <c r="F1831" s="45"/>
      <c r="G1831" s="11"/>
      <c r="H1831" s="11"/>
      <c r="I1831" s="42"/>
      <c r="J1831" s="42"/>
      <c r="K1831" s="225"/>
      <c r="L1831" s="114"/>
      <c r="M1831" s="42"/>
      <c r="N1831" s="42"/>
      <c r="O1831" s="225"/>
      <c r="P1831" s="114"/>
      <c r="Q1831" s="42"/>
      <c r="R1831" s="42"/>
      <c r="S1831" s="244"/>
    </row>
    <row r="1832" spans="1:19" s="63" customFormat="1" x14ac:dyDescent="0.2">
      <c r="A1832" s="59"/>
      <c r="B1832" s="67">
        <f t="shared" si="256"/>
        <v>32</v>
      </c>
      <c r="C1832" s="11"/>
      <c r="D1832" s="11"/>
      <c r="E1832" s="11"/>
      <c r="F1832" s="45" t="s">
        <v>204</v>
      </c>
      <c r="G1832" s="11">
        <v>610</v>
      </c>
      <c r="H1832" s="11" t="s">
        <v>135</v>
      </c>
      <c r="I1832" s="42">
        <v>66300</v>
      </c>
      <c r="J1832" s="42">
        <v>33138</v>
      </c>
      <c r="K1832" s="225">
        <f t="shared" si="257"/>
        <v>49.981900452488688</v>
      </c>
      <c r="L1832" s="114"/>
      <c r="M1832" s="42"/>
      <c r="N1832" s="42"/>
      <c r="O1832" s="225"/>
      <c r="P1832" s="114"/>
      <c r="Q1832" s="42">
        <f t="shared" ref="Q1832:Q1840" si="267">I1832+M1832</f>
        <v>66300</v>
      </c>
      <c r="R1832" s="42">
        <f t="shared" ref="R1832:R1840" si="268">J1832+N1832</f>
        <v>33138</v>
      </c>
      <c r="S1832" s="244">
        <f t="shared" si="261"/>
        <v>49.981900452488688</v>
      </c>
    </row>
    <row r="1833" spans="1:19" x14ac:dyDescent="0.2">
      <c r="B1833" s="67">
        <f t="shared" si="256"/>
        <v>33</v>
      </c>
      <c r="C1833" s="11"/>
      <c r="D1833" s="11"/>
      <c r="E1833" s="11"/>
      <c r="F1833" s="45" t="s">
        <v>204</v>
      </c>
      <c r="G1833" s="11">
        <v>620</v>
      </c>
      <c r="H1833" s="11" t="s">
        <v>130</v>
      </c>
      <c r="I1833" s="42">
        <f>99020-72520</f>
        <v>26500</v>
      </c>
      <c r="J1833" s="42">
        <v>11748</v>
      </c>
      <c r="K1833" s="225">
        <f t="shared" si="257"/>
        <v>44.332075471698111</v>
      </c>
      <c r="L1833" s="114"/>
      <c r="M1833" s="42"/>
      <c r="N1833" s="42"/>
      <c r="O1833" s="225"/>
      <c r="P1833" s="114"/>
      <c r="Q1833" s="42">
        <f t="shared" si="267"/>
        <v>26500</v>
      </c>
      <c r="R1833" s="42">
        <f t="shared" si="268"/>
        <v>11748</v>
      </c>
      <c r="S1833" s="244">
        <f t="shared" si="261"/>
        <v>44.332075471698111</v>
      </c>
    </row>
    <row r="1834" spans="1:19" x14ac:dyDescent="0.2">
      <c r="B1834" s="67">
        <f t="shared" si="256"/>
        <v>34</v>
      </c>
      <c r="C1834" s="11"/>
      <c r="D1834" s="11"/>
      <c r="E1834" s="11"/>
      <c r="F1834" s="45" t="s">
        <v>204</v>
      </c>
      <c r="G1834" s="11">
        <v>630</v>
      </c>
      <c r="H1834" s="11" t="s">
        <v>127</v>
      </c>
      <c r="I1834" s="42">
        <f>I1839+I1838+I1837+I1836+I1835</f>
        <v>69695</v>
      </c>
      <c r="J1834" s="42">
        <f>J1839+J1838+J1837+J1836+J1835</f>
        <v>14011</v>
      </c>
      <c r="K1834" s="225">
        <f t="shared" si="257"/>
        <v>20.103307267379293</v>
      </c>
      <c r="L1834" s="114"/>
      <c r="M1834" s="42">
        <f>M1839+M1838+M1837+M1836+M1835</f>
        <v>0</v>
      </c>
      <c r="N1834" s="42">
        <f>N1839+N1838+N1837+N1836+N1835</f>
        <v>0</v>
      </c>
      <c r="O1834" s="225"/>
      <c r="P1834" s="114"/>
      <c r="Q1834" s="42">
        <f t="shared" si="267"/>
        <v>69695</v>
      </c>
      <c r="R1834" s="42">
        <f t="shared" si="268"/>
        <v>14011</v>
      </c>
      <c r="S1834" s="244">
        <f t="shared" si="261"/>
        <v>20.103307267379293</v>
      </c>
    </row>
    <row r="1835" spans="1:19" x14ac:dyDescent="0.2">
      <c r="B1835" s="67">
        <f t="shared" si="256"/>
        <v>35</v>
      </c>
      <c r="C1835" s="2"/>
      <c r="D1835" s="2"/>
      <c r="E1835" s="2"/>
      <c r="F1835" s="46" t="s">
        <v>204</v>
      </c>
      <c r="G1835" s="2">
        <v>633</v>
      </c>
      <c r="H1835" s="2" t="s">
        <v>131</v>
      </c>
      <c r="I1835" s="22">
        <f>26750-4000</f>
        <v>22750</v>
      </c>
      <c r="J1835" s="22">
        <v>3700</v>
      </c>
      <c r="K1835" s="225">
        <f t="shared" si="257"/>
        <v>16.263736263736263</v>
      </c>
      <c r="L1835" s="68"/>
      <c r="M1835" s="22"/>
      <c r="N1835" s="22"/>
      <c r="O1835" s="225"/>
      <c r="P1835" s="68"/>
      <c r="Q1835" s="22">
        <f t="shared" si="267"/>
        <v>22750</v>
      </c>
      <c r="R1835" s="22">
        <f t="shared" si="268"/>
        <v>3700</v>
      </c>
      <c r="S1835" s="244">
        <f t="shared" si="261"/>
        <v>16.263736263736263</v>
      </c>
    </row>
    <row r="1836" spans="1:19" x14ac:dyDescent="0.2">
      <c r="B1836" s="67">
        <f t="shared" si="256"/>
        <v>36</v>
      </c>
      <c r="C1836" s="2"/>
      <c r="D1836" s="2"/>
      <c r="E1836" s="2"/>
      <c r="F1836" s="46" t="s">
        <v>204</v>
      </c>
      <c r="G1836" s="2">
        <v>634</v>
      </c>
      <c r="H1836" s="2" t="s">
        <v>136</v>
      </c>
      <c r="I1836" s="22">
        <v>20300</v>
      </c>
      <c r="J1836" s="22">
        <v>6548</v>
      </c>
      <c r="K1836" s="225">
        <f t="shared" si="257"/>
        <v>32.256157635467979</v>
      </c>
      <c r="L1836" s="68"/>
      <c r="M1836" s="22"/>
      <c r="N1836" s="22"/>
      <c r="O1836" s="225"/>
      <c r="P1836" s="68"/>
      <c r="Q1836" s="22">
        <f t="shared" si="267"/>
        <v>20300</v>
      </c>
      <c r="R1836" s="22">
        <f t="shared" si="268"/>
        <v>6548</v>
      </c>
      <c r="S1836" s="244">
        <f t="shared" si="261"/>
        <v>32.256157635467979</v>
      </c>
    </row>
    <row r="1837" spans="1:19" x14ac:dyDescent="0.2">
      <c r="B1837" s="67">
        <f t="shared" si="256"/>
        <v>37</v>
      </c>
      <c r="C1837" s="2"/>
      <c r="D1837" s="2"/>
      <c r="E1837" s="2"/>
      <c r="F1837" s="46" t="s">
        <v>204</v>
      </c>
      <c r="G1837" s="2">
        <v>635</v>
      </c>
      <c r="H1837" s="2" t="s">
        <v>137</v>
      </c>
      <c r="I1837" s="22">
        <f>13000+278550-29000-249375-5200</f>
        <v>7975</v>
      </c>
      <c r="J1837" s="22">
        <v>247</v>
      </c>
      <c r="K1837" s="225">
        <f t="shared" si="257"/>
        <v>3.0971786833855797</v>
      </c>
      <c r="L1837" s="68"/>
      <c r="M1837" s="22"/>
      <c r="N1837" s="22"/>
      <c r="O1837" s="225"/>
      <c r="P1837" s="68"/>
      <c r="Q1837" s="22">
        <f t="shared" si="267"/>
        <v>7975</v>
      </c>
      <c r="R1837" s="22">
        <f t="shared" si="268"/>
        <v>247</v>
      </c>
      <c r="S1837" s="244">
        <f t="shared" si="261"/>
        <v>3.0971786833855797</v>
      </c>
    </row>
    <row r="1838" spans="1:19" x14ac:dyDescent="0.2">
      <c r="B1838" s="67">
        <f t="shared" si="256"/>
        <v>38</v>
      </c>
      <c r="C1838" s="2"/>
      <c r="D1838" s="2"/>
      <c r="E1838" s="2"/>
      <c r="F1838" s="46" t="s">
        <v>204</v>
      </c>
      <c r="G1838" s="2">
        <v>636</v>
      </c>
      <c r="H1838" s="2" t="s">
        <v>132</v>
      </c>
      <c r="I1838" s="22">
        <v>150</v>
      </c>
      <c r="J1838" s="22">
        <v>82</v>
      </c>
      <c r="K1838" s="225">
        <f t="shared" si="257"/>
        <v>54.666666666666664</v>
      </c>
      <c r="L1838" s="68"/>
      <c r="M1838" s="22"/>
      <c r="N1838" s="22"/>
      <c r="O1838" s="225"/>
      <c r="P1838" s="68"/>
      <c r="Q1838" s="22">
        <f t="shared" si="267"/>
        <v>150</v>
      </c>
      <c r="R1838" s="22">
        <f t="shared" si="268"/>
        <v>82</v>
      </c>
      <c r="S1838" s="244">
        <f t="shared" si="261"/>
        <v>54.666666666666664</v>
      </c>
    </row>
    <row r="1839" spans="1:19" x14ac:dyDescent="0.2">
      <c r="B1839" s="67">
        <f t="shared" si="256"/>
        <v>39</v>
      </c>
      <c r="C1839" s="2"/>
      <c r="D1839" s="2"/>
      <c r="E1839" s="2"/>
      <c r="F1839" s="46" t="s">
        <v>204</v>
      </c>
      <c r="G1839" s="2">
        <v>637</v>
      </c>
      <c r="H1839" s="2" t="s">
        <v>128</v>
      </c>
      <c r="I1839" s="22">
        <f>230050-211530</f>
        <v>18520</v>
      </c>
      <c r="J1839" s="22">
        <v>3434</v>
      </c>
      <c r="K1839" s="225">
        <f t="shared" si="257"/>
        <v>18.542116630669547</v>
      </c>
      <c r="L1839" s="68"/>
      <c r="M1839" s="22"/>
      <c r="N1839" s="22"/>
      <c r="O1839" s="225"/>
      <c r="P1839" s="68"/>
      <c r="Q1839" s="22">
        <f t="shared" si="267"/>
        <v>18520</v>
      </c>
      <c r="R1839" s="22">
        <f t="shared" si="268"/>
        <v>3434</v>
      </c>
      <c r="S1839" s="244">
        <f t="shared" si="261"/>
        <v>18.542116630669547</v>
      </c>
    </row>
    <row r="1840" spans="1:19" x14ac:dyDescent="0.2">
      <c r="B1840" s="67">
        <f t="shared" si="256"/>
        <v>40</v>
      </c>
      <c r="C1840" s="11"/>
      <c r="D1840" s="11"/>
      <c r="E1840" s="11"/>
      <c r="F1840" s="45" t="s">
        <v>204</v>
      </c>
      <c r="G1840" s="11">
        <v>640</v>
      </c>
      <c r="H1840" s="11" t="s">
        <v>134</v>
      </c>
      <c r="I1840" s="42">
        <v>300</v>
      </c>
      <c r="J1840" s="42">
        <v>245</v>
      </c>
      <c r="K1840" s="225">
        <f t="shared" si="257"/>
        <v>81.666666666666671</v>
      </c>
      <c r="L1840" s="114"/>
      <c r="M1840" s="42"/>
      <c r="N1840" s="42"/>
      <c r="O1840" s="225"/>
      <c r="P1840" s="114"/>
      <c r="Q1840" s="42">
        <f t="shared" si="267"/>
        <v>300</v>
      </c>
      <c r="R1840" s="42">
        <f t="shared" si="268"/>
        <v>245</v>
      </c>
      <c r="S1840" s="244">
        <f t="shared" si="261"/>
        <v>81.666666666666671</v>
      </c>
    </row>
    <row r="1841" spans="2:19" x14ac:dyDescent="0.2">
      <c r="B1841" s="67">
        <f t="shared" si="256"/>
        <v>41</v>
      </c>
      <c r="C1841" s="11"/>
      <c r="D1841" s="11"/>
      <c r="E1841" s="11"/>
      <c r="F1841" s="45"/>
      <c r="G1841" s="11"/>
      <c r="H1841" s="11"/>
      <c r="I1841" s="42"/>
      <c r="J1841" s="42"/>
      <c r="K1841" s="225"/>
      <c r="L1841" s="114"/>
      <c r="M1841" s="42"/>
      <c r="N1841" s="42"/>
      <c r="O1841" s="225"/>
      <c r="P1841" s="114"/>
      <c r="Q1841" s="42"/>
      <c r="R1841" s="42"/>
      <c r="S1841" s="244"/>
    </row>
    <row r="1842" spans="2:19" x14ac:dyDescent="0.2">
      <c r="B1842" s="67">
        <f t="shared" si="256"/>
        <v>42</v>
      </c>
      <c r="C1842" s="11"/>
      <c r="D1842" s="11"/>
      <c r="E1842" s="11"/>
      <c r="F1842" s="45" t="s">
        <v>204</v>
      </c>
      <c r="G1842" s="11">
        <v>630</v>
      </c>
      <c r="H1842" s="11" t="s">
        <v>422</v>
      </c>
      <c r="I1842" s="42">
        <v>60000</v>
      </c>
      <c r="J1842" s="42">
        <v>0</v>
      </c>
      <c r="K1842" s="225">
        <f t="shared" si="257"/>
        <v>0</v>
      </c>
      <c r="L1842" s="114"/>
      <c r="M1842" s="42"/>
      <c r="N1842" s="42"/>
      <c r="O1842" s="225"/>
      <c r="P1842" s="114"/>
      <c r="Q1842" s="42">
        <f>I1842+M1842</f>
        <v>60000</v>
      </c>
      <c r="R1842" s="42">
        <f t="shared" ref="R1842" si="269">J1842+N1842</f>
        <v>0</v>
      </c>
      <c r="S1842" s="244">
        <f t="shared" si="261"/>
        <v>0</v>
      </c>
    </row>
    <row r="1843" spans="2:19" x14ac:dyDescent="0.2">
      <c r="B1843" s="67">
        <f t="shared" si="256"/>
        <v>43</v>
      </c>
      <c r="C1843" s="11"/>
      <c r="D1843" s="11"/>
      <c r="E1843" s="11"/>
      <c r="F1843" s="45"/>
      <c r="G1843" s="11"/>
      <c r="H1843" s="11"/>
      <c r="I1843" s="42"/>
      <c r="J1843" s="42"/>
      <c r="K1843" s="225"/>
      <c r="L1843" s="114"/>
      <c r="M1843" s="42"/>
      <c r="N1843" s="42"/>
      <c r="O1843" s="225"/>
      <c r="P1843" s="114"/>
      <c r="Q1843" s="42"/>
      <c r="R1843" s="42"/>
      <c r="S1843" s="244"/>
    </row>
    <row r="1844" spans="2:19" ht="15" x14ac:dyDescent="0.2">
      <c r="B1844" s="67">
        <f t="shared" si="256"/>
        <v>44</v>
      </c>
      <c r="C1844" s="166">
        <v>2</v>
      </c>
      <c r="D1844" s="325" t="s">
        <v>145</v>
      </c>
      <c r="E1844" s="326"/>
      <c r="F1844" s="326"/>
      <c r="G1844" s="326"/>
      <c r="H1844" s="327"/>
      <c r="I1844" s="38">
        <f>I1845+I1849</f>
        <v>2824300</v>
      </c>
      <c r="J1844" s="38">
        <f>J1845+J1849</f>
        <v>1265012</v>
      </c>
      <c r="K1844" s="225">
        <f t="shared" si="257"/>
        <v>44.79028431823815</v>
      </c>
      <c r="L1844" s="173"/>
      <c r="M1844" s="38">
        <f>M1845+M1849</f>
        <v>80060</v>
      </c>
      <c r="N1844" s="38">
        <f>N1845+N1849</f>
        <v>32530</v>
      </c>
      <c r="O1844" s="225">
        <f t="shared" si="258"/>
        <v>40.632025980514612</v>
      </c>
      <c r="P1844" s="173"/>
      <c r="Q1844" s="38">
        <f t="shared" ref="Q1844:Q1865" si="270">I1844+M1844</f>
        <v>2904360</v>
      </c>
      <c r="R1844" s="38">
        <f t="shared" ref="R1844:R1847" si="271">J1844+N1844</f>
        <v>1297542</v>
      </c>
      <c r="S1844" s="244">
        <f t="shared" si="261"/>
        <v>44.675660042143534</v>
      </c>
    </row>
    <row r="1845" spans="2:19" ht="15" x14ac:dyDescent="0.25">
      <c r="B1845" s="67">
        <f t="shared" si="256"/>
        <v>45</v>
      </c>
      <c r="C1845" s="165"/>
      <c r="D1845" s="165">
        <v>1</v>
      </c>
      <c r="E1845" s="341" t="s">
        <v>144</v>
      </c>
      <c r="F1845" s="326"/>
      <c r="G1845" s="326"/>
      <c r="H1845" s="327"/>
      <c r="I1845" s="39">
        <f>I1846</f>
        <v>2822000</v>
      </c>
      <c r="J1845" s="39">
        <f>J1846</f>
        <v>1264212</v>
      </c>
      <c r="K1845" s="225">
        <f t="shared" si="257"/>
        <v>44.798440822111978</v>
      </c>
      <c r="L1845" s="174"/>
      <c r="M1845" s="39">
        <f>M1848</f>
        <v>15000</v>
      </c>
      <c r="N1845" s="39">
        <f>N1848</f>
        <v>0</v>
      </c>
      <c r="O1845" s="225">
        <f t="shared" si="258"/>
        <v>0</v>
      </c>
      <c r="P1845" s="174"/>
      <c r="Q1845" s="39">
        <f t="shared" si="270"/>
        <v>2837000</v>
      </c>
      <c r="R1845" s="39">
        <f t="shared" si="271"/>
        <v>1264212</v>
      </c>
      <c r="S1845" s="244">
        <f t="shared" si="261"/>
        <v>44.561579132886855</v>
      </c>
    </row>
    <row r="1846" spans="2:19" x14ac:dyDescent="0.2">
      <c r="B1846" s="67">
        <f t="shared" si="256"/>
        <v>46</v>
      </c>
      <c r="C1846" s="11"/>
      <c r="D1846" s="11"/>
      <c r="E1846" s="11"/>
      <c r="F1846" s="45" t="s">
        <v>143</v>
      </c>
      <c r="G1846" s="11">
        <v>630</v>
      </c>
      <c r="H1846" s="11" t="s">
        <v>127</v>
      </c>
      <c r="I1846" s="42">
        <f>I1847</f>
        <v>2822000</v>
      </c>
      <c r="J1846" s="42">
        <f>J1847</f>
        <v>1264212</v>
      </c>
      <c r="K1846" s="225">
        <f t="shared" si="257"/>
        <v>44.798440822111978</v>
      </c>
      <c r="L1846" s="114"/>
      <c r="M1846" s="42">
        <f>M1847</f>
        <v>0</v>
      </c>
      <c r="N1846" s="42">
        <f>N1847</f>
        <v>0</v>
      </c>
      <c r="O1846" s="225"/>
      <c r="P1846" s="114"/>
      <c r="Q1846" s="42">
        <f t="shared" si="270"/>
        <v>2822000</v>
      </c>
      <c r="R1846" s="42">
        <f t="shared" si="271"/>
        <v>1264212</v>
      </c>
      <c r="S1846" s="244">
        <f t="shared" si="261"/>
        <v>44.798440822111978</v>
      </c>
    </row>
    <row r="1847" spans="2:19" x14ac:dyDescent="0.2">
      <c r="B1847" s="67">
        <f t="shared" si="256"/>
        <v>47</v>
      </c>
      <c r="C1847" s="2"/>
      <c r="D1847" s="2"/>
      <c r="E1847" s="2"/>
      <c r="F1847" s="46" t="s">
        <v>143</v>
      </c>
      <c r="G1847" s="2">
        <v>637</v>
      </c>
      <c r="H1847" s="2" t="s">
        <v>128</v>
      </c>
      <c r="I1847" s="68">
        <f>2965000-140000-3000</f>
        <v>2822000</v>
      </c>
      <c r="J1847" s="68">
        <v>1264212</v>
      </c>
      <c r="K1847" s="225">
        <f t="shared" si="257"/>
        <v>44.798440822111978</v>
      </c>
      <c r="L1847" s="68"/>
      <c r="M1847" s="22"/>
      <c r="N1847" s="22"/>
      <c r="O1847" s="225"/>
      <c r="P1847" s="68"/>
      <c r="Q1847" s="22">
        <f t="shared" si="270"/>
        <v>2822000</v>
      </c>
      <c r="R1847" s="22">
        <f t="shared" si="271"/>
        <v>1264212</v>
      </c>
      <c r="S1847" s="244">
        <f t="shared" si="261"/>
        <v>44.798440822111978</v>
      </c>
    </row>
    <row r="1848" spans="2:19" x14ac:dyDescent="0.2">
      <c r="B1848" s="67">
        <f t="shared" si="256"/>
        <v>48</v>
      </c>
      <c r="C1848" s="2"/>
      <c r="D1848" s="2"/>
      <c r="E1848" s="48"/>
      <c r="F1848" s="162" t="s">
        <v>143</v>
      </c>
      <c r="G1848" s="163">
        <v>717</v>
      </c>
      <c r="H1848" s="163" t="s">
        <v>683</v>
      </c>
      <c r="I1848" s="118"/>
      <c r="J1848" s="118"/>
      <c r="K1848" s="225"/>
      <c r="L1848" s="149"/>
      <c r="M1848" s="118">
        <v>15000</v>
      </c>
      <c r="N1848" s="118">
        <v>0</v>
      </c>
      <c r="O1848" s="225">
        <f t="shared" si="258"/>
        <v>0</v>
      </c>
      <c r="P1848" s="149"/>
      <c r="Q1848" s="118">
        <f>M1848</f>
        <v>15000</v>
      </c>
      <c r="R1848" s="118">
        <f t="shared" ref="R1848" si="272">N1848</f>
        <v>0</v>
      </c>
      <c r="S1848" s="244">
        <f t="shared" si="261"/>
        <v>0</v>
      </c>
    </row>
    <row r="1849" spans="2:19" ht="15" x14ac:dyDescent="0.25">
      <c r="B1849" s="67">
        <f t="shared" si="256"/>
        <v>49</v>
      </c>
      <c r="C1849" s="165"/>
      <c r="D1849" s="165">
        <v>2</v>
      </c>
      <c r="E1849" s="341" t="s">
        <v>27</v>
      </c>
      <c r="F1849" s="326"/>
      <c r="G1849" s="326"/>
      <c r="H1849" s="327"/>
      <c r="I1849" s="39">
        <f>I1850+I1852</f>
        <v>2300</v>
      </c>
      <c r="J1849" s="39">
        <f>J1850+J1852</f>
        <v>800</v>
      </c>
      <c r="K1849" s="225">
        <f t="shared" si="257"/>
        <v>34.782608695652172</v>
      </c>
      <c r="L1849" s="174"/>
      <c r="M1849" s="39">
        <f>M1850+M1852</f>
        <v>65060</v>
      </c>
      <c r="N1849" s="39">
        <f>N1850+N1852</f>
        <v>32530</v>
      </c>
      <c r="O1849" s="225">
        <f t="shared" si="258"/>
        <v>50</v>
      </c>
      <c r="P1849" s="174"/>
      <c r="Q1849" s="39">
        <f t="shared" si="270"/>
        <v>67360</v>
      </c>
      <c r="R1849" s="39">
        <f t="shared" ref="R1849:R1865" si="273">J1849+N1849</f>
        <v>33330</v>
      </c>
      <c r="S1849" s="244">
        <f t="shared" si="261"/>
        <v>49.480403800475059</v>
      </c>
    </row>
    <row r="1850" spans="2:19" x14ac:dyDescent="0.2">
      <c r="B1850" s="67">
        <f t="shared" si="256"/>
        <v>50</v>
      </c>
      <c r="C1850" s="11"/>
      <c r="D1850" s="11"/>
      <c r="E1850" s="11"/>
      <c r="F1850" s="45" t="s">
        <v>143</v>
      </c>
      <c r="G1850" s="11">
        <v>630</v>
      </c>
      <c r="H1850" s="11" t="s">
        <v>127</v>
      </c>
      <c r="I1850" s="42">
        <f>I1851</f>
        <v>2300</v>
      </c>
      <c r="J1850" s="42">
        <f>J1851</f>
        <v>800</v>
      </c>
      <c r="K1850" s="225">
        <f t="shared" si="257"/>
        <v>34.782608695652172</v>
      </c>
      <c r="L1850" s="114"/>
      <c r="M1850" s="42">
        <f>M1851</f>
        <v>0</v>
      </c>
      <c r="N1850" s="42">
        <f>N1851</f>
        <v>0</v>
      </c>
      <c r="O1850" s="225"/>
      <c r="P1850" s="114"/>
      <c r="Q1850" s="42">
        <f t="shared" si="270"/>
        <v>2300</v>
      </c>
      <c r="R1850" s="42">
        <f t="shared" si="273"/>
        <v>800</v>
      </c>
      <c r="S1850" s="244">
        <f t="shared" si="261"/>
        <v>34.782608695652172</v>
      </c>
    </row>
    <row r="1851" spans="2:19" x14ac:dyDescent="0.2">
      <c r="B1851" s="67">
        <f t="shared" si="256"/>
        <v>51</v>
      </c>
      <c r="C1851" s="2"/>
      <c r="D1851" s="2"/>
      <c r="E1851" s="2"/>
      <c r="F1851" s="46" t="s">
        <v>143</v>
      </c>
      <c r="G1851" s="2">
        <v>637</v>
      </c>
      <c r="H1851" s="2" t="s">
        <v>128</v>
      </c>
      <c r="I1851" s="22">
        <v>2300</v>
      </c>
      <c r="J1851" s="22">
        <v>800</v>
      </c>
      <c r="K1851" s="225">
        <f t="shared" si="257"/>
        <v>34.782608695652172</v>
      </c>
      <c r="L1851" s="68"/>
      <c r="M1851" s="22"/>
      <c r="N1851" s="22"/>
      <c r="O1851" s="225"/>
      <c r="P1851" s="68"/>
      <c r="Q1851" s="22">
        <f t="shared" si="270"/>
        <v>2300</v>
      </c>
      <c r="R1851" s="22">
        <f t="shared" si="273"/>
        <v>800</v>
      </c>
      <c r="S1851" s="244">
        <f t="shared" si="261"/>
        <v>34.782608695652172</v>
      </c>
    </row>
    <row r="1852" spans="2:19" x14ac:dyDescent="0.2">
      <c r="B1852" s="67">
        <f t="shared" si="256"/>
        <v>52</v>
      </c>
      <c r="C1852" s="11"/>
      <c r="D1852" s="11"/>
      <c r="E1852" s="11"/>
      <c r="F1852" s="45" t="s">
        <v>143</v>
      </c>
      <c r="G1852" s="11">
        <v>710</v>
      </c>
      <c r="H1852" s="11" t="s">
        <v>183</v>
      </c>
      <c r="I1852" s="42">
        <v>0</v>
      </c>
      <c r="J1852" s="42">
        <v>0</v>
      </c>
      <c r="K1852" s="225"/>
      <c r="L1852" s="114"/>
      <c r="M1852" s="42">
        <f>M1853</f>
        <v>65060</v>
      </c>
      <c r="N1852" s="42">
        <f>N1853</f>
        <v>32530</v>
      </c>
      <c r="O1852" s="225">
        <f t="shared" si="258"/>
        <v>50</v>
      </c>
      <c r="P1852" s="114"/>
      <c r="Q1852" s="42">
        <f t="shared" si="270"/>
        <v>65060</v>
      </c>
      <c r="R1852" s="42">
        <f t="shared" si="273"/>
        <v>32530</v>
      </c>
      <c r="S1852" s="244">
        <f t="shared" si="261"/>
        <v>50</v>
      </c>
    </row>
    <row r="1853" spans="2:19" x14ac:dyDescent="0.2">
      <c r="B1853" s="67">
        <f t="shared" si="256"/>
        <v>53</v>
      </c>
      <c r="C1853" s="2"/>
      <c r="D1853" s="2"/>
      <c r="E1853" s="2"/>
      <c r="F1853" s="77" t="s">
        <v>143</v>
      </c>
      <c r="G1853" s="78">
        <v>717</v>
      </c>
      <c r="H1853" s="78" t="s">
        <v>193</v>
      </c>
      <c r="I1853" s="79"/>
      <c r="J1853" s="79"/>
      <c r="K1853" s="225"/>
      <c r="L1853" s="68"/>
      <c r="M1853" s="79">
        <f>SUM(M1854:M1854)</f>
        <v>65060</v>
      </c>
      <c r="N1853" s="79">
        <f>SUM(N1854:N1854)</f>
        <v>32530</v>
      </c>
      <c r="O1853" s="225">
        <f t="shared" si="258"/>
        <v>50</v>
      </c>
      <c r="P1853" s="68"/>
      <c r="Q1853" s="79">
        <f t="shared" si="270"/>
        <v>65060</v>
      </c>
      <c r="R1853" s="79">
        <f t="shared" si="273"/>
        <v>32530</v>
      </c>
      <c r="S1853" s="244">
        <f t="shared" si="261"/>
        <v>50</v>
      </c>
    </row>
    <row r="1854" spans="2:19" x14ac:dyDescent="0.2">
      <c r="B1854" s="67">
        <f t="shared" si="256"/>
        <v>54</v>
      </c>
      <c r="C1854" s="2"/>
      <c r="D1854" s="48"/>
      <c r="E1854" s="2"/>
      <c r="F1854" s="46"/>
      <c r="G1854" s="2"/>
      <c r="H1854" s="2" t="s">
        <v>384</v>
      </c>
      <c r="I1854" s="22"/>
      <c r="J1854" s="22"/>
      <c r="K1854" s="225"/>
      <c r="L1854" s="68"/>
      <c r="M1854" s="22">
        <v>65060</v>
      </c>
      <c r="N1854" s="22">
        <v>32530</v>
      </c>
      <c r="O1854" s="225">
        <f t="shared" si="258"/>
        <v>50</v>
      </c>
      <c r="P1854" s="68"/>
      <c r="Q1854" s="22">
        <f t="shared" si="270"/>
        <v>65060</v>
      </c>
      <c r="R1854" s="22">
        <f t="shared" si="273"/>
        <v>32530</v>
      </c>
      <c r="S1854" s="244">
        <f t="shared" si="261"/>
        <v>50</v>
      </c>
    </row>
    <row r="1855" spans="2:19" ht="15" x14ac:dyDescent="0.2">
      <c r="B1855" s="67">
        <f t="shared" si="256"/>
        <v>55</v>
      </c>
      <c r="C1855" s="166">
        <v>3</v>
      </c>
      <c r="D1855" s="325" t="s">
        <v>31</v>
      </c>
      <c r="E1855" s="326"/>
      <c r="F1855" s="326"/>
      <c r="G1855" s="326"/>
      <c r="H1855" s="327"/>
      <c r="I1855" s="38">
        <f>I1856+I1859+I1862</f>
        <v>21610</v>
      </c>
      <c r="J1855" s="38">
        <f>J1856+J1859+J1862</f>
        <v>3900</v>
      </c>
      <c r="K1855" s="225">
        <f t="shared" si="257"/>
        <v>18.047200370198983</v>
      </c>
      <c r="L1855" s="173"/>
      <c r="M1855" s="38">
        <v>0</v>
      </c>
      <c r="N1855" s="38">
        <v>0</v>
      </c>
      <c r="O1855" s="225"/>
      <c r="P1855" s="173"/>
      <c r="Q1855" s="38">
        <f t="shared" si="270"/>
        <v>21610</v>
      </c>
      <c r="R1855" s="38">
        <f t="shared" si="273"/>
        <v>3900</v>
      </c>
      <c r="S1855" s="244">
        <f t="shared" si="261"/>
        <v>18.047200370198983</v>
      </c>
    </row>
    <row r="1856" spans="2:19" x14ac:dyDescent="0.2">
      <c r="B1856" s="67">
        <f t="shared" si="256"/>
        <v>56</v>
      </c>
      <c r="C1856" s="11"/>
      <c r="D1856" s="11"/>
      <c r="E1856" s="11"/>
      <c r="F1856" s="45" t="s">
        <v>30</v>
      </c>
      <c r="G1856" s="11">
        <v>630</v>
      </c>
      <c r="H1856" s="11" t="s">
        <v>127</v>
      </c>
      <c r="I1856" s="42">
        <f>I1858+I1857</f>
        <v>10200</v>
      </c>
      <c r="J1856" s="42">
        <f>J1858+J1857</f>
        <v>3900</v>
      </c>
      <c r="K1856" s="225">
        <f t="shared" si="257"/>
        <v>38.235294117647058</v>
      </c>
      <c r="L1856" s="114"/>
      <c r="M1856" s="42">
        <f>M1858+M1857</f>
        <v>0</v>
      </c>
      <c r="N1856" s="42">
        <f>N1858+N1857</f>
        <v>0</v>
      </c>
      <c r="O1856" s="225"/>
      <c r="P1856" s="114"/>
      <c r="Q1856" s="42">
        <f t="shared" si="270"/>
        <v>10200</v>
      </c>
      <c r="R1856" s="42">
        <f t="shared" si="273"/>
        <v>3900</v>
      </c>
      <c r="S1856" s="244">
        <f t="shared" si="261"/>
        <v>38.235294117647058</v>
      </c>
    </row>
    <row r="1857" spans="2:19" x14ac:dyDescent="0.2">
      <c r="B1857" s="67">
        <f t="shared" si="256"/>
        <v>57</v>
      </c>
      <c r="C1857" s="2"/>
      <c r="D1857" s="2"/>
      <c r="E1857" s="2"/>
      <c r="F1857" s="46" t="s">
        <v>30</v>
      </c>
      <c r="G1857" s="2">
        <v>633</v>
      </c>
      <c r="H1857" s="2" t="s">
        <v>131</v>
      </c>
      <c r="I1857" s="22">
        <v>100</v>
      </c>
      <c r="J1857" s="22">
        <v>0</v>
      </c>
      <c r="K1857" s="225">
        <f t="shared" si="257"/>
        <v>0</v>
      </c>
      <c r="L1857" s="68"/>
      <c r="M1857" s="22"/>
      <c r="N1857" s="22"/>
      <c r="O1857" s="225"/>
      <c r="P1857" s="68"/>
      <c r="Q1857" s="22">
        <f t="shared" si="270"/>
        <v>100</v>
      </c>
      <c r="R1857" s="22">
        <f t="shared" si="273"/>
        <v>0</v>
      </c>
      <c r="S1857" s="244">
        <f t="shared" si="261"/>
        <v>0</v>
      </c>
    </row>
    <row r="1858" spans="2:19" x14ac:dyDescent="0.2">
      <c r="B1858" s="67">
        <f t="shared" si="256"/>
        <v>58</v>
      </c>
      <c r="C1858" s="2"/>
      <c r="D1858" s="2"/>
      <c r="E1858" s="2"/>
      <c r="F1858" s="46" t="s">
        <v>30</v>
      </c>
      <c r="G1858" s="2">
        <v>637</v>
      </c>
      <c r="H1858" s="2" t="s">
        <v>128</v>
      </c>
      <c r="I1858" s="22">
        <f>7900-3000+1200+3000+1000</f>
        <v>10100</v>
      </c>
      <c r="J1858" s="22">
        <v>3900</v>
      </c>
      <c r="K1858" s="225">
        <f t="shared" si="257"/>
        <v>38.613861386138616</v>
      </c>
      <c r="L1858" s="68"/>
      <c r="M1858" s="22"/>
      <c r="N1858" s="22"/>
      <c r="O1858" s="225"/>
      <c r="P1858" s="68"/>
      <c r="Q1858" s="22">
        <f t="shared" si="270"/>
        <v>10100</v>
      </c>
      <c r="R1858" s="22">
        <f t="shared" si="273"/>
        <v>3900</v>
      </c>
      <c r="S1858" s="244">
        <f t="shared" si="261"/>
        <v>38.613861386138616</v>
      </c>
    </row>
    <row r="1859" spans="2:19" x14ac:dyDescent="0.2">
      <c r="B1859" s="67">
        <f t="shared" si="256"/>
        <v>59</v>
      </c>
      <c r="C1859" s="2"/>
      <c r="D1859" s="2"/>
      <c r="E1859" s="2"/>
      <c r="F1859" s="45" t="s">
        <v>74</v>
      </c>
      <c r="G1859" s="11">
        <v>630</v>
      </c>
      <c r="H1859" s="11" t="s">
        <v>127</v>
      </c>
      <c r="I1859" s="42">
        <f>I1860+I1861</f>
        <v>9410</v>
      </c>
      <c r="J1859" s="42">
        <f>J1860+J1861</f>
        <v>0</v>
      </c>
      <c r="K1859" s="225">
        <f t="shared" si="257"/>
        <v>0</v>
      </c>
      <c r="L1859" s="114"/>
      <c r="M1859" s="42">
        <f>M1861+M1860</f>
        <v>0</v>
      </c>
      <c r="N1859" s="42">
        <f>N1861+N1860</f>
        <v>0</v>
      </c>
      <c r="O1859" s="225"/>
      <c r="P1859" s="114"/>
      <c r="Q1859" s="42">
        <f t="shared" si="270"/>
        <v>9410</v>
      </c>
      <c r="R1859" s="42">
        <f t="shared" si="273"/>
        <v>0</v>
      </c>
      <c r="S1859" s="244">
        <f t="shared" si="261"/>
        <v>0</v>
      </c>
    </row>
    <row r="1860" spans="2:19" x14ac:dyDescent="0.2">
      <c r="B1860" s="67">
        <f t="shared" si="256"/>
        <v>60</v>
      </c>
      <c r="C1860" s="2"/>
      <c r="D1860" s="2"/>
      <c r="E1860" s="2"/>
      <c r="F1860" s="46" t="s">
        <v>74</v>
      </c>
      <c r="G1860" s="2">
        <v>637</v>
      </c>
      <c r="H1860" s="2" t="s">
        <v>642</v>
      </c>
      <c r="I1860" s="22">
        <v>3170</v>
      </c>
      <c r="J1860" s="22">
        <v>0</v>
      </c>
      <c r="K1860" s="225">
        <f t="shared" si="257"/>
        <v>0</v>
      </c>
      <c r="L1860" s="68"/>
      <c r="M1860" s="22"/>
      <c r="N1860" s="22"/>
      <c r="O1860" s="225"/>
      <c r="P1860" s="68"/>
      <c r="Q1860" s="22">
        <f t="shared" si="270"/>
        <v>3170</v>
      </c>
      <c r="R1860" s="22">
        <f t="shared" si="273"/>
        <v>0</v>
      </c>
      <c r="S1860" s="244">
        <f t="shared" si="261"/>
        <v>0</v>
      </c>
    </row>
    <row r="1861" spans="2:19" x14ac:dyDescent="0.2">
      <c r="B1861" s="67">
        <f t="shared" si="256"/>
        <v>61</v>
      </c>
      <c r="C1861" s="2"/>
      <c r="D1861" s="2"/>
      <c r="E1861" s="2"/>
      <c r="F1861" s="46" t="s">
        <v>74</v>
      </c>
      <c r="G1861" s="2">
        <v>637</v>
      </c>
      <c r="H1861" s="2" t="s">
        <v>643</v>
      </c>
      <c r="I1861" s="22">
        <v>6240</v>
      </c>
      <c r="J1861" s="22">
        <v>0</v>
      </c>
      <c r="K1861" s="225">
        <f t="shared" si="257"/>
        <v>0</v>
      </c>
      <c r="L1861" s="68"/>
      <c r="M1861" s="22"/>
      <c r="N1861" s="22"/>
      <c r="O1861" s="225"/>
      <c r="P1861" s="68"/>
      <c r="Q1861" s="22">
        <f t="shared" si="270"/>
        <v>6240</v>
      </c>
      <c r="R1861" s="22">
        <f t="shared" si="273"/>
        <v>0</v>
      </c>
      <c r="S1861" s="244">
        <f t="shared" si="261"/>
        <v>0</v>
      </c>
    </row>
    <row r="1862" spans="2:19" x14ac:dyDescent="0.2">
      <c r="B1862" s="67">
        <f t="shared" si="256"/>
        <v>62</v>
      </c>
      <c r="C1862" s="2"/>
      <c r="D1862" s="2"/>
      <c r="E1862" s="159"/>
      <c r="F1862" s="45" t="s">
        <v>204</v>
      </c>
      <c r="G1862" s="11">
        <v>630</v>
      </c>
      <c r="H1862" s="11" t="s">
        <v>127</v>
      </c>
      <c r="I1862" s="42">
        <f>I1863</f>
        <v>2000</v>
      </c>
      <c r="J1862" s="42">
        <f>J1863</f>
        <v>0</v>
      </c>
      <c r="K1862" s="225">
        <f t="shared" si="257"/>
        <v>0</v>
      </c>
      <c r="L1862" s="114"/>
      <c r="M1862" s="42">
        <f>M1863+M1864</f>
        <v>0</v>
      </c>
      <c r="N1862" s="42">
        <f>N1863+N1864</f>
        <v>0</v>
      </c>
      <c r="O1862" s="225"/>
      <c r="P1862" s="114"/>
      <c r="Q1862" s="42">
        <f t="shared" si="270"/>
        <v>2000</v>
      </c>
      <c r="R1862" s="42">
        <f t="shared" si="273"/>
        <v>0</v>
      </c>
      <c r="S1862" s="244">
        <f t="shared" si="261"/>
        <v>0</v>
      </c>
    </row>
    <row r="1863" spans="2:19" x14ac:dyDescent="0.2">
      <c r="B1863" s="67">
        <f t="shared" si="256"/>
        <v>63</v>
      </c>
      <c r="C1863" s="2"/>
      <c r="D1863" s="2"/>
      <c r="E1863" s="159"/>
      <c r="F1863" s="46" t="s">
        <v>204</v>
      </c>
      <c r="G1863" s="2">
        <v>635</v>
      </c>
      <c r="H1863" s="2" t="s">
        <v>684</v>
      </c>
      <c r="I1863" s="22">
        <v>2000</v>
      </c>
      <c r="J1863" s="22">
        <v>0</v>
      </c>
      <c r="K1863" s="225">
        <f t="shared" si="257"/>
        <v>0</v>
      </c>
      <c r="L1863" s="68"/>
      <c r="M1863" s="22"/>
      <c r="N1863" s="22"/>
      <c r="O1863" s="225"/>
      <c r="P1863" s="68"/>
      <c r="Q1863" s="22">
        <f t="shared" si="270"/>
        <v>2000</v>
      </c>
      <c r="R1863" s="22">
        <f t="shared" si="273"/>
        <v>0</v>
      </c>
      <c r="S1863" s="244">
        <f t="shared" si="261"/>
        <v>0</v>
      </c>
    </row>
    <row r="1864" spans="2:19" ht="15" x14ac:dyDescent="0.2">
      <c r="B1864" s="67">
        <f t="shared" si="256"/>
        <v>64</v>
      </c>
      <c r="C1864" s="166">
        <v>4</v>
      </c>
      <c r="D1864" s="325" t="s">
        <v>252</v>
      </c>
      <c r="E1864" s="326"/>
      <c r="F1864" s="326"/>
      <c r="G1864" s="326"/>
      <c r="H1864" s="327"/>
      <c r="I1864" s="38">
        <f>I1865</f>
        <v>20000</v>
      </c>
      <c r="J1864" s="38">
        <f>J1865</f>
        <v>10000</v>
      </c>
      <c r="K1864" s="225">
        <f t="shared" si="257"/>
        <v>50</v>
      </c>
      <c r="L1864" s="173"/>
      <c r="M1864" s="38">
        <f>M1865</f>
        <v>0</v>
      </c>
      <c r="N1864" s="38">
        <f>N1865</f>
        <v>0</v>
      </c>
      <c r="O1864" s="225"/>
      <c r="P1864" s="173"/>
      <c r="Q1864" s="38">
        <f t="shared" si="270"/>
        <v>20000</v>
      </c>
      <c r="R1864" s="38">
        <f t="shared" si="273"/>
        <v>10000</v>
      </c>
      <c r="S1864" s="244">
        <f t="shared" si="261"/>
        <v>50</v>
      </c>
    </row>
    <row r="1865" spans="2:19" x14ac:dyDescent="0.2">
      <c r="B1865" s="67">
        <f t="shared" ref="B1865:B1889" si="274">B1864+1</f>
        <v>65</v>
      </c>
      <c r="C1865" s="11"/>
      <c r="D1865" s="11"/>
      <c r="E1865" s="11"/>
      <c r="F1865" s="45" t="s">
        <v>204</v>
      </c>
      <c r="G1865" s="11">
        <v>640</v>
      </c>
      <c r="H1865" s="11" t="s">
        <v>134</v>
      </c>
      <c r="I1865" s="42">
        <v>20000</v>
      </c>
      <c r="J1865" s="42">
        <f>J1866</f>
        <v>10000</v>
      </c>
      <c r="K1865" s="225">
        <f t="shared" ref="K1865:K1889" si="275">J1865/I1865*100</f>
        <v>50</v>
      </c>
      <c r="L1865" s="114"/>
      <c r="M1865" s="42">
        <f>M1866</f>
        <v>0</v>
      </c>
      <c r="N1865" s="42">
        <f>N1866</f>
        <v>0</v>
      </c>
      <c r="O1865" s="225"/>
      <c r="P1865" s="114"/>
      <c r="Q1865" s="42">
        <f t="shared" si="270"/>
        <v>20000</v>
      </c>
      <c r="R1865" s="42">
        <f t="shared" si="273"/>
        <v>10000</v>
      </c>
      <c r="S1865" s="244">
        <f t="shared" ref="S1865:S1889" si="276">R1865/Q1865*100</f>
        <v>50</v>
      </c>
    </row>
    <row r="1866" spans="2:19" x14ac:dyDescent="0.2">
      <c r="B1866" s="67">
        <f t="shared" si="274"/>
        <v>66</v>
      </c>
      <c r="C1866" s="11"/>
      <c r="D1866" s="50"/>
      <c r="E1866" s="11"/>
      <c r="F1866" s="45"/>
      <c r="G1866" s="11"/>
      <c r="H1866" s="52" t="s">
        <v>347</v>
      </c>
      <c r="I1866" s="51">
        <v>20000</v>
      </c>
      <c r="J1866" s="51">
        <v>10000</v>
      </c>
      <c r="K1866" s="225">
        <f t="shared" si="275"/>
        <v>50</v>
      </c>
      <c r="L1866" s="68"/>
      <c r="M1866" s="42"/>
      <c r="N1866" s="42"/>
      <c r="O1866" s="225"/>
      <c r="P1866" s="114"/>
      <c r="Q1866" s="42">
        <f>M1866+I1866</f>
        <v>20000</v>
      </c>
      <c r="R1866" s="42">
        <f t="shared" ref="R1866" si="277">N1866+J1866</f>
        <v>10000</v>
      </c>
      <c r="S1866" s="244">
        <f t="shared" si="276"/>
        <v>50</v>
      </c>
    </row>
    <row r="1867" spans="2:19" ht="15" x14ac:dyDescent="0.2">
      <c r="B1867" s="67">
        <f t="shared" si="274"/>
        <v>67</v>
      </c>
      <c r="C1867" s="166">
        <v>5</v>
      </c>
      <c r="D1867" s="325" t="s">
        <v>256</v>
      </c>
      <c r="E1867" s="326"/>
      <c r="F1867" s="326"/>
      <c r="G1867" s="326"/>
      <c r="H1867" s="327"/>
      <c r="I1867" s="38">
        <f>I1868</f>
        <v>8650</v>
      </c>
      <c r="J1867" s="38">
        <f>J1868</f>
        <v>1493</v>
      </c>
      <c r="K1867" s="225">
        <f t="shared" si="275"/>
        <v>17.260115606936417</v>
      </c>
      <c r="L1867" s="173"/>
      <c r="M1867" s="38">
        <f>M1868</f>
        <v>16000</v>
      </c>
      <c r="N1867" s="38">
        <f>N1868</f>
        <v>15967</v>
      </c>
      <c r="O1867" s="225">
        <f t="shared" ref="O1867:O1877" si="278">N1867/M1867*100</f>
        <v>99.793750000000003</v>
      </c>
      <c r="P1867" s="173"/>
      <c r="Q1867" s="38">
        <f t="shared" ref="Q1867:Q1889" si="279">I1867+M1867</f>
        <v>24650</v>
      </c>
      <c r="R1867" s="38">
        <f t="shared" ref="R1867:R1875" si="280">J1867+N1867</f>
        <v>17460</v>
      </c>
      <c r="S1867" s="244">
        <f t="shared" si="276"/>
        <v>70.8316430020284</v>
      </c>
    </row>
    <row r="1868" spans="2:19" ht="15" x14ac:dyDescent="0.25">
      <c r="B1868" s="67">
        <f t="shared" si="274"/>
        <v>68</v>
      </c>
      <c r="C1868" s="14"/>
      <c r="D1868" s="14"/>
      <c r="E1868" s="14">
        <v>2</v>
      </c>
      <c r="F1868" s="43"/>
      <c r="G1868" s="14"/>
      <c r="H1868" s="14" t="s">
        <v>255</v>
      </c>
      <c r="I1868" s="40">
        <f>I1869+I1870+I1871</f>
        <v>8650</v>
      </c>
      <c r="J1868" s="40">
        <f>J1869+J1870+J1871</f>
        <v>1493</v>
      </c>
      <c r="K1868" s="225">
        <f t="shared" si="275"/>
        <v>17.260115606936417</v>
      </c>
      <c r="L1868" s="175"/>
      <c r="M1868" s="40">
        <f>M1869+M1870+M1871+M1875</f>
        <v>16000</v>
      </c>
      <c r="N1868" s="40">
        <f>N1869+N1870+N1871+N1875</f>
        <v>15967</v>
      </c>
      <c r="O1868" s="225">
        <f t="shared" si="278"/>
        <v>99.793750000000003</v>
      </c>
      <c r="P1868" s="175"/>
      <c r="Q1868" s="40">
        <f t="shared" si="279"/>
        <v>24650</v>
      </c>
      <c r="R1868" s="40">
        <f t="shared" si="280"/>
        <v>17460</v>
      </c>
      <c r="S1868" s="244">
        <f t="shared" si="276"/>
        <v>70.8316430020284</v>
      </c>
    </row>
    <row r="1869" spans="2:19" x14ac:dyDescent="0.2">
      <c r="B1869" s="67">
        <f t="shared" si="274"/>
        <v>69</v>
      </c>
      <c r="C1869" s="11"/>
      <c r="D1869" s="11"/>
      <c r="E1869" s="11"/>
      <c r="F1869" s="45" t="s">
        <v>204</v>
      </c>
      <c r="G1869" s="11">
        <v>610</v>
      </c>
      <c r="H1869" s="11" t="s">
        <v>135</v>
      </c>
      <c r="I1869" s="42">
        <v>1100</v>
      </c>
      <c r="J1869" s="42">
        <v>398</v>
      </c>
      <c r="K1869" s="225">
        <f t="shared" si="275"/>
        <v>36.18181818181818</v>
      </c>
      <c r="L1869" s="114"/>
      <c r="M1869" s="42"/>
      <c r="N1869" s="42"/>
      <c r="O1869" s="225"/>
      <c r="P1869" s="114"/>
      <c r="Q1869" s="42">
        <f t="shared" si="279"/>
        <v>1100</v>
      </c>
      <c r="R1869" s="42">
        <f t="shared" si="280"/>
        <v>398</v>
      </c>
      <c r="S1869" s="244">
        <f t="shared" si="276"/>
        <v>36.18181818181818</v>
      </c>
    </row>
    <row r="1870" spans="2:19" x14ac:dyDescent="0.2">
      <c r="B1870" s="67">
        <f t="shared" si="274"/>
        <v>70</v>
      </c>
      <c r="C1870" s="11"/>
      <c r="D1870" s="11"/>
      <c r="E1870" s="11"/>
      <c r="F1870" s="45" t="s">
        <v>204</v>
      </c>
      <c r="G1870" s="11">
        <v>620</v>
      </c>
      <c r="H1870" s="11" t="s">
        <v>130</v>
      </c>
      <c r="I1870" s="42">
        <v>400</v>
      </c>
      <c r="J1870" s="42">
        <v>139</v>
      </c>
      <c r="K1870" s="225">
        <f t="shared" si="275"/>
        <v>34.75</v>
      </c>
      <c r="L1870" s="114"/>
      <c r="M1870" s="42"/>
      <c r="N1870" s="42"/>
      <c r="O1870" s="225"/>
      <c r="P1870" s="114"/>
      <c r="Q1870" s="42">
        <f t="shared" si="279"/>
        <v>400</v>
      </c>
      <c r="R1870" s="42">
        <f t="shared" si="280"/>
        <v>139</v>
      </c>
      <c r="S1870" s="244">
        <f t="shared" si="276"/>
        <v>34.75</v>
      </c>
    </row>
    <row r="1871" spans="2:19" x14ac:dyDescent="0.2">
      <c r="B1871" s="67">
        <f t="shared" si="274"/>
        <v>71</v>
      </c>
      <c r="C1871" s="11"/>
      <c r="D1871" s="11"/>
      <c r="E1871" s="11"/>
      <c r="F1871" s="45" t="s">
        <v>204</v>
      </c>
      <c r="G1871" s="11">
        <v>630</v>
      </c>
      <c r="H1871" s="11" t="s">
        <v>127</v>
      </c>
      <c r="I1871" s="42">
        <f>I1874+I1873+I1872</f>
        <v>7150</v>
      </c>
      <c r="J1871" s="42">
        <f>J1874+J1873+J1872</f>
        <v>956</v>
      </c>
      <c r="K1871" s="225">
        <f t="shared" si="275"/>
        <v>13.37062937062937</v>
      </c>
      <c r="L1871" s="114"/>
      <c r="M1871" s="42">
        <f>M1874+M1873+M1872</f>
        <v>0</v>
      </c>
      <c r="N1871" s="42">
        <f>N1874+N1873+N1872</f>
        <v>0</v>
      </c>
      <c r="O1871" s="225"/>
      <c r="P1871" s="114"/>
      <c r="Q1871" s="42">
        <f t="shared" si="279"/>
        <v>7150</v>
      </c>
      <c r="R1871" s="42">
        <f t="shared" si="280"/>
        <v>956</v>
      </c>
      <c r="S1871" s="244">
        <f t="shared" si="276"/>
        <v>13.37062937062937</v>
      </c>
    </row>
    <row r="1872" spans="2:19" x14ac:dyDescent="0.2">
      <c r="B1872" s="67">
        <f t="shared" si="274"/>
        <v>72</v>
      </c>
      <c r="C1872" s="2"/>
      <c r="D1872" s="2"/>
      <c r="E1872" s="2"/>
      <c r="F1872" s="46" t="s">
        <v>204</v>
      </c>
      <c r="G1872" s="2">
        <v>632</v>
      </c>
      <c r="H1872" s="2" t="s">
        <v>138</v>
      </c>
      <c r="I1872" s="22">
        <v>5000</v>
      </c>
      <c r="J1872" s="22">
        <v>480</v>
      </c>
      <c r="K1872" s="225">
        <f t="shared" si="275"/>
        <v>9.6</v>
      </c>
      <c r="L1872" s="68"/>
      <c r="M1872" s="22"/>
      <c r="N1872" s="22"/>
      <c r="O1872" s="225"/>
      <c r="P1872" s="68"/>
      <c r="Q1872" s="22">
        <f t="shared" si="279"/>
        <v>5000</v>
      </c>
      <c r="R1872" s="22">
        <f t="shared" si="280"/>
        <v>480</v>
      </c>
      <c r="S1872" s="244">
        <f t="shared" si="276"/>
        <v>9.6</v>
      </c>
    </row>
    <row r="1873" spans="2:19" x14ac:dyDescent="0.2">
      <c r="B1873" s="67">
        <f t="shared" si="274"/>
        <v>73</v>
      </c>
      <c r="C1873" s="2"/>
      <c r="D1873" s="2"/>
      <c r="E1873" s="2"/>
      <c r="F1873" s="46" t="s">
        <v>204</v>
      </c>
      <c r="G1873" s="2">
        <v>633</v>
      </c>
      <c r="H1873" s="2" t="s">
        <v>131</v>
      </c>
      <c r="I1873" s="22">
        <f>1250-1000</f>
        <v>250</v>
      </c>
      <c r="J1873" s="22">
        <v>240</v>
      </c>
      <c r="K1873" s="225">
        <f t="shared" si="275"/>
        <v>96</v>
      </c>
      <c r="L1873" s="68"/>
      <c r="M1873" s="22"/>
      <c r="N1873" s="22"/>
      <c r="O1873" s="225"/>
      <c r="P1873" s="68"/>
      <c r="Q1873" s="22">
        <f t="shared" si="279"/>
        <v>250</v>
      </c>
      <c r="R1873" s="22">
        <f t="shared" si="280"/>
        <v>240</v>
      </c>
      <c r="S1873" s="244">
        <f t="shared" si="276"/>
        <v>96</v>
      </c>
    </row>
    <row r="1874" spans="2:19" x14ac:dyDescent="0.2">
      <c r="B1874" s="67">
        <f t="shared" si="274"/>
        <v>74</v>
      </c>
      <c r="C1874" s="2"/>
      <c r="D1874" s="2"/>
      <c r="E1874" s="2"/>
      <c r="F1874" s="46" t="s">
        <v>204</v>
      </c>
      <c r="G1874" s="2">
        <v>637</v>
      </c>
      <c r="H1874" s="2" t="s">
        <v>128</v>
      </c>
      <c r="I1874" s="22">
        <v>1900</v>
      </c>
      <c r="J1874" s="22">
        <v>236</v>
      </c>
      <c r="K1874" s="225">
        <f t="shared" si="275"/>
        <v>12.421052631578949</v>
      </c>
      <c r="L1874" s="68"/>
      <c r="M1874" s="22"/>
      <c r="N1874" s="22"/>
      <c r="O1874" s="225"/>
      <c r="P1874" s="68"/>
      <c r="Q1874" s="22">
        <f t="shared" si="279"/>
        <v>1900</v>
      </c>
      <c r="R1874" s="22">
        <f t="shared" si="280"/>
        <v>236</v>
      </c>
      <c r="S1874" s="244">
        <f t="shared" si="276"/>
        <v>12.421052631578949</v>
      </c>
    </row>
    <row r="1875" spans="2:19" x14ac:dyDescent="0.2">
      <c r="B1875" s="67">
        <f t="shared" si="274"/>
        <v>75</v>
      </c>
      <c r="C1875" s="2"/>
      <c r="D1875" s="2"/>
      <c r="E1875" s="2"/>
      <c r="F1875" s="112" t="s">
        <v>204</v>
      </c>
      <c r="G1875" s="113">
        <v>710</v>
      </c>
      <c r="H1875" s="122" t="s">
        <v>183</v>
      </c>
      <c r="I1875" s="114"/>
      <c r="J1875" s="114"/>
      <c r="K1875" s="225"/>
      <c r="L1875" s="114"/>
      <c r="M1875" s="114">
        <f>M1876</f>
        <v>16000</v>
      </c>
      <c r="N1875" s="114">
        <f>N1876</f>
        <v>15967</v>
      </c>
      <c r="O1875" s="225">
        <f t="shared" si="278"/>
        <v>99.793750000000003</v>
      </c>
      <c r="P1875" s="114"/>
      <c r="Q1875" s="114">
        <f t="shared" si="279"/>
        <v>16000</v>
      </c>
      <c r="R1875" s="114">
        <f t="shared" si="280"/>
        <v>15967</v>
      </c>
      <c r="S1875" s="244">
        <f t="shared" si="276"/>
        <v>99.793750000000003</v>
      </c>
    </row>
    <row r="1876" spans="2:19" x14ac:dyDescent="0.2">
      <c r="B1876" s="67">
        <f t="shared" si="274"/>
        <v>76</v>
      </c>
      <c r="C1876" s="2"/>
      <c r="D1876" s="2"/>
      <c r="E1876" s="2"/>
      <c r="F1876" s="77" t="s">
        <v>204</v>
      </c>
      <c r="G1876" s="78">
        <v>713</v>
      </c>
      <c r="H1876" s="80" t="s">
        <v>527</v>
      </c>
      <c r="I1876" s="79"/>
      <c r="J1876" s="79"/>
      <c r="K1876" s="225"/>
      <c r="L1876" s="68"/>
      <c r="M1876" s="79">
        <f>M1877</f>
        <v>16000</v>
      </c>
      <c r="N1876" s="79">
        <f>N1877</f>
        <v>15967</v>
      </c>
      <c r="O1876" s="225">
        <f t="shared" si="278"/>
        <v>99.793750000000003</v>
      </c>
      <c r="P1876" s="68"/>
      <c r="Q1876" s="79">
        <f>M1876</f>
        <v>16000</v>
      </c>
      <c r="R1876" s="79">
        <f t="shared" ref="R1876:R1877" si="281">N1876</f>
        <v>15967</v>
      </c>
      <c r="S1876" s="244">
        <f t="shared" si="276"/>
        <v>99.793750000000003</v>
      </c>
    </row>
    <row r="1877" spans="2:19" x14ac:dyDescent="0.2">
      <c r="B1877" s="67">
        <f t="shared" si="274"/>
        <v>77</v>
      </c>
      <c r="C1877" s="2"/>
      <c r="D1877" s="2"/>
      <c r="E1877" s="2"/>
      <c r="F1877" s="46"/>
      <c r="G1877" s="2"/>
      <c r="H1877" s="29" t="s">
        <v>528</v>
      </c>
      <c r="I1877" s="22"/>
      <c r="J1877" s="22"/>
      <c r="K1877" s="225"/>
      <c r="L1877" s="68"/>
      <c r="M1877" s="22">
        <v>16000</v>
      </c>
      <c r="N1877" s="22">
        <v>15967</v>
      </c>
      <c r="O1877" s="225">
        <f t="shared" si="278"/>
        <v>99.793750000000003</v>
      </c>
      <c r="P1877" s="68"/>
      <c r="Q1877" s="22">
        <f>M1877</f>
        <v>16000</v>
      </c>
      <c r="R1877" s="22">
        <f t="shared" si="281"/>
        <v>15967</v>
      </c>
      <c r="S1877" s="244">
        <f t="shared" si="276"/>
        <v>99.793750000000003</v>
      </c>
    </row>
    <row r="1878" spans="2:19" ht="15" x14ac:dyDescent="0.2">
      <c r="B1878" s="67">
        <f t="shared" si="274"/>
        <v>78</v>
      </c>
      <c r="C1878" s="166">
        <v>6</v>
      </c>
      <c r="D1878" s="325" t="s">
        <v>242</v>
      </c>
      <c r="E1878" s="326"/>
      <c r="F1878" s="326"/>
      <c r="G1878" s="326"/>
      <c r="H1878" s="327"/>
      <c r="I1878" s="38">
        <f>I1879</f>
        <v>188070</v>
      </c>
      <c r="J1878" s="38">
        <f>J1879</f>
        <v>89278</v>
      </c>
      <c r="K1878" s="225">
        <f t="shared" si="275"/>
        <v>47.470622640506193</v>
      </c>
      <c r="L1878" s="173"/>
      <c r="M1878" s="38">
        <f>M1879</f>
        <v>0</v>
      </c>
      <c r="N1878" s="38">
        <f>N1879</f>
        <v>0</v>
      </c>
      <c r="O1878" s="225"/>
      <c r="P1878" s="173"/>
      <c r="Q1878" s="38">
        <f t="shared" si="279"/>
        <v>188070</v>
      </c>
      <c r="R1878" s="38">
        <f t="shared" ref="R1878:R1889" si="282">J1878+N1878</f>
        <v>89278</v>
      </c>
      <c r="S1878" s="244">
        <f t="shared" si="276"/>
        <v>47.470622640506193</v>
      </c>
    </row>
    <row r="1879" spans="2:19" ht="15" x14ac:dyDescent="0.25">
      <c r="B1879" s="67">
        <f t="shared" si="274"/>
        <v>79</v>
      </c>
      <c r="C1879" s="14"/>
      <c r="D1879" s="14"/>
      <c r="E1879" s="14">
        <v>2</v>
      </c>
      <c r="F1879" s="43"/>
      <c r="G1879" s="14"/>
      <c r="H1879" s="14" t="s">
        <v>255</v>
      </c>
      <c r="I1879" s="40">
        <f>I1880+I1881+I1882+I1889</f>
        <v>188070</v>
      </c>
      <c r="J1879" s="40">
        <f>J1880+J1881+J1882+J1889</f>
        <v>89278</v>
      </c>
      <c r="K1879" s="225">
        <f t="shared" si="275"/>
        <v>47.470622640506193</v>
      </c>
      <c r="L1879" s="175"/>
      <c r="M1879" s="40">
        <v>0</v>
      </c>
      <c r="N1879" s="40"/>
      <c r="O1879" s="225"/>
      <c r="P1879" s="175"/>
      <c r="Q1879" s="40">
        <f t="shared" si="279"/>
        <v>188070</v>
      </c>
      <c r="R1879" s="40">
        <f t="shared" si="282"/>
        <v>89278</v>
      </c>
      <c r="S1879" s="244">
        <f t="shared" si="276"/>
        <v>47.470622640506193</v>
      </c>
    </row>
    <row r="1880" spans="2:19" x14ac:dyDescent="0.2">
      <c r="B1880" s="67">
        <f t="shared" si="274"/>
        <v>80</v>
      </c>
      <c r="C1880" s="11"/>
      <c r="D1880" s="11"/>
      <c r="E1880" s="11"/>
      <c r="F1880" s="45" t="s">
        <v>204</v>
      </c>
      <c r="G1880" s="11">
        <v>610</v>
      </c>
      <c r="H1880" s="11" t="s">
        <v>135</v>
      </c>
      <c r="I1880" s="42">
        <v>85900</v>
      </c>
      <c r="J1880" s="42">
        <v>41575</v>
      </c>
      <c r="K1880" s="225">
        <f t="shared" si="275"/>
        <v>48.399301513387663</v>
      </c>
      <c r="L1880" s="114"/>
      <c r="M1880" s="42"/>
      <c r="N1880" s="42"/>
      <c r="O1880" s="225"/>
      <c r="P1880" s="114"/>
      <c r="Q1880" s="42">
        <f t="shared" si="279"/>
        <v>85900</v>
      </c>
      <c r="R1880" s="42">
        <f t="shared" si="282"/>
        <v>41575</v>
      </c>
      <c r="S1880" s="244">
        <f t="shared" si="276"/>
        <v>48.399301513387663</v>
      </c>
    </row>
    <row r="1881" spans="2:19" x14ac:dyDescent="0.2">
      <c r="B1881" s="67">
        <f t="shared" si="274"/>
        <v>81</v>
      </c>
      <c r="C1881" s="11"/>
      <c r="D1881" s="11"/>
      <c r="E1881" s="11"/>
      <c r="F1881" s="45" t="s">
        <v>204</v>
      </c>
      <c r="G1881" s="11">
        <v>620</v>
      </c>
      <c r="H1881" s="11" t="s">
        <v>130</v>
      </c>
      <c r="I1881" s="42">
        <v>37430</v>
      </c>
      <c r="J1881" s="42">
        <v>18359</v>
      </c>
      <c r="K1881" s="225">
        <f t="shared" si="275"/>
        <v>49.048891263692227</v>
      </c>
      <c r="L1881" s="114"/>
      <c r="M1881" s="42"/>
      <c r="N1881" s="42"/>
      <c r="O1881" s="225"/>
      <c r="P1881" s="114"/>
      <c r="Q1881" s="42">
        <f t="shared" si="279"/>
        <v>37430</v>
      </c>
      <c r="R1881" s="42">
        <f t="shared" si="282"/>
        <v>18359</v>
      </c>
      <c r="S1881" s="244">
        <f t="shared" si="276"/>
        <v>49.048891263692227</v>
      </c>
    </row>
    <row r="1882" spans="2:19" x14ac:dyDescent="0.2">
      <c r="B1882" s="67">
        <f t="shared" si="274"/>
        <v>82</v>
      </c>
      <c r="C1882" s="11"/>
      <c r="D1882" s="11"/>
      <c r="E1882" s="11"/>
      <c r="F1882" s="45" t="s">
        <v>204</v>
      </c>
      <c r="G1882" s="11">
        <v>630</v>
      </c>
      <c r="H1882" s="11" t="s">
        <v>127</v>
      </c>
      <c r="I1882" s="42">
        <f>I1888+I1887+I1886+I1885+I1884+I1883</f>
        <v>62540</v>
      </c>
      <c r="J1882" s="42">
        <f>J1888+J1887+J1886+J1885+J1884+J1883</f>
        <v>27392</v>
      </c>
      <c r="K1882" s="225">
        <f t="shared" si="275"/>
        <v>43.799168532139433</v>
      </c>
      <c r="L1882" s="114"/>
      <c r="M1882" s="42">
        <f>M1888+M1887+M1886+M1885+M1884+M1883</f>
        <v>0</v>
      </c>
      <c r="N1882" s="42">
        <f>N1888+N1887+N1886+N1885+N1884+N1883</f>
        <v>0</v>
      </c>
      <c r="O1882" s="225"/>
      <c r="P1882" s="114"/>
      <c r="Q1882" s="42">
        <f t="shared" si="279"/>
        <v>62540</v>
      </c>
      <c r="R1882" s="42">
        <f t="shared" si="282"/>
        <v>27392</v>
      </c>
      <c r="S1882" s="244">
        <f t="shared" si="276"/>
        <v>43.799168532139433</v>
      </c>
    </row>
    <row r="1883" spans="2:19" x14ac:dyDescent="0.2">
      <c r="B1883" s="67">
        <f t="shared" si="274"/>
        <v>83</v>
      </c>
      <c r="C1883" s="2"/>
      <c r="D1883" s="2"/>
      <c r="E1883" s="2"/>
      <c r="F1883" s="46" t="s">
        <v>204</v>
      </c>
      <c r="G1883" s="2">
        <v>631</v>
      </c>
      <c r="H1883" s="2" t="s">
        <v>133</v>
      </c>
      <c r="I1883" s="22">
        <v>100</v>
      </c>
      <c r="J1883" s="22">
        <v>11</v>
      </c>
      <c r="K1883" s="225">
        <f t="shared" si="275"/>
        <v>11</v>
      </c>
      <c r="L1883" s="68"/>
      <c r="M1883" s="22"/>
      <c r="N1883" s="22"/>
      <c r="O1883" s="225"/>
      <c r="P1883" s="68"/>
      <c r="Q1883" s="22">
        <f t="shared" si="279"/>
        <v>100</v>
      </c>
      <c r="R1883" s="22">
        <f t="shared" si="282"/>
        <v>11</v>
      </c>
      <c r="S1883" s="244">
        <f t="shared" si="276"/>
        <v>11</v>
      </c>
    </row>
    <row r="1884" spans="2:19" x14ac:dyDescent="0.2">
      <c r="B1884" s="67">
        <f t="shared" si="274"/>
        <v>84</v>
      </c>
      <c r="C1884" s="2"/>
      <c r="D1884" s="2"/>
      <c r="E1884" s="2"/>
      <c r="F1884" s="46" t="s">
        <v>204</v>
      </c>
      <c r="G1884" s="2">
        <v>632</v>
      </c>
      <c r="H1884" s="2" t="s">
        <v>138</v>
      </c>
      <c r="I1884" s="22">
        <v>3200</v>
      </c>
      <c r="J1884" s="22">
        <v>1571</v>
      </c>
      <c r="K1884" s="225">
        <f t="shared" si="275"/>
        <v>49.09375</v>
      </c>
      <c r="L1884" s="68"/>
      <c r="M1884" s="22"/>
      <c r="N1884" s="22"/>
      <c r="O1884" s="225"/>
      <c r="P1884" s="68"/>
      <c r="Q1884" s="22">
        <f t="shared" si="279"/>
        <v>3200</v>
      </c>
      <c r="R1884" s="22">
        <f t="shared" si="282"/>
        <v>1571</v>
      </c>
      <c r="S1884" s="244">
        <f t="shared" si="276"/>
        <v>49.09375</v>
      </c>
    </row>
    <row r="1885" spans="2:19" x14ac:dyDescent="0.2">
      <c r="B1885" s="67">
        <f t="shared" si="274"/>
        <v>85</v>
      </c>
      <c r="C1885" s="2"/>
      <c r="D1885" s="2"/>
      <c r="E1885" s="2"/>
      <c r="F1885" s="46" t="s">
        <v>204</v>
      </c>
      <c r="G1885" s="2">
        <v>633</v>
      </c>
      <c r="H1885" s="2" t="s">
        <v>131</v>
      </c>
      <c r="I1885" s="22">
        <f>3450-50</f>
        <v>3400</v>
      </c>
      <c r="J1885" s="22">
        <v>1489</v>
      </c>
      <c r="K1885" s="225">
        <f t="shared" si="275"/>
        <v>43.794117647058819</v>
      </c>
      <c r="L1885" s="68"/>
      <c r="M1885" s="22"/>
      <c r="N1885" s="22"/>
      <c r="O1885" s="225"/>
      <c r="P1885" s="68"/>
      <c r="Q1885" s="22">
        <f t="shared" si="279"/>
        <v>3400</v>
      </c>
      <c r="R1885" s="22">
        <f t="shared" si="282"/>
        <v>1489</v>
      </c>
      <c r="S1885" s="244">
        <f t="shared" si="276"/>
        <v>43.794117647058819</v>
      </c>
    </row>
    <row r="1886" spans="2:19" x14ac:dyDescent="0.2">
      <c r="B1886" s="67">
        <f t="shared" si="274"/>
        <v>86</v>
      </c>
      <c r="C1886" s="2"/>
      <c r="D1886" s="2"/>
      <c r="E1886" s="2"/>
      <c r="F1886" s="46" t="s">
        <v>204</v>
      </c>
      <c r="G1886" s="2">
        <v>634</v>
      </c>
      <c r="H1886" s="2" t="s">
        <v>136</v>
      </c>
      <c r="I1886" s="22">
        <v>11500</v>
      </c>
      <c r="J1886" s="22">
        <v>4050</v>
      </c>
      <c r="K1886" s="225">
        <f t="shared" si="275"/>
        <v>35.217391304347828</v>
      </c>
      <c r="L1886" s="68"/>
      <c r="M1886" s="22"/>
      <c r="N1886" s="22"/>
      <c r="O1886" s="225"/>
      <c r="P1886" s="68"/>
      <c r="Q1886" s="22">
        <f t="shared" si="279"/>
        <v>11500</v>
      </c>
      <c r="R1886" s="22">
        <f t="shared" si="282"/>
        <v>4050</v>
      </c>
      <c r="S1886" s="244">
        <f t="shared" si="276"/>
        <v>35.217391304347828</v>
      </c>
    </row>
    <row r="1887" spans="2:19" x14ac:dyDescent="0.2">
      <c r="B1887" s="67">
        <f t="shared" si="274"/>
        <v>87</v>
      </c>
      <c r="C1887" s="2"/>
      <c r="D1887" s="2"/>
      <c r="E1887" s="2"/>
      <c r="F1887" s="46" t="s">
        <v>204</v>
      </c>
      <c r="G1887" s="2">
        <v>635</v>
      </c>
      <c r="H1887" s="2" t="s">
        <v>137</v>
      </c>
      <c r="I1887" s="22">
        <v>4100</v>
      </c>
      <c r="J1887" s="22">
        <v>1164</v>
      </c>
      <c r="K1887" s="225">
        <f t="shared" si="275"/>
        <v>28.390243902439021</v>
      </c>
      <c r="L1887" s="68"/>
      <c r="M1887" s="22"/>
      <c r="N1887" s="22"/>
      <c r="O1887" s="225"/>
      <c r="P1887" s="68"/>
      <c r="Q1887" s="22">
        <f t="shared" si="279"/>
        <v>4100</v>
      </c>
      <c r="R1887" s="22">
        <f t="shared" si="282"/>
        <v>1164</v>
      </c>
      <c r="S1887" s="244">
        <f t="shared" si="276"/>
        <v>28.390243902439021</v>
      </c>
    </row>
    <row r="1888" spans="2:19" x14ac:dyDescent="0.2">
      <c r="B1888" s="67">
        <f t="shared" si="274"/>
        <v>88</v>
      </c>
      <c r="C1888" s="2"/>
      <c r="D1888" s="2"/>
      <c r="E1888" s="2"/>
      <c r="F1888" s="46" t="s">
        <v>204</v>
      </c>
      <c r="G1888" s="2">
        <v>637</v>
      </c>
      <c r="H1888" s="2" t="s">
        <v>128</v>
      </c>
      <c r="I1888" s="22">
        <f>53240-13000</f>
        <v>40240</v>
      </c>
      <c r="J1888" s="22">
        <v>19107</v>
      </c>
      <c r="K1888" s="225">
        <f t="shared" si="275"/>
        <v>47.482604373757454</v>
      </c>
      <c r="L1888" s="68"/>
      <c r="M1888" s="22"/>
      <c r="N1888" s="22"/>
      <c r="O1888" s="225"/>
      <c r="P1888" s="68"/>
      <c r="Q1888" s="22">
        <f t="shared" si="279"/>
        <v>40240</v>
      </c>
      <c r="R1888" s="22">
        <f t="shared" si="282"/>
        <v>19107</v>
      </c>
      <c r="S1888" s="244">
        <f t="shared" si="276"/>
        <v>47.482604373757454</v>
      </c>
    </row>
    <row r="1889" spans="2:19" x14ac:dyDescent="0.2">
      <c r="B1889" s="67">
        <f t="shared" si="274"/>
        <v>89</v>
      </c>
      <c r="C1889" s="11"/>
      <c r="D1889" s="11"/>
      <c r="E1889" s="11"/>
      <c r="F1889" s="45" t="s">
        <v>204</v>
      </c>
      <c r="G1889" s="11">
        <v>640</v>
      </c>
      <c r="H1889" s="11" t="s">
        <v>134</v>
      </c>
      <c r="I1889" s="42">
        <f>2150+50</f>
        <v>2200</v>
      </c>
      <c r="J1889" s="42">
        <v>1952</v>
      </c>
      <c r="K1889" s="225">
        <f t="shared" si="275"/>
        <v>88.727272727272734</v>
      </c>
      <c r="L1889" s="114"/>
      <c r="M1889" s="42"/>
      <c r="N1889" s="42"/>
      <c r="O1889" s="225"/>
      <c r="P1889" s="114"/>
      <c r="Q1889" s="42">
        <f t="shared" si="279"/>
        <v>2200</v>
      </c>
      <c r="R1889" s="42">
        <f t="shared" si="282"/>
        <v>1952</v>
      </c>
      <c r="S1889" s="244">
        <f t="shared" si="276"/>
        <v>88.727272727272734</v>
      </c>
    </row>
    <row r="1923" spans="2:19" ht="27" x14ac:dyDescent="0.35">
      <c r="B1923" s="306" t="s">
        <v>308</v>
      </c>
      <c r="C1923" s="307"/>
      <c r="D1923" s="307"/>
      <c r="E1923" s="307"/>
      <c r="F1923" s="307"/>
      <c r="G1923" s="307"/>
      <c r="H1923" s="307"/>
      <c r="I1923" s="307"/>
      <c r="J1923" s="307"/>
      <c r="K1923" s="307"/>
      <c r="L1923" s="307"/>
      <c r="M1923" s="307"/>
      <c r="N1923" s="307"/>
      <c r="O1923" s="307"/>
      <c r="P1923" s="307"/>
      <c r="Q1923" s="307"/>
    </row>
    <row r="1924" spans="2:19" ht="12.75" customHeight="1" x14ac:dyDescent="0.2">
      <c r="B1924" s="308" t="s">
        <v>279</v>
      </c>
      <c r="C1924" s="309"/>
      <c r="D1924" s="309"/>
      <c r="E1924" s="309"/>
      <c r="F1924" s="309"/>
      <c r="G1924" s="309"/>
      <c r="H1924" s="309"/>
      <c r="I1924" s="309"/>
      <c r="J1924" s="309"/>
      <c r="K1924" s="309"/>
      <c r="L1924" s="309"/>
      <c r="M1924" s="309"/>
      <c r="N1924" s="181"/>
      <c r="O1924" s="182"/>
      <c r="P1924" s="182"/>
      <c r="Q1924" s="310" t="s">
        <v>590</v>
      </c>
      <c r="R1924" s="310" t="s">
        <v>693</v>
      </c>
      <c r="S1924" s="337" t="s">
        <v>691</v>
      </c>
    </row>
    <row r="1925" spans="2:19" ht="12.75" customHeight="1" x14ac:dyDescent="0.2">
      <c r="B1925" s="313" t="s">
        <v>111</v>
      </c>
      <c r="C1925" s="315" t="s">
        <v>119</v>
      </c>
      <c r="D1925" s="315" t="s">
        <v>120</v>
      </c>
      <c r="E1925" s="317" t="s">
        <v>124</v>
      </c>
      <c r="F1925" s="315" t="s">
        <v>121</v>
      </c>
      <c r="G1925" s="315" t="s">
        <v>122</v>
      </c>
      <c r="H1925" s="320" t="s">
        <v>123</v>
      </c>
      <c r="I1925" s="310" t="s">
        <v>587</v>
      </c>
      <c r="J1925" s="310" t="s">
        <v>690</v>
      </c>
      <c r="K1925" s="337" t="s">
        <v>691</v>
      </c>
      <c r="L1925" s="169"/>
      <c r="M1925" s="310" t="s">
        <v>588</v>
      </c>
      <c r="N1925" s="311" t="s">
        <v>692</v>
      </c>
      <c r="O1925" s="337" t="s">
        <v>691</v>
      </c>
      <c r="P1925" s="170"/>
      <c r="Q1925" s="311"/>
      <c r="R1925" s="311"/>
      <c r="S1925" s="338"/>
    </row>
    <row r="1926" spans="2:19" x14ac:dyDescent="0.2">
      <c r="B1926" s="313"/>
      <c r="C1926" s="315"/>
      <c r="D1926" s="315"/>
      <c r="E1926" s="318"/>
      <c r="F1926" s="315"/>
      <c r="G1926" s="315"/>
      <c r="H1926" s="320"/>
      <c r="I1926" s="311"/>
      <c r="J1926" s="311"/>
      <c r="K1926" s="338"/>
      <c r="L1926" s="170"/>
      <c r="M1926" s="311"/>
      <c r="N1926" s="311"/>
      <c r="O1926" s="338"/>
      <c r="P1926" s="170"/>
      <c r="Q1926" s="311"/>
      <c r="R1926" s="311"/>
      <c r="S1926" s="338"/>
    </row>
    <row r="1927" spans="2:19" x14ac:dyDescent="0.2">
      <c r="B1927" s="313"/>
      <c r="C1927" s="315"/>
      <c r="D1927" s="315"/>
      <c r="E1927" s="318"/>
      <c r="F1927" s="315"/>
      <c r="G1927" s="315"/>
      <c r="H1927" s="320"/>
      <c r="I1927" s="311"/>
      <c r="J1927" s="311"/>
      <c r="K1927" s="338"/>
      <c r="L1927" s="170"/>
      <c r="M1927" s="311"/>
      <c r="N1927" s="311"/>
      <c r="O1927" s="338"/>
      <c r="P1927" s="170"/>
      <c r="Q1927" s="311"/>
      <c r="R1927" s="311"/>
      <c r="S1927" s="338"/>
    </row>
    <row r="1928" spans="2:19" ht="12.75" customHeight="1" thickBot="1" x14ac:dyDescent="0.25">
      <c r="B1928" s="314"/>
      <c r="C1928" s="316"/>
      <c r="D1928" s="316"/>
      <c r="E1928" s="319"/>
      <c r="F1928" s="316"/>
      <c r="G1928" s="316"/>
      <c r="H1928" s="321"/>
      <c r="I1928" s="312"/>
      <c r="J1928" s="312"/>
      <c r="K1928" s="339"/>
      <c r="L1928" s="171"/>
      <c r="M1928" s="312"/>
      <c r="N1928" s="312"/>
      <c r="O1928" s="339"/>
      <c r="P1928" s="171"/>
      <c r="Q1928" s="312"/>
      <c r="R1928" s="312"/>
      <c r="S1928" s="339"/>
    </row>
    <row r="1929" spans="2:19" ht="21.75" customHeight="1" thickTop="1" x14ac:dyDescent="0.2">
      <c r="B1929" s="67">
        <f t="shared" ref="B1929:B1992" si="283">B1928+1</f>
        <v>1</v>
      </c>
      <c r="C1929" s="322" t="s">
        <v>308</v>
      </c>
      <c r="D1929" s="323"/>
      <c r="E1929" s="323"/>
      <c r="F1929" s="323"/>
      <c r="G1929" s="323"/>
      <c r="H1929" s="324"/>
      <c r="I1929" s="37">
        <f>I2058+I2049+I2043+I2040+I2030+I2009+I1965+I1956+I1942+I1940+I1930</f>
        <v>2515236</v>
      </c>
      <c r="J1929" s="37">
        <f>J2058+J2049+J2043+J2040+J2030+J2009+J1965+J1956+J1942+J1940+J1930</f>
        <v>1174546</v>
      </c>
      <c r="K1929" s="225">
        <f t="shared" ref="K1929:K1992" si="284">J1929/I1929*100</f>
        <v>46.697248290021292</v>
      </c>
      <c r="L1929" s="172"/>
      <c r="M1929" s="37">
        <f>M2058+M2049+M2043+M2040+M2030+M2009+M1965+M1956+M1942+M1940+M1930</f>
        <v>31700</v>
      </c>
      <c r="N1929" s="37">
        <f>N2058+N2049+N2043+N2040+N2030+N2009+N1965+N1956+N1942+N1940+N1930</f>
        <v>0</v>
      </c>
      <c r="O1929" s="225">
        <f t="shared" ref="O1929:O1985" si="285">N1929/M1929*100</f>
        <v>0</v>
      </c>
      <c r="P1929" s="172"/>
      <c r="Q1929" s="37">
        <f t="shared" ref="Q1929:Q1970" si="286">I1929+M1929</f>
        <v>2546936</v>
      </c>
      <c r="R1929" s="37">
        <f t="shared" ref="R1929:R1970" si="287">J1929+N1929</f>
        <v>1174546</v>
      </c>
      <c r="S1929" s="244">
        <f t="shared" ref="S1929:S1992" si="288">R1929/Q1929*100</f>
        <v>46.116039036709203</v>
      </c>
    </row>
    <row r="1930" spans="2:19" ht="18" customHeight="1" x14ac:dyDescent="0.2">
      <c r="B1930" s="67">
        <f t="shared" si="283"/>
        <v>2</v>
      </c>
      <c r="C1930" s="166">
        <v>1</v>
      </c>
      <c r="D1930" s="325" t="s">
        <v>69</v>
      </c>
      <c r="E1930" s="326"/>
      <c r="F1930" s="326"/>
      <c r="G1930" s="326"/>
      <c r="H1930" s="327"/>
      <c r="I1930" s="38">
        <f>I1932+I1933+I1934+I1939</f>
        <v>207600</v>
      </c>
      <c r="J1930" s="38">
        <f>J1932+J1933+J1934+J1939</f>
        <v>91985</v>
      </c>
      <c r="K1930" s="225">
        <f t="shared" si="284"/>
        <v>44.308766859344892</v>
      </c>
      <c r="L1930" s="173"/>
      <c r="M1930" s="38">
        <f>M1931</f>
        <v>0</v>
      </c>
      <c r="N1930" s="38">
        <f>N1931</f>
        <v>0</v>
      </c>
      <c r="O1930" s="225"/>
      <c r="P1930" s="173"/>
      <c r="Q1930" s="38">
        <f t="shared" si="286"/>
        <v>207600</v>
      </c>
      <c r="R1930" s="38">
        <f t="shared" si="287"/>
        <v>91985</v>
      </c>
      <c r="S1930" s="244">
        <f t="shared" si="288"/>
        <v>44.308766859344892</v>
      </c>
    </row>
    <row r="1931" spans="2:19" ht="15" x14ac:dyDescent="0.25">
      <c r="B1931" s="67">
        <f t="shared" si="283"/>
        <v>3</v>
      </c>
      <c r="C1931" s="14"/>
      <c r="D1931" s="14"/>
      <c r="E1931" s="14">
        <v>5</v>
      </c>
      <c r="F1931" s="43"/>
      <c r="G1931" s="14"/>
      <c r="H1931" s="14" t="s">
        <v>264</v>
      </c>
      <c r="I1931" s="40">
        <f>I1930</f>
        <v>207600</v>
      </c>
      <c r="J1931" s="40">
        <f>J1930</f>
        <v>91985</v>
      </c>
      <c r="K1931" s="225">
        <f t="shared" si="284"/>
        <v>44.308766859344892</v>
      </c>
      <c r="L1931" s="175"/>
      <c r="M1931" s="40">
        <f>M1932+M1933+M1934</f>
        <v>0</v>
      </c>
      <c r="N1931" s="40">
        <f>N1932+N1933+N1934</f>
        <v>0</v>
      </c>
      <c r="O1931" s="225"/>
      <c r="P1931" s="175"/>
      <c r="Q1931" s="40">
        <f t="shared" si="286"/>
        <v>207600</v>
      </c>
      <c r="R1931" s="40">
        <f t="shared" si="287"/>
        <v>91985</v>
      </c>
      <c r="S1931" s="244">
        <f t="shared" si="288"/>
        <v>44.308766859344892</v>
      </c>
    </row>
    <row r="1932" spans="2:19" x14ac:dyDescent="0.2">
      <c r="B1932" s="67">
        <f t="shared" si="283"/>
        <v>4</v>
      </c>
      <c r="C1932" s="11"/>
      <c r="D1932" s="11"/>
      <c r="E1932" s="11"/>
      <c r="F1932" s="45" t="s">
        <v>75</v>
      </c>
      <c r="G1932" s="11">
        <v>610</v>
      </c>
      <c r="H1932" s="11" t="s">
        <v>135</v>
      </c>
      <c r="I1932" s="42">
        <v>102655</v>
      </c>
      <c r="J1932" s="42">
        <v>48532</v>
      </c>
      <c r="K1932" s="225">
        <f t="shared" si="284"/>
        <v>47.276800935171202</v>
      </c>
      <c r="L1932" s="114"/>
      <c r="M1932" s="42"/>
      <c r="N1932" s="42"/>
      <c r="O1932" s="225"/>
      <c r="P1932" s="114"/>
      <c r="Q1932" s="42">
        <f t="shared" si="286"/>
        <v>102655</v>
      </c>
      <c r="R1932" s="42">
        <f t="shared" si="287"/>
        <v>48532</v>
      </c>
      <c r="S1932" s="244">
        <f t="shared" si="288"/>
        <v>47.276800935171202</v>
      </c>
    </row>
    <row r="1933" spans="2:19" x14ac:dyDescent="0.2">
      <c r="B1933" s="67">
        <f t="shared" si="283"/>
        <v>5</v>
      </c>
      <c r="C1933" s="11"/>
      <c r="D1933" s="11"/>
      <c r="E1933" s="11"/>
      <c r="F1933" s="45" t="s">
        <v>75</v>
      </c>
      <c r="G1933" s="11">
        <v>620</v>
      </c>
      <c r="H1933" s="11" t="s">
        <v>130</v>
      </c>
      <c r="I1933" s="42">
        <v>35930</v>
      </c>
      <c r="J1933" s="42">
        <v>17451</v>
      </c>
      <c r="K1933" s="225">
        <f t="shared" si="284"/>
        <v>48.569440578903425</v>
      </c>
      <c r="L1933" s="114"/>
      <c r="M1933" s="42"/>
      <c r="N1933" s="42"/>
      <c r="O1933" s="225"/>
      <c r="P1933" s="114"/>
      <c r="Q1933" s="42">
        <f t="shared" si="286"/>
        <v>35930</v>
      </c>
      <c r="R1933" s="42">
        <f t="shared" si="287"/>
        <v>17451</v>
      </c>
      <c r="S1933" s="244">
        <f t="shared" si="288"/>
        <v>48.569440578903425</v>
      </c>
    </row>
    <row r="1934" spans="2:19" x14ac:dyDescent="0.2">
      <c r="B1934" s="67">
        <f t="shared" si="283"/>
        <v>6</v>
      </c>
      <c r="C1934" s="11"/>
      <c r="D1934" s="11"/>
      <c r="E1934" s="11"/>
      <c r="F1934" s="45" t="s">
        <v>75</v>
      </c>
      <c r="G1934" s="11">
        <v>630</v>
      </c>
      <c r="H1934" s="11" t="s">
        <v>127</v>
      </c>
      <c r="I1934" s="42">
        <f>I1938+I1937+I1936+I1935</f>
        <v>68715</v>
      </c>
      <c r="J1934" s="42">
        <f>J1938+J1937+J1936+J1935</f>
        <v>25783</v>
      </c>
      <c r="K1934" s="225">
        <f t="shared" si="284"/>
        <v>37.521647384122822</v>
      </c>
      <c r="L1934" s="114"/>
      <c r="M1934" s="42">
        <f>M1938+M1937+M1936+M1935</f>
        <v>0</v>
      </c>
      <c r="N1934" s="42">
        <f>N1938+N1937+N1936+N1935</f>
        <v>0</v>
      </c>
      <c r="O1934" s="225"/>
      <c r="P1934" s="114"/>
      <c r="Q1934" s="42">
        <f t="shared" si="286"/>
        <v>68715</v>
      </c>
      <c r="R1934" s="42">
        <f t="shared" si="287"/>
        <v>25783</v>
      </c>
      <c r="S1934" s="244">
        <f t="shared" si="288"/>
        <v>37.521647384122822</v>
      </c>
    </row>
    <row r="1935" spans="2:19" x14ac:dyDescent="0.2">
      <c r="B1935" s="67">
        <f t="shared" si="283"/>
        <v>7</v>
      </c>
      <c r="C1935" s="2"/>
      <c r="D1935" s="2"/>
      <c r="E1935" s="2"/>
      <c r="F1935" s="46" t="s">
        <v>75</v>
      </c>
      <c r="G1935" s="2">
        <v>632</v>
      </c>
      <c r="H1935" s="2" t="s">
        <v>138</v>
      </c>
      <c r="I1935" s="22">
        <v>15650</v>
      </c>
      <c r="J1935" s="22">
        <v>11709</v>
      </c>
      <c r="K1935" s="225">
        <f t="shared" si="284"/>
        <v>74.817891373801913</v>
      </c>
      <c r="L1935" s="68"/>
      <c r="M1935" s="22"/>
      <c r="N1935" s="22"/>
      <c r="O1935" s="225"/>
      <c r="P1935" s="68"/>
      <c r="Q1935" s="22">
        <f t="shared" si="286"/>
        <v>15650</v>
      </c>
      <c r="R1935" s="22">
        <f t="shared" si="287"/>
        <v>11709</v>
      </c>
      <c r="S1935" s="244">
        <f t="shared" si="288"/>
        <v>74.817891373801913</v>
      </c>
    </row>
    <row r="1936" spans="2:19" x14ac:dyDescent="0.2">
      <c r="B1936" s="67">
        <f t="shared" si="283"/>
        <v>8</v>
      </c>
      <c r="C1936" s="2"/>
      <c r="D1936" s="2"/>
      <c r="E1936" s="2"/>
      <c r="F1936" s="46" t="s">
        <v>75</v>
      </c>
      <c r="G1936" s="2">
        <v>633</v>
      </c>
      <c r="H1936" s="2" t="s">
        <v>131</v>
      </c>
      <c r="I1936" s="22">
        <v>23750</v>
      </c>
      <c r="J1936" s="22">
        <v>10538</v>
      </c>
      <c r="K1936" s="225">
        <f t="shared" si="284"/>
        <v>44.370526315789469</v>
      </c>
      <c r="L1936" s="68"/>
      <c r="M1936" s="22"/>
      <c r="N1936" s="22"/>
      <c r="O1936" s="225"/>
      <c r="P1936" s="68"/>
      <c r="Q1936" s="22">
        <f t="shared" si="286"/>
        <v>23750</v>
      </c>
      <c r="R1936" s="22">
        <f t="shared" si="287"/>
        <v>10538</v>
      </c>
      <c r="S1936" s="244">
        <f t="shared" si="288"/>
        <v>44.370526315789469</v>
      </c>
    </row>
    <row r="1937" spans="2:19" x14ac:dyDescent="0.2">
      <c r="B1937" s="67">
        <f t="shared" si="283"/>
        <v>9</v>
      </c>
      <c r="C1937" s="2"/>
      <c r="D1937" s="2"/>
      <c r="E1937" s="2"/>
      <c r="F1937" s="46" t="s">
        <v>75</v>
      </c>
      <c r="G1937" s="2">
        <v>635</v>
      </c>
      <c r="H1937" s="2" t="s">
        <v>137</v>
      </c>
      <c r="I1937" s="22">
        <f>18310+6400</f>
        <v>24710</v>
      </c>
      <c r="J1937" s="22">
        <v>405</v>
      </c>
      <c r="K1937" s="225">
        <f t="shared" si="284"/>
        <v>1.6390125455281264</v>
      </c>
      <c r="L1937" s="68"/>
      <c r="M1937" s="22"/>
      <c r="N1937" s="22"/>
      <c r="O1937" s="225"/>
      <c r="P1937" s="68"/>
      <c r="Q1937" s="22">
        <f t="shared" si="286"/>
        <v>24710</v>
      </c>
      <c r="R1937" s="22">
        <f t="shared" si="287"/>
        <v>405</v>
      </c>
      <c r="S1937" s="244">
        <f t="shared" si="288"/>
        <v>1.6390125455281264</v>
      </c>
    </row>
    <row r="1938" spans="2:19" x14ac:dyDescent="0.2">
      <c r="B1938" s="67">
        <f t="shared" si="283"/>
        <v>10</v>
      </c>
      <c r="C1938" s="2"/>
      <c r="D1938" s="2"/>
      <c r="E1938" s="2"/>
      <c r="F1938" s="46" t="s">
        <v>75</v>
      </c>
      <c r="G1938" s="2">
        <v>637</v>
      </c>
      <c r="H1938" s="2" t="s">
        <v>128</v>
      </c>
      <c r="I1938" s="22">
        <f>4330+275</f>
        <v>4605</v>
      </c>
      <c r="J1938" s="22">
        <v>3131</v>
      </c>
      <c r="K1938" s="225">
        <f t="shared" si="284"/>
        <v>67.991313789359381</v>
      </c>
      <c r="L1938" s="68"/>
      <c r="M1938" s="22"/>
      <c r="N1938" s="22"/>
      <c r="O1938" s="225"/>
      <c r="P1938" s="68"/>
      <c r="Q1938" s="22">
        <f t="shared" si="286"/>
        <v>4605</v>
      </c>
      <c r="R1938" s="22">
        <f t="shared" si="287"/>
        <v>3131</v>
      </c>
      <c r="S1938" s="244">
        <f t="shared" si="288"/>
        <v>67.991313789359381</v>
      </c>
    </row>
    <row r="1939" spans="2:19" x14ac:dyDescent="0.2">
      <c r="B1939" s="67">
        <f t="shared" si="283"/>
        <v>11</v>
      </c>
      <c r="C1939" s="11"/>
      <c r="D1939" s="11"/>
      <c r="E1939" s="11"/>
      <c r="F1939" s="45" t="s">
        <v>75</v>
      </c>
      <c r="G1939" s="11">
        <v>640</v>
      </c>
      <c r="H1939" s="11" t="s">
        <v>134</v>
      </c>
      <c r="I1939" s="42">
        <v>300</v>
      </c>
      <c r="J1939" s="42">
        <v>219</v>
      </c>
      <c r="K1939" s="225">
        <f t="shared" si="284"/>
        <v>73</v>
      </c>
      <c r="L1939" s="114"/>
      <c r="M1939" s="42"/>
      <c r="N1939" s="42"/>
      <c r="O1939" s="225"/>
      <c r="P1939" s="114"/>
      <c r="Q1939" s="42">
        <f t="shared" si="286"/>
        <v>300</v>
      </c>
      <c r="R1939" s="42">
        <f t="shared" si="287"/>
        <v>219</v>
      </c>
      <c r="S1939" s="244">
        <f t="shared" si="288"/>
        <v>73</v>
      </c>
    </row>
    <row r="1940" spans="2:19" ht="15" x14ac:dyDescent="0.2">
      <c r="B1940" s="67">
        <f t="shared" si="283"/>
        <v>12</v>
      </c>
      <c r="C1940" s="166">
        <v>2</v>
      </c>
      <c r="D1940" s="325" t="s">
        <v>236</v>
      </c>
      <c r="E1940" s="326"/>
      <c r="F1940" s="326"/>
      <c r="G1940" s="326"/>
      <c r="H1940" s="327"/>
      <c r="I1940" s="38">
        <f>I1941</f>
        <v>2000</v>
      </c>
      <c r="J1940" s="38">
        <f>J1941</f>
        <v>172</v>
      </c>
      <c r="K1940" s="225">
        <f t="shared" si="284"/>
        <v>8.6</v>
      </c>
      <c r="L1940" s="173"/>
      <c r="M1940" s="38">
        <f>M1941</f>
        <v>0</v>
      </c>
      <c r="N1940" s="38">
        <f>N1941</f>
        <v>0</v>
      </c>
      <c r="O1940" s="225"/>
      <c r="P1940" s="173"/>
      <c r="Q1940" s="38">
        <f t="shared" si="286"/>
        <v>2000</v>
      </c>
      <c r="R1940" s="38">
        <f t="shared" si="287"/>
        <v>172</v>
      </c>
      <c r="S1940" s="244">
        <f t="shared" si="288"/>
        <v>8.6</v>
      </c>
    </row>
    <row r="1941" spans="2:19" x14ac:dyDescent="0.2">
      <c r="B1941" s="67">
        <f t="shared" si="283"/>
        <v>13</v>
      </c>
      <c r="C1941" s="11"/>
      <c r="D1941" s="11"/>
      <c r="E1941" s="11"/>
      <c r="F1941" s="45" t="s">
        <v>235</v>
      </c>
      <c r="G1941" s="11">
        <v>640</v>
      </c>
      <c r="H1941" s="11" t="s">
        <v>134</v>
      </c>
      <c r="I1941" s="42">
        <v>2000</v>
      </c>
      <c r="J1941" s="42">
        <v>172</v>
      </c>
      <c r="K1941" s="225">
        <f t="shared" si="284"/>
        <v>8.6</v>
      </c>
      <c r="L1941" s="114"/>
      <c r="M1941" s="42"/>
      <c r="N1941" s="42"/>
      <c r="O1941" s="225"/>
      <c r="P1941" s="114"/>
      <c r="Q1941" s="42">
        <f t="shared" si="286"/>
        <v>2000</v>
      </c>
      <c r="R1941" s="42">
        <f t="shared" si="287"/>
        <v>172</v>
      </c>
      <c r="S1941" s="248">
        <f t="shared" si="288"/>
        <v>8.6</v>
      </c>
    </row>
    <row r="1942" spans="2:19" ht="15" x14ac:dyDescent="0.2">
      <c r="B1942" s="67">
        <f t="shared" si="283"/>
        <v>14</v>
      </c>
      <c r="C1942" s="166">
        <v>3</v>
      </c>
      <c r="D1942" s="325" t="s">
        <v>251</v>
      </c>
      <c r="E1942" s="326"/>
      <c r="F1942" s="326"/>
      <c r="G1942" s="326"/>
      <c r="H1942" s="327"/>
      <c r="I1942" s="38">
        <f>I1943</f>
        <v>23070</v>
      </c>
      <c r="J1942" s="38">
        <f>J1943</f>
        <v>23070</v>
      </c>
      <c r="K1942" s="225">
        <f t="shared" si="284"/>
        <v>100</v>
      </c>
      <c r="L1942" s="173"/>
      <c r="M1942" s="38">
        <v>0</v>
      </c>
      <c r="N1942" s="38"/>
      <c r="O1942" s="225"/>
      <c r="P1942" s="173"/>
      <c r="Q1942" s="38">
        <f t="shared" si="286"/>
        <v>23070</v>
      </c>
      <c r="R1942" s="38">
        <f t="shared" si="287"/>
        <v>23070</v>
      </c>
      <c r="S1942" s="248">
        <f t="shared" si="288"/>
        <v>100</v>
      </c>
    </row>
    <row r="1943" spans="2:19" x14ac:dyDescent="0.2">
      <c r="B1943" s="67">
        <f t="shared" si="283"/>
        <v>15</v>
      </c>
      <c r="C1943" s="60"/>
      <c r="D1943" s="60"/>
      <c r="E1943" s="60"/>
      <c r="F1943" s="64" t="s">
        <v>250</v>
      </c>
      <c r="G1943" s="60">
        <v>640</v>
      </c>
      <c r="H1943" s="60" t="s">
        <v>134</v>
      </c>
      <c r="I1943" s="62">
        <f>I1944+I1945+I1946+I1947+I1955</f>
        <v>23070</v>
      </c>
      <c r="J1943" s="62">
        <f>J1944+J1945+J1946+J1947+J1955</f>
        <v>23070</v>
      </c>
      <c r="K1943" s="225">
        <f t="shared" si="284"/>
        <v>100</v>
      </c>
      <c r="L1943" s="177"/>
      <c r="M1943" s="62"/>
      <c r="N1943" s="62"/>
      <c r="O1943" s="225"/>
      <c r="P1943" s="177"/>
      <c r="Q1943" s="62">
        <f t="shared" si="286"/>
        <v>23070</v>
      </c>
      <c r="R1943" s="62">
        <f t="shared" si="287"/>
        <v>23070</v>
      </c>
      <c r="S1943" s="248">
        <f t="shared" si="288"/>
        <v>100</v>
      </c>
    </row>
    <row r="1944" spans="2:19" x14ac:dyDescent="0.2">
      <c r="B1944" s="67">
        <f t="shared" si="283"/>
        <v>16</v>
      </c>
      <c r="C1944" s="60"/>
      <c r="D1944" s="61"/>
      <c r="E1944" s="60"/>
      <c r="F1944" s="75" t="s">
        <v>250</v>
      </c>
      <c r="G1944" s="76">
        <v>640</v>
      </c>
      <c r="H1944" s="76" t="s">
        <v>233</v>
      </c>
      <c r="I1944" s="58">
        <v>5000</v>
      </c>
      <c r="J1944" s="58">
        <v>5000</v>
      </c>
      <c r="K1944" s="225">
        <f t="shared" si="284"/>
        <v>100</v>
      </c>
      <c r="L1944" s="149"/>
      <c r="M1944" s="62"/>
      <c r="N1944" s="62"/>
      <c r="O1944" s="225"/>
      <c r="P1944" s="177"/>
      <c r="Q1944" s="58">
        <f t="shared" si="286"/>
        <v>5000</v>
      </c>
      <c r="R1944" s="58">
        <f t="shared" si="287"/>
        <v>5000</v>
      </c>
      <c r="S1944" s="248">
        <f t="shared" si="288"/>
        <v>100</v>
      </c>
    </row>
    <row r="1945" spans="2:19" ht="24" x14ac:dyDescent="0.2">
      <c r="B1945" s="67">
        <f t="shared" si="283"/>
        <v>17</v>
      </c>
      <c r="C1945" s="60"/>
      <c r="D1945" s="61"/>
      <c r="E1945" s="60"/>
      <c r="F1945" s="75" t="s">
        <v>250</v>
      </c>
      <c r="G1945" s="76">
        <v>640</v>
      </c>
      <c r="H1945" s="81" t="s">
        <v>361</v>
      </c>
      <c r="I1945" s="58">
        <f>906-106</f>
        <v>800</v>
      </c>
      <c r="J1945" s="58">
        <v>800</v>
      </c>
      <c r="K1945" s="225">
        <f t="shared" si="284"/>
        <v>100</v>
      </c>
      <c r="L1945" s="149"/>
      <c r="M1945" s="62"/>
      <c r="N1945" s="62"/>
      <c r="O1945" s="225"/>
      <c r="P1945" s="177"/>
      <c r="Q1945" s="58">
        <f t="shared" si="286"/>
        <v>800</v>
      </c>
      <c r="R1945" s="58">
        <f t="shared" si="287"/>
        <v>800</v>
      </c>
      <c r="S1945" s="248">
        <f t="shared" si="288"/>
        <v>100</v>
      </c>
    </row>
    <row r="1946" spans="2:19" x14ac:dyDescent="0.2">
      <c r="B1946" s="67">
        <f t="shared" si="283"/>
        <v>18</v>
      </c>
      <c r="C1946" s="60"/>
      <c r="D1946" s="61"/>
      <c r="E1946" s="60"/>
      <c r="F1946" s="75" t="s">
        <v>250</v>
      </c>
      <c r="G1946" s="76">
        <v>640</v>
      </c>
      <c r="H1946" s="76" t="s">
        <v>362</v>
      </c>
      <c r="I1946" s="58">
        <f>1928+52</f>
        <v>1980</v>
      </c>
      <c r="J1946" s="58">
        <v>1980</v>
      </c>
      <c r="K1946" s="225">
        <f t="shared" si="284"/>
        <v>100</v>
      </c>
      <c r="L1946" s="149"/>
      <c r="M1946" s="62"/>
      <c r="N1946" s="62"/>
      <c r="O1946" s="225"/>
      <c r="P1946" s="177"/>
      <c r="Q1946" s="58">
        <f t="shared" si="286"/>
        <v>1980</v>
      </c>
      <c r="R1946" s="58">
        <f t="shared" si="287"/>
        <v>1980</v>
      </c>
      <c r="S1946" s="248">
        <f t="shared" si="288"/>
        <v>100</v>
      </c>
    </row>
    <row r="1947" spans="2:19" ht="24" x14ac:dyDescent="0.2">
      <c r="B1947" s="67">
        <f t="shared" si="283"/>
        <v>19</v>
      </c>
      <c r="C1947" s="60"/>
      <c r="D1947" s="61"/>
      <c r="E1947" s="60"/>
      <c r="F1947" s="75" t="s">
        <v>250</v>
      </c>
      <c r="G1947" s="76">
        <v>640</v>
      </c>
      <c r="H1947" s="81" t="s">
        <v>363</v>
      </c>
      <c r="I1947" s="58">
        <f>SUM(I1948:I1954)</f>
        <v>8290</v>
      </c>
      <c r="J1947" s="58">
        <f>SUM(J1948:J1954)</f>
        <v>8290</v>
      </c>
      <c r="K1947" s="225">
        <f t="shared" si="284"/>
        <v>100</v>
      </c>
      <c r="L1947" s="149"/>
      <c r="M1947" s="62"/>
      <c r="N1947" s="62"/>
      <c r="O1947" s="225"/>
      <c r="P1947" s="177"/>
      <c r="Q1947" s="58">
        <f t="shared" si="286"/>
        <v>8290</v>
      </c>
      <c r="R1947" s="58">
        <f t="shared" si="287"/>
        <v>8290</v>
      </c>
      <c r="S1947" s="248">
        <f t="shared" si="288"/>
        <v>100</v>
      </c>
    </row>
    <row r="1948" spans="2:19" x14ac:dyDescent="0.2">
      <c r="B1948" s="67">
        <f t="shared" si="283"/>
        <v>20</v>
      </c>
      <c r="C1948" s="60"/>
      <c r="D1948" s="61"/>
      <c r="E1948" s="60"/>
      <c r="F1948" s="75"/>
      <c r="G1948" s="76"/>
      <c r="H1948" s="81" t="s">
        <v>364</v>
      </c>
      <c r="I1948" s="58">
        <f>422+34</f>
        <v>456</v>
      </c>
      <c r="J1948" s="58">
        <v>456</v>
      </c>
      <c r="K1948" s="225">
        <f t="shared" si="284"/>
        <v>100</v>
      </c>
      <c r="L1948" s="149"/>
      <c r="M1948" s="62"/>
      <c r="N1948" s="62"/>
      <c r="O1948" s="225"/>
      <c r="P1948" s="177"/>
      <c r="Q1948" s="58">
        <f t="shared" si="286"/>
        <v>456</v>
      </c>
      <c r="R1948" s="58">
        <f t="shared" si="287"/>
        <v>456</v>
      </c>
      <c r="S1948" s="248">
        <f t="shared" si="288"/>
        <v>100</v>
      </c>
    </row>
    <row r="1949" spans="2:19" x14ac:dyDescent="0.2">
      <c r="B1949" s="67">
        <f t="shared" si="283"/>
        <v>21</v>
      </c>
      <c r="C1949" s="60"/>
      <c r="D1949" s="61"/>
      <c r="E1949" s="60"/>
      <c r="F1949" s="75"/>
      <c r="G1949" s="76"/>
      <c r="H1949" s="81" t="s">
        <v>365</v>
      </c>
      <c r="I1949" s="58">
        <f>1819+124</f>
        <v>1943</v>
      </c>
      <c r="J1949" s="58">
        <v>1943</v>
      </c>
      <c r="K1949" s="225">
        <f t="shared" si="284"/>
        <v>100</v>
      </c>
      <c r="L1949" s="149"/>
      <c r="M1949" s="62"/>
      <c r="N1949" s="62"/>
      <c r="O1949" s="225"/>
      <c r="P1949" s="177"/>
      <c r="Q1949" s="58">
        <f t="shared" si="286"/>
        <v>1943</v>
      </c>
      <c r="R1949" s="58">
        <f t="shared" si="287"/>
        <v>1943</v>
      </c>
      <c r="S1949" s="248">
        <f t="shared" si="288"/>
        <v>100</v>
      </c>
    </row>
    <row r="1950" spans="2:19" x14ac:dyDescent="0.2">
      <c r="B1950" s="67">
        <f t="shared" si="283"/>
        <v>22</v>
      </c>
      <c r="C1950" s="60"/>
      <c r="D1950" s="61"/>
      <c r="E1950" s="60"/>
      <c r="F1950" s="75"/>
      <c r="G1950" s="76"/>
      <c r="H1950" s="81" t="s">
        <v>366</v>
      </c>
      <c r="I1950" s="58">
        <f>1363+67</f>
        <v>1430</v>
      </c>
      <c r="J1950" s="58">
        <v>1430</v>
      </c>
      <c r="K1950" s="225">
        <f t="shared" si="284"/>
        <v>100</v>
      </c>
      <c r="L1950" s="149"/>
      <c r="M1950" s="62"/>
      <c r="N1950" s="62"/>
      <c r="O1950" s="225"/>
      <c r="P1950" s="177"/>
      <c r="Q1950" s="58">
        <f t="shared" si="286"/>
        <v>1430</v>
      </c>
      <c r="R1950" s="58">
        <f t="shared" si="287"/>
        <v>1430</v>
      </c>
      <c r="S1950" s="244">
        <f t="shared" si="288"/>
        <v>100</v>
      </c>
    </row>
    <row r="1951" spans="2:19" x14ac:dyDescent="0.2">
      <c r="B1951" s="67">
        <f t="shared" si="283"/>
        <v>23</v>
      </c>
      <c r="C1951" s="60"/>
      <c r="D1951" s="61"/>
      <c r="E1951" s="60"/>
      <c r="F1951" s="75"/>
      <c r="G1951" s="76"/>
      <c r="H1951" s="81" t="s">
        <v>367</v>
      </c>
      <c r="I1951" s="58">
        <f>370-24</f>
        <v>346</v>
      </c>
      <c r="J1951" s="58">
        <v>346</v>
      </c>
      <c r="K1951" s="225">
        <f t="shared" si="284"/>
        <v>100</v>
      </c>
      <c r="L1951" s="149"/>
      <c r="M1951" s="62"/>
      <c r="N1951" s="62"/>
      <c r="O1951" s="225"/>
      <c r="P1951" s="177"/>
      <c r="Q1951" s="58">
        <f t="shared" si="286"/>
        <v>346</v>
      </c>
      <c r="R1951" s="58">
        <f t="shared" si="287"/>
        <v>346</v>
      </c>
      <c r="S1951" s="244">
        <f t="shared" si="288"/>
        <v>100</v>
      </c>
    </row>
    <row r="1952" spans="2:19" x14ac:dyDescent="0.2">
      <c r="B1952" s="67">
        <f t="shared" si="283"/>
        <v>24</v>
      </c>
      <c r="C1952" s="60"/>
      <c r="D1952" s="61"/>
      <c r="E1952" s="60"/>
      <c r="F1952" s="75"/>
      <c r="G1952" s="76"/>
      <c r="H1952" s="81" t="s">
        <v>368</v>
      </c>
      <c r="I1952" s="58">
        <f>478+198</f>
        <v>676</v>
      </c>
      <c r="J1952" s="58">
        <v>676</v>
      </c>
      <c r="K1952" s="225">
        <f t="shared" si="284"/>
        <v>100</v>
      </c>
      <c r="L1952" s="149"/>
      <c r="M1952" s="62"/>
      <c r="N1952" s="62"/>
      <c r="O1952" s="225"/>
      <c r="P1952" s="177"/>
      <c r="Q1952" s="58">
        <f t="shared" si="286"/>
        <v>676</v>
      </c>
      <c r="R1952" s="58">
        <f t="shared" si="287"/>
        <v>676</v>
      </c>
      <c r="S1952" s="244">
        <f t="shared" si="288"/>
        <v>100</v>
      </c>
    </row>
    <row r="1953" spans="2:19" x14ac:dyDescent="0.2">
      <c r="B1953" s="67">
        <f t="shared" si="283"/>
        <v>25</v>
      </c>
      <c r="C1953" s="60"/>
      <c r="D1953" s="61"/>
      <c r="E1953" s="60"/>
      <c r="F1953" s="75"/>
      <c r="G1953" s="76"/>
      <c r="H1953" s="81" t="s">
        <v>369</v>
      </c>
      <c r="I1953" s="58">
        <f>1080-17</f>
        <v>1063</v>
      </c>
      <c r="J1953" s="58">
        <v>1063</v>
      </c>
      <c r="K1953" s="225">
        <f t="shared" si="284"/>
        <v>100</v>
      </c>
      <c r="L1953" s="149"/>
      <c r="M1953" s="62"/>
      <c r="N1953" s="62"/>
      <c r="O1953" s="225"/>
      <c r="P1953" s="177"/>
      <c r="Q1953" s="58">
        <f t="shared" si="286"/>
        <v>1063</v>
      </c>
      <c r="R1953" s="58">
        <f t="shared" si="287"/>
        <v>1063</v>
      </c>
      <c r="S1953" s="244">
        <f t="shared" si="288"/>
        <v>100</v>
      </c>
    </row>
    <row r="1954" spans="2:19" x14ac:dyDescent="0.2">
      <c r="B1954" s="67">
        <f t="shared" si="283"/>
        <v>26</v>
      </c>
      <c r="C1954" s="60"/>
      <c r="D1954" s="61"/>
      <c r="E1954" s="60"/>
      <c r="F1954" s="75"/>
      <c r="G1954" s="76"/>
      <c r="H1954" s="81" t="s">
        <v>370</v>
      </c>
      <c r="I1954" s="58">
        <f>2704-328</f>
        <v>2376</v>
      </c>
      <c r="J1954" s="58">
        <v>2376</v>
      </c>
      <c r="K1954" s="225">
        <f t="shared" si="284"/>
        <v>100</v>
      </c>
      <c r="L1954" s="149"/>
      <c r="M1954" s="62"/>
      <c r="N1954" s="62"/>
      <c r="O1954" s="225"/>
      <c r="P1954" s="177"/>
      <c r="Q1954" s="58">
        <f t="shared" si="286"/>
        <v>2376</v>
      </c>
      <c r="R1954" s="58">
        <f t="shared" si="287"/>
        <v>2376</v>
      </c>
      <c r="S1954" s="244">
        <f t="shared" si="288"/>
        <v>100</v>
      </c>
    </row>
    <row r="1955" spans="2:19" ht="24" x14ac:dyDescent="0.2">
      <c r="B1955" s="67">
        <f t="shared" si="283"/>
        <v>27</v>
      </c>
      <c r="C1955" s="60"/>
      <c r="D1955" s="61"/>
      <c r="E1955" s="60"/>
      <c r="F1955" s="75" t="s">
        <v>250</v>
      </c>
      <c r="G1955" s="76">
        <v>640</v>
      </c>
      <c r="H1955" s="81" t="s">
        <v>429</v>
      </c>
      <c r="I1955" s="58">
        <v>7000</v>
      </c>
      <c r="J1955" s="58">
        <v>7000</v>
      </c>
      <c r="K1955" s="225">
        <f t="shared" si="284"/>
        <v>100</v>
      </c>
      <c r="L1955" s="149"/>
      <c r="M1955" s="62"/>
      <c r="N1955" s="62"/>
      <c r="O1955" s="225"/>
      <c r="P1955" s="177"/>
      <c r="Q1955" s="58">
        <f t="shared" si="286"/>
        <v>7000</v>
      </c>
      <c r="R1955" s="58">
        <f t="shared" si="287"/>
        <v>7000</v>
      </c>
      <c r="S1955" s="248">
        <f t="shared" si="288"/>
        <v>100</v>
      </c>
    </row>
    <row r="1956" spans="2:19" ht="15" x14ac:dyDescent="0.2">
      <c r="B1956" s="67">
        <f t="shared" si="283"/>
        <v>28</v>
      </c>
      <c r="C1956" s="166">
        <v>4</v>
      </c>
      <c r="D1956" s="325" t="s">
        <v>241</v>
      </c>
      <c r="E1956" s="326"/>
      <c r="F1956" s="326"/>
      <c r="G1956" s="326"/>
      <c r="H1956" s="327"/>
      <c r="I1956" s="38">
        <f>I1957</f>
        <v>63930</v>
      </c>
      <c r="J1956" s="38">
        <f>J1957</f>
        <v>27202</v>
      </c>
      <c r="K1956" s="225">
        <f t="shared" si="284"/>
        <v>42.549663694666037</v>
      </c>
      <c r="L1956" s="173"/>
      <c r="M1956" s="38">
        <f>M1957</f>
        <v>0</v>
      </c>
      <c r="N1956" s="38">
        <f>N1957</f>
        <v>0</v>
      </c>
      <c r="O1956" s="225"/>
      <c r="P1956" s="173"/>
      <c r="Q1956" s="38">
        <f t="shared" si="286"/>
        <v>63930</v>
      </c>
      <c r="R1956" s="38">
        <f t="shared" si="287"/>
        <v>27202</v>
      </c>
      <c r="S1956" s="244">
        <f t="shared" si="288"/>
        <v>42.549663694666037</v>
      </c>
    </row>
    <row r="1957" spans="2:19" ht="15" x14ac:dyDescent="0.25">
      <c r="B1957" s="67">
        <f t="shared" si="283"/>
        <v>29</v>
      </c>
      <c r="C1957" s="14"/>
      <c r="D1957" s="14"/>
      <c r="E1957" s="14">
        <v>5</v>
      </c>
      <c r="F1957" s="43"/>
      <c r="G1957" s="14"/>
      <c r="H1957" s="14" t="s">
        <v>264</v>
      </c>
      <c r="I1957" s="40">
        <f>I1958+I1959+I1960</f>
        <v>63930</v>
      </c>
      <c r="J1957" s="40">
        <f>J1958+J1959+J1960</f>
        <v>27202</v>
      </c>
      <c r="K1957" s="225">
        <f t="shared" si="284"/>
        <v>42.549663694666037</v>
      </c>
      <c r="L1957" s="175"/>
      <c r="M1957" s="40">
        <f>M1958+M1959+M1960</f>
        <v>0</v>
      </c>
      <c r="N1957" s="40">
        <f>N1958+N1959+N1960</f>
        <v>0</v>
      </c>
      <c r="O1957" s="225"/>
      <c r="P1957" s="175"/>
      <c r="Q1957" s="40">
        <f t="shared" si="286"/>
        <v>63930</v>
      </c>
      <c r="R1957" s="40">
        <f t="shared" si="287"/>
        <v>27202</v>
      </c>
      <c r="S1957" s="244">
        <f t="shared" si="288"/>
        <v>42.549663694666037</v>
      </c>
    </row>
    <row r="1958" spans="2:19" x14ac:dyDescent="0.2">
      <c r="B1958" s="67">
        <f t="shared" si="283"/>
        <v>30</v>
      </c>
      <c r="C1958" s="11"/>
      <c r="D1958" s="11"/>
      <c r="E1958" s="11"/>
      <c r="F1958" s="45" t="s">
        <v>235</v>
      </c>
      <c r="G1958" s="11">
        <v>610</v>
      </c>
      <c r="H1958" s="11" t="s">
        <v>135</v>
      </c>
      <c r="I1958" s="42">
        <f>20860+10460</f>
        <v>31320</v>
      </c>
      <c r="J1958" s="42">
        <v>15214</v>
      </c>
      <c r="K1958" s="225">
        <f t="shared" si="284"/>
        <v>48.575989782886339</v>
      </c>
      <c r="L1958" s="114"/>
      <c r="M1958" s="42"/>
      <c r="N1958" s="42"/>
      <c r="O1958" s="225"/>
      <c r="P1958" s="114"/>
      <c r="Q1958" s="42">
        <f t="shared" si="286"/>
        <v>31320</v>
      </c>
      <c r="R1958" s="42">
        <f t="shared" si="287"/>
        <v>15214</v>
      </c>
      <c r="S1958" s="244">
        <f t="shared" si="288"/>
        <v>48.575989782886339</v>
      </c>
    </row>
    <row r="1959" spans="2:19" x14ac:dyDescent="0.2">
      <c r="B1959" s="67">
        <f t="shared" si="283"/>
        <v>31</v>
      </c>
      <c r="C1959" s="11"/>
      <c r="D1959" s="11"/>
      <c r="E1959" s="11"/>
      <c r="F1959" s="45" t="s">
        <v>235</v>
      </c>
      <c r="G1959" s="11">
        <v>620</v>
      </c>
      <c r="H1959" s="11" t="s">
        <v>130</v>
      </c>
      <c r="I1959" s="42">
        <f>7300+3660</f>
        <v>10960</v>
      </c>
      <c r="J1959" s="42">
        <v>5097</v>
      </c>
      <c r="K1959" s="225">
        <f t="shared" si="284"/>
        <v>46.505474452554743</v>
      </c>
      <c r="L1959" s="114"/>
      <c r="M1959" s="42"/>
      <c r="N1959" s="42"/>
      <c r="O1959" s="225"/>
      <c r="P1959" s="114"/>
      <c r="Q1959" s="42">
        <f t="shared" si="286"/>
        <v>10960</v>
      </c>
      <c r="R1959" s="42">
        <f t="shared" si="287"/>
        <v>5097</v>
      </c>
      <c r="S1959" s="244">
        <f t="shared" si="288"/>
        <v>46.505474452554743</v>
      </c>
    </row>
    <row r="1960" spans="2:19" x14ac:dyDescent="0.2">
      <c r="B1960" s="67">
        <f t="shared" si="283"/>
        <v>32</v>
      </c>
      <c r="C1960" s="11"/>
      <c r="D1960" s="11"/>
      <c r="E1960" s="11"/>
      <c r="F1960" s="45" t="s">
        <v>235</v>
      </c>
      <c r="G1960" s="11">
        <v>630</v>
      </c>
      <c r="H1960" s="11" t="s">
        <v>127</v>
      </c>
      <c r="I1960" s="42">
        <f>I1964+I1963+I1962+I1961</f>
        <v>21650</v>
      </c>
      <c r="J1960" s="42">
        <f>J1964+J1963+J1962+J1961</f>
        <v>6891</v>
      </c>
      <c r="K1960" s="225">
        <f t="shared" si="284"/>
        <v>31.829099307159353</v>
      </c>
      <c r="L1960" s="114"/>
      <c r="M1960" s="42">
        <f>M1964+M1963+M1962+M1961</f>
        <v>0</v>
      </c>
      <c r="N1960" s="42">
        <f>N1964+N1963+N1962+N1961</f>
        <v>0</v>
      </c>
      <c r="O1960" s="225"/>
      <c r="P1960" s="114"/>
      <c r="Q1960" s="42">
        <f t="shared" si="286"/>
        <v>21650</v>
      </c>
      <c r="R1960" s="42">
        <f t="shared" si="287"/>
        <v>6891</v>
      </c>
      <c r="S1960" s="244">
        <f t="shared" si="288"/>
        <v>31.829099307159353</v>
      </c>
    </row>
    <row r="1961" spans="2:19" x14ac:dyDescent="0.2">
      <c r="B1961" s="67">
        <f t="shared" si="283"/>
        <v>33</v>
      </c>
      <c r="C1961" s="2"/>
      <c r="D1961" s="2"/>
      <c r="E1961" s="2"/>
      <c r="F1961" s="46" t="s">
        <v>235</v>
      </c>
      <c r="G1961" s="2">
        <v>632</v>
      </c>
      <c r="H1961" s="2" t="s">
        <v>138</v>
      </c>
      <c r="I1961" s="22">
        <f>7450+2600</f>
        <v>10050</v>
      </c>
      <c r="J1961" s="22">
        <v>2888</v>
      </c>
      <c r="K1961" s="225">
        <f t="shared" si="284"/>
        <v>28.736318407960198</v>
      </c>
      <c r="L1961" s="68"/>
      <c r="M1961" s="22"/>
      <c r="N1961" s="22"/>
      <c r="O1961" s="225"/>
      <c r="P1961" s="68"/>
      <c r="Q1961" s="22">
        <f t="shared" si="286"/>
        <v>10050</v>
      </c>
      <c r="R1961" s="22">
        <f t="shared" si="287"/>
        <v>2888</v>
      </c>
      <c r="S1961" s="244">
        <f t="shared" si="288"/>
        <v>28.736318407960198</v>
      </c>
    </row>
    <row r="1962" spans="2:19" x14ac:dyDescent="0.2">
      <c r="B1962" s="67">
        <f t="shared" si="283"/>
        <v>34</v>
      </c>
      <c r="C1962" s="2"/>
      <c r="D1962" s="2"/>
      <c r="E1962" s="2"/>
      <c r="F1962" s="46" t="s">
        <v>235</v>
      </c>
      <c r="G1962" s="2">
        <v>633</v>
      </c>
      <c r="H1962" s="2" t="s">
        <v>131</v>
      </c>
      <c r="I1962" s="22">
        <f>600+500</f>
        <v>1100</v>
      </c>
      <c r="J1962" s="22">
        <v>242</v>
      </c>
      <c r="K1962" s="225">
        <f t="shared" si="284"/>
        <v>22</v>
      </c>
      <c r="L1962" s="68"/>
      <c r="M1962" s="22"/>
      <c r="N1962" s="22"/>
      <c r="O1962" s="225"/>
      <c r="P1962" s="68"/>
      <c r="Q1962" s="22">
        <f t="shared" si="286"/>
        <v>1100</v>
      </c>
      <c r="R1962" s="22">
        <f t="shared" si="287"/>
        <v>242</v>
      </c>
      <c r="S1962" s="244">
        <f t="shared" si="288"/>
        <v>22</v>
      </c>
    </row>
    <row r="1963" spans="2:19" x14ac:dyDescent="0.2">
      <c r="B1963" s="67">
        <f t="shared" si="283"/>
        <v>35</v>
      </c>
      <c r="C1963" s="2"/>
      <c r="D1963" s="2"/>
      <c r="E1963" s="2"/>
      <c r="F1963" s="46" t="s">
        <v>235</v>
      </c>
      <c r="G1963" s="2">
        <v>635</v>
      </c>
      <c r="H1963" s="2" t="s">
        <v>137</v>
      </c>
      <c r="I1963" s="22">
        <f>1500+3500</f>
        <v>5000</v>
      </c>
      <c r="J1963" s="22">
        <v>1360</v>
      </c>
      <c r="K1963" s="225">
        <f t="shared" si="284"/>
        <v>27.200000000000003</v>
      </c>
      <c r="L1963" s="68"/>
      <c r="M1963" s="22"/>
      <c r="N1963" s="22"/>
      <c r="O1963" s="225"/>
      <c r="P1963" s="68"/>
      <c r="Q1963" s="22">
        <f t="shared" si="286"/>
        <v>5000</v>
      </c>
      <c r="R1963" s="22">
        <f t="shared" si="287"/>
        <v>1360</v>
      </c>
      <c r="S1963" s="244">
        <f t="shared" si="288"/>
        <v>27.200000000000003</v>
      </c>
    </row>
    <row r="1964" spans="2:19" x14ac:dyDescent="0.2">
      <c r="B1964" s="67">
        <f t="shared" si="283"/>
        <v>36</v>
      </c>
      <c r="C1964" s="2"/>
      <c r="D1964" s="2"/>
      <c r="E1964" s="2"/>
      <c r="F1964" s="46" t="s">
        <v>235</v>
      </c>
      <c r="G1964" s="2">
        <v>637</v>
      </c>
      <c r="H1964" s="2" t="s">
        <v>128</v>
      </c>
      <c r="I1964" s="22">
        <f>2500+3000</f>
        <v>5500</v>
      </c>
      <c r="J1964" s="22">
        <v>2401</v>
      </c>
      <c r="K1964" s="225">
        <f t="shared" si="284"/>
        <v>43.654545454545456</v>
      </c>
      <c r="L1964" s="68"/>
      <c r="M1964" s="22"/>
      <c r="N1964" s="22"/>
      <c r="O1964" s="225"/>
      <c r="P1964" s="68"/>
      <c r="Q1964" s="22">
        <f t="shared" si="286"/>
        <v>5500</v>
      </c>
      <c r="R1964" s="22">
        <f t="shared" si="287"/>
        <v>2401</v>
      </c>
      <c r="S1964" s="244">
        <f t="shared" si="288"/>
        <v>43.654545454545456</v>
      </c>
    </row>
    <row r="1965" spans="2:19" ht="15" x14ac:dyDescent="0.2">
      <c r="B1965" s="67">
        <f t="shared" si="283"/>
        <v>37</v>
      </c>
      <c r="C1965" s="166">
        <v>5</v>
      </c>
      <c r="D1965" s="325" t="s">
        <v>186</v>
      </c>
      <c r="E1965" s="326"/>
      <c r="F1965" s="326"/>
      <c r="G1965" s="326"/>
      <c r="H1965" s="327"/>
      <c r="I1965" s="38">
        <f>I1998+I1984+I1966</f>
        <v>502385</v>
      </c>
      <c r="J1965" s="38">
        <f>J1998+J1984+J1966</f>
        <v>227904</v>
      </c>
      <c r="K1965" s="225">
        <f t="shared" si="284"/>
        <v>45.364411755924237</v>
      </c>
      <c r="L1965" s="173"/>
      <c r="M1965" s="38">
        <f>M1998+M1984+M1966</f>
        <v>6700</v>
      </c>
      <c r="N1965" s="38">
        <f>N1998+N1984+N1966</f>
        <v>0</v>
      </c>
      <c r="O1965" s="225">
        <f t="shared" si="285"/>
        <v>0</v>
      </c>
      <c r="P1965" s="173"/>
      <c r="Q1965" s="38">
        <f t="shared" si="286"/>
        <v>509085</v>
      </c>
      <c r="R1965" s="38">
        <f t="shared" si="287"/>
        <v>227904</v>
      </c>
      <c r="S1965" s="244">
        <f t="shared" si="288"/>
        <v>44.76737676419458</v>
      </c>
    </row>
    <row r="1966" spans="2:19" ht="15" x14ac:dyDescent="0.25">
      <c r="B1966" s="67">
        <f t="shared" si="283"/>
        <v>38</v>
      </c>
      <c r="C1966" s="165"/>
      <c r="D1966" s="165">
        <v>1</v>
      </c>
      <c r="E1966" s="341" t="s">
        <v>185</v>
      </c>
      <c r="F1966" s="326"/>
      <c r="G1966" s="326"/>
      <c r="H1966" s="327"/>
      <c r="I1966" s="39">
        <f>I1967+I1972</f>
        <v>8180</v>
      </c>
      <c r="J1966" s="39">
        <f>J1967+J1972</f>
        <v>1869</v>
      </c>
      <c r="K1966" s="225">
        <f t="shared" si="284"/>
        <v>22.848410757946212</v>
      </c>
      <c r="L1966" s="174"/>
      <c r="M1966" s="39">
        <f>M1967+M1972</f>
        <v>0</v>
      </c>
      <c r="N1966" s="39">
        <f>N1967+N1972</f>
        <v>0</v>
      </c>
      <c r="O1966" s="225"/>
      <c r="P1966" s="174"/>
      <c r="Q1966" s="39">
        <f t="shared" si="286"/>
        <v>8180</v>
      </c>
      <c r="R1966" s="39">
        <f t="shared" si="287"/>
        <v>1869</v>
      </c>
      <c r="S1966" s="244">
        <f t="shared" si="288"/>
        <v>22.848410757946212</v>
      </c>
    </row>
    <row r="1967" spans="2:19" x14ac:dyDescent="0.2">
      <c r="B1967" s="67">
        <f t="shared" si="283"/>
        <v>39</v>
      </c>
      <c r="C1967" s="11"/>
      <c r="D1967" s="11"/>
      <c r="E1967" s="11"/>
      <c r="F1967" s="45" t="s">
        <v>74</v>
      </c>
      <c r="G1967" s="11">
        <v>640</v>
      </c>
      <c r="H1967" s="11" t="s">
        <v>134</v>
      </c>
      <c r="I1967" s="42">
        <f>SUM(I1968:I1970)</f>
        <v>2100</v>
      </c>
      <c r="J1967" s="42">
        <f>SUM(J1968:J1970)</f>
        <v>600</v>
      </c>
      <c r="K1967" s="225">
        <f t="shared" si="284"/>
        <v>28.571428571428569</v>
      </c>
      <c r="L1967" s="114"/>
      <c r="M1967" s="42">
        <f>SUM(M1968:M1970)</f>
        <v>0</v>
      </c>
      <c r="N1967" s="42">
        <f>SUM(N1968:N1970)</f>
        <v>0</v>
      </c>
      <c r="O1967" s="225"/>
      <c r="P1967" s="114"/>
      <c r="Q1967" s="42">
        <f t="shared" si="286"/>
        <v>2100</v>
      </c>
      <c r="R1967" s="42">
        <f t="shared" si="287"/>
        <v>600</v>
      </c>
      <c r="S1967" s="244">
        <f t="shared" si="288"/>
        <v>28.571428571428569</v>
      </c>
    </row>
    <row r="1968" spans="2:19" x14ac:dyDescent="0.2">
      <c r="B1968" s="67">
        <f t="shared" si="283"/>
        <v>40</v>
      </c>
      <c r="C1968" s="11"/>
      <c r="D1968" s="11"/>
      <c r="E1968" s="11"/>
      <c r="F1968" s="45"/>
      <c r="G1968" s="11"/>
      <c r="H1968" s="90" t="s">
        <v>19</v>
      </c>
      <c r="I1968" s="51">
        <v>370</v>
      </c>
      <c r="J1968" s="51">
        <v>370</v>
      </c>
      <c r="K1968" s="225">
        <f t="shared" si="284"/>
        <v>100</v>
      </c>
      <c r="L1968" s="68"/>
      <c r="M1968" s="42"/>
      <c r="N1968" s="42"/>
      <c r="O1968" s="225"/>
      <c r="P1968" s="114"/>
      <c r="Q1968" s="51">
        <f t="shared" si="286"/>
        <v>370</v>
      </c>
      <c r="R1968" s="51">
        <f t="shared" si="287"/>
        <v>370</v>
      </c>
      <c r="S1968" s="244">
        <f t="shared" si="288"/>
        <v>100</v>
      </c>
    </row>
    <row r="1969" spans="2:19" x14ac:dyDescent="0.2">
      <c r="B1969" s="67">
        <f t="shared" si="283"/>
        <v>41</v>
      </c>
      <c r="C1969" s="11"/>
      <c r="D1969" s="11"/>
      <c r="E1969" s="11"/>
      <c r="F1969" s="45"/>
      <c r="G1969" s="11"/>
      <c r="H1969" s="90" t="s">
        <v>20</v>
      </c>
      <c r="I1969" s="51">
        <v>1500</v>
      </c>
      <c r="J1969" s="51">
        <v>0</v>
      </c>
      <c r="K1969" s="225">
        <f t="shared" si="284"/>
        <v>0</v>
      </c>
      <c r="L1969" s="68"/>
      <c r="M1969" s="42"/>
      <c r="N1969" s="42"/>
      <c r="O1969" s="225"/>
      <c r="P1969" s="114"/>
      <c r="Q1969" s="51">
        <f t="shared" si="286"/>
        <v>1500</v>
      </c>
      <c r="R1969" s="51">
        <f t="shared" si="287"/>
        <v>0</v>
      </c>
      <c r="S1969" s="244">
        <f t="shared" si="288"/>
        <v>0</v>
      </c>
    </row>
    <row r="1970" spans="2:19" x14ac:dyDescent="0.2">
      <c r="B1970" s="67">
        <f t="shared" si="283"/>
        <v>42</v>
      </c>
      <c r="C1970" s="11"/>
      <c r="D1970" s="11"/>
      <c r="E1970" s="11"/>
      <c r="F1970" s="45"/>
      <c r="G1970" s="11"/>
      <c r="H1970" s="90" t="s">
        <v>415</v>
      </c>
      <c r="I1970" s="51">
        <v>230</v>
      </c>
      <c r="J1970" s="51">
        <v>230</v>
      </c>
      <c r="K1970" s="225">
        <f t="shared" si="284"/>
        <v>100</v>
      </c>
      <c r="L1970" s="68"/>
      <c r="M1970" s="42"/>
      <c r="N1970" s="42"/>
      <c r="O1970" s="225"/>
      <c r="P1970" s="114"/>
      <c r="Q1970" s="51">
        <f t="shared" si="286"/>
        <v>230</v>
      </c>
      <c r="R1970" s="51">
        <f t="shared" si="287"/>
        <v>230</v>
      </c>
      <c r="S1970" s="244">
        <f t="shared" si="288"/>
        <v>100</v>
      </c>
    </row>
    <row r="1971" spans="2:19" x14ac:dyDescent="0.2">
      <c r="B1971" s="67">
        <f t="shared" si="283"/>
        <v>43</v>
      </c>
      <c r="C1971" s="11"/>
      <c r="D1971" s="11"/>
      <c r="E1971" s="11"/>
      <c r="F1971" s="45"/>
      <c r="G1971" s="11"/>
      <c r="H1971" s="11"/>
      <c r="I1971" s="42"/>
      <c r="J1971" s="42"/>
      <c r="K1971" s="225"/>
      <c r="L1971" s="114"/>
      <c r="M1971" s="42"/>
      <c r="N1971" s="42"/>
      <c r="O1971" s="225"/>
      <c r="P1971" s="114"/>
      <c r="Q1971" s="42"/>
      <c r="R1971" s="42"/>
      <c r="S1971" s="244"/>
    </row>
    <row r="1972" spans="2:19" x14ac:dyDescent="0.2">
      <c r="B1972" s="67">
        <f t="shared" si="283"/>
        <v>44</v>
      </c>
      <c r="C1972" s="11"/>
      <c r="D1972" s="11"/>
      <c r="E1972" s="11"/>
      <c r="F1972" s="45" t="s">
        <v>77</v>
      </c>
      <c r="G1972" s="11">
        <v>630</v>
      </c>
      <c r="H1972" s="11" t="s">
        <v>127</v>
      </c>
      <c r="I1972" s="42">
        <f>I1975+I1974+I1973+I1976+I1977+I1978+I1979+I1980+I1981+I1982+I1983</f>
        <v>6080</v>
      </c>
      <c r="J1972" s="42">
        <f>J1975+J1974+J1973+J1976+J1977+J1978+J1979+J1980+J1981+J1982+J1983</f>
        <v>1269</v>
      </c>
      <c r="K1972" s="225">
        <f t="shared" si="284"/>
        <v>20.871710526315791</v>
      </c>
      <c r="L1972" s="114"/>
      <c r="M1972" s="42">
        <v>0</v>
      </c>
      <c r="N1972" s="42"/>
      <c r="O1972" s="225"/>
      <c r="P1972" s="114"/>
      <c r="Q1972" s="42">
        <f t="shared" ref="Q1972:Q2034" si="289">I1972+M1972</f>
        <v>6080</v>
      </c>
      <c r="R1972" s="42">
        <f t="shared" ref="R1972:R2034" si="290">J1972+N1972</f>
        <v>1269</v>
      </c>
      <c r="S1972" s="244">
        <f t="shared" si="288"/>
        <v>20.871710526315791</v>
      </c>
    </row>
    <row r="1973" spans="2:19" x14ac:dyDescent="0.2">
      <c r="B1973" s="67">
        <f t="shared" si="283"/>
        <v>45</v>
      </c>
      <c r="C1973" s="2"/>
      <c r="D1973" s="2"/>
      <c r="E1973" s="2"/>
      <c r="F1973" s="46" t="s">
        <v>77</v>
      </c>
      <c r="G1973" s="2">
        <v>633</v>
      </c>
      <c r="H1973" s="2" t="s">
        <v>131</v>
      </c>
      <c r="I1973" s="22">
        <f>5630-5080</f>
        <v>550</v>
      </c>
      <c r="J1973" s="22">
        <v>257</v>
      </c>
      <c r="K1973" s="225">
        <f t="shared" si="284"/>
        <v>46.727272727272727</v>
      </c>
      <c r="L1973" s="68"/>
      <c r="M1973" s="22"/>
      <c r="N1973" s="22"/>
      <c r="O1973" s="225"/>
      <c r="P1973" s="68"/>
      <c r="Q1973" s="22">
        <f t="shared" si="289"/>
        <v>550</v>
      </c>
      <c r="R1973" s="22">
        <f t="shared" si="290"/>
        <v>257</v>
      </c>
      <c r="S1973" s="244">
        <f t="shared" si="288"/>
        <v>46.727272727272727</v>
      </c>
    </row>
    <row r="1974" spans="2:19" x14ac:dyDescent="0.2">
      <c r="B1974" s="67">
        <f t="shared" si="283"/>
        <v>46</v>
      </c>
      <c r="C1974" s="2"/>
      <c r="D1974" s="2"/>
      <c r="E1974" s="2"/>
      <c r="F1974" s="46" t="s">
        <v>77</v>
      </c>
      <c r="G1974" s="2">
        <v>634</v>
      </c>
      <c r="H1974" s="2" t="s">
        <v>136</v>
      </c>
      <c r="I1974" s="22">
        <v>350</v>
      </c>
      <c r="J1974" s="22">
        <v>0</v>
      </c>
      <c r="K1974" s="225">
        <f t="shared" si="284"/>
        <v>0</v>
      </c>
      <c r="L1974" s="68"/>
      <c r="M1974" s="22"/>
      <c r="N1974" s="22"/>
      <c r="O1974" s="225"/>
      <c r="P1974" s="68"/>
      <c r="Q1974" s="22">
        <f t="shared" si="289"/>
        <v>350</v>
      </c>
      <c r="R1974" s="22">
        <f t="shared" si="290"/>
        <v>0</v>
      </c>
      <c r="S1974" s="244">
        <f t="shared" si="288"/>
        <v>0</v>
      </c>
    </row>
    <row r="1975" spans="2:19" x14ac:dyDescent="0.2">
      <c r="B1975" s="67">
        <f t="shared" si="283"/>
        <v>47</v>
      </c>
      <c r="C1975" s="2"/>
      <c r="D1975" s="2"/>
      <c r="E1975" s="2"/>
      <c r="F1975" s="46" t="s">
        <v>77</v>
      </c>
      <c r="G1975" s="2">
        <v>637</v>
      </c>
      <c r="H1975" s="2" t="s">
        <v>128</v>
      </c>
      <c r="I1975" s="22">
        <v>100</v>
      </c>
      <c r="J1975" s="22">
        <v>0</v>
      </c>
      <c r="K1975" s="225">
        <f t="shared" si="284"/>
        <v>0</v>
      </c>
      <c r="L1975" s="68"/>
      <c r="M1975" s="22"/>
      <c r="N1975" s="22"/>
      <c r="O1975" s="225"/>
      <c r="P1975" s="68"/>
      <c r="Q1975" s="22">
        <f t="shared" si="289"/>
        <v>100</v>
      </c>
      <c r="R1975" s="22">
        <f t="shared" si="290"/>
        <v>0</v>
      </c>
      <c r="S1975" s="244">
        <f t="shared" si="288"/>
        <v>0</v>
      </c>
    </row>
    <row r="1976" spans="2:19" x14ac:dyDescent="0.2">
      <c r="B1976" s="67">
        <f t="shared" si="283"/>
        <v>48</v>
      </c>
      <c r="C1976" s="2"/>
      <c r="D1976" s="2"/>
      <c r="E1976" s="2"/>
      <c r="F1976" s="46" t="s">
        <v>77</v>
      </c>
      <c r="G1976" s="2">
        <v>630</v>
      </c>
      <c r="H1976" s="2" t="s">
        <v>623</v>
      </c>
      <c r="I1976" s="22">
        <v>511</v>
      </c>
      <c r="J1976" s="22">
        <v>225</v>
      </c>
      <c r="K1976" s="225">
        <f t="shared" si="284"/>
        <v>44.031311154598825</v>
      </c>
      <c r="L1976" s="68"/>
      <c r="M1976" s="22"/>
      <c r="N1976" s="22"/>
      <c r="O1976" s="225"/>
      <c r="P1976" s="68"/>
      <c r="Q1976" s="22">
        <f t="shared" si="289"/>
        <v>511</v>
      </c>
      <c r="R1976" s="22">
        <f t="shared" si="290"/>
        <v>225</v>
      </c>
      <c r="S1976" s="244">
        <f t="shared" si="288"/>
        <v>44.031311154598825</v>
      </c>
    </row>
    <row r="1977" spans="2:19" x14ac:dyDescent="0.2">
      <c r="B1977" s="67">
        <f t="shared" si="283"/>
        <v>49</v>
      </c>
      <c r="C1977" s="2"/>
      <c r="D1977" s="2"/>
      <c r="E1977" s="2"/>
      <c r="F1977" s="46" t="s">
        <v>77</v>
      </c>
      <c r="G1977" s="2">
        <v>630</v>
      </c>
      <c r="H1977" s="2" t="s">
        <v>624</v>
      </c>
      <c r="I1977" s="22">
        <v>755</v>
      </c>
      <c r="J1977" s="22">
        <v>0</v>
      </c>
      <c r="K1977" s="225">
        <f t="shared" si="284"/>
        <v>0</v>
      </c>
      <c r="L1977" s="68"/>
      <c r="M1977" s="22"/>
      <c r="N1977" s="22"/>
      <c r="O1977" s="225"/>
      <c r="P1977" s="68"/>
      <c r="Q1977" s="22">
        <f t="shared" si="289"/>
        <v>755</v>
      </c>
      <c r="R1977" s="22">
        <f t="shared" si="290"/>
        <v>0</v>
      </c>
      <c r="S1977" s="244">
        <f t="shared" si="288"/>
        <v>0</v>
      </c>
    </row>
    <row r="1978" spans="2:19" x14ac:dyDescent="0.2">
      <c r="B1978" s="67">
        <f t="shared" si="283"/>
        <v>50</v>
      </c>
      <c r="C1978" s="2"/>
      <c r="D1978" s="2"/>
      <c r="E1978" s="2"/>
      <c r="F1978" s="46" t="s">
        <v>77</v>
      </c>
      <c r="G1978" s="2">
        <v>630</v>
      </c>
      <c r="H1978" s="2" t="s">
        <v>625</v>
      </c>
      <c r="I1978" s="22">
        <v>472</v>
      </c>
      <c r="J1978" s="22">
        <v>0</v>
      </c>
      <c r="K1978" s="225">
        <f t="shared" si="284"/>
        <v>0</v>
      </c>
      <c r="L1978" s="68"/>
      <c r="M1978" s="22"/>
      <c r="N1978" s="22"/>
      <c r="O1978" s="225"/>
      <c r="P1978" s="68"/>
      <c r="Q1978" s="22">
        <f t="shared" si="289"/>
        <v>472</v>
      </c>
      <c r="R1978" s="22">
        <f t="shared" si="290"/>
        <v>0</v>
      </c>
      <c r="S1978" s="244">
        <f t="shared" si="288"/>
        <v>0</v>
      </c>
    </row>
    <row r="1979" spans="2:19" x14ac:dyDescent="0.2">
      <c r="B1979" s="67">
        <f t="shared" si="283"/>
        <v>51</v>
      </c>
      <c r="C1979" s="2"/>
      <c r="D1979" s="2"/>
      <c r="E1979" s="2"/>
      <c r="F1979" s="46" t="s">
        <v>77</v>
      </c>
      <c r="G1979" s="2">
        <v>630</v>
      </c>
      <c r="H1979" s="2" t="s">
        <v>626</v>
      </c>
      <c r="I1979" s="22">
        <v>535</v>
      </c>
      <c r="J1979" s="22">
        <v>262</v>
      </c>
      <c r="K1979" s="225">
        <f t="shared" si="284"/>
        <v>48.971962616822431</v>
      </c>
      <c r="L1979" s="68"/>
      <c r="M1979" s="22"/>
      <c r="N1979" s="22"/>
      <c r="O1979" s="225"/>
      <c r="P1979" s="68"/>
      <c r="Q1979" s="22">
        <f t="shared" si="289"/>
        <v>535</v>
      </c>
      <c r="R1979" s="22">
        <f t="shared" si="290"/>
        <v>262</v>
      </c>
      <c r="S1979" s="244">
        <f t="shared" si="288"/>
        <v>48.971962616822431</v>
      </c>
    </row>
    <row r="1980" spans="2:19" x14ac:dyDescent="0.2">
      <c r="B1980" s="67">
        <f t="shared" si="283"/>
        <v>52</v>
      </c>
      <c r="C1980" s="2"/>
      <c r="D1980" s="2"/>
      <c r="E1980" s="2"/>
      <c r="F1980" s="46" t="s">
        <v>77</v>
      </c>
      <c r="G1980" s="2">
        <v>630</v>
      </c>
      <c r="H1980" s="2" t="s">
        <v>627</v>
      </c>
      <c r="I1980" s="22">
        <v>952</v>
      </c>
      <c r="J1980" s="22">
        <v>525</v>
      </c>
      <c r="K1980" s="225">
        <f t="shared" si="284"/>
        <v>55.147058823529413</v>
      </c>
      <c r="L1980" s="68"/>
      <c r="M1980" s="22"/>
      <c r="N1980" s="22"/>
      <c r="O1980" s="225"/>
      <c r="P1980" s="68"/>
      <c r="Q1980" s="22">
        <f t="shared" si="289"/>
        <v>952</v>
      </c>
      <c r="R1980" s="22">
        <f t="shared" si="290"/>
        <v>525</v>
      </c>
      <c r="S1980" s="244">
        <f t="shared" si="288"/>
        <v>55.147058823529413</v>
      </c>
    </row>
    <row r="1981" spans="2:19" x14ac:dyDescent="0.2">
      <c r="B1981" s="67">
        <f t="shared" si="283"/>
        <v>53</v>
      </c>
      <c r="C1981" s="2"/>
      <c r="D1981" s="2"/>
      <c r="E1981" s="2"/>
      <c r="F1981" s="46" t="s">
        <v>77</v>
      </c>
      <c r="G1981" s="2">
        <v>630</v>
      </c>
      <c r="H1981" s="2" t="s">
        <v>628</v>
      </c>
      <c r="I1981" s="22">
        <v>527</v>
      </c>
      <c r="J1981" s="22">
        <v>0</v>
      </c>
      <c r="K1981" s="225">
        <f t="shared" si="284"/>
        <v>0</v>
      </c>
      <c r="L1981" s="68"/>
      <c r="M1981" s="22"/>
      <c r="N1981" s="22"/>
      <c r="O1981" s="225"/>
      <c r="P1981" s="68"/>
      <c r="Q1981" s="22">
        <f t="shared" si="289"/>
        <v>527</v>
      </c>
      <c r="R1981" s="22">
        <f t="shared" si="290"/>
        <v>0</v>
      </c>
      <c r="S1981" s="244">
        <f t="shared" si="288"/>
        <v>0</v>
      </c>
    </row>
    <row r="1982" spans="2:19" x14ac:dyDescent="0.2">
      <c r="B1982" s="67">
        <f t="shared" si="283"/>
        <v>54</v>
      </c>
      <c r="C1982" s="2"/>
      <c r="D1982" s="2"/>
      <c r="E1982" s="2"/>
      <c r="F1982" s="46" t="s">
        <v>77</v>
      </c>
      <c r="G1982" s="2">
        <v>630</v>
      </c>
      <c r="H1982" s="2" t="s">
        <v>629</v>
      </c>
      <c r="I1982" s="22">
        <v>778</v>
      </c>
      <c r="J1982" s="22">
        <v>0</v>
      </c>
      <c r="K1982" s="225">
        <f t="shared" si="284"/>
        <v>0</v>
      </c>
      <c r="L1982" s="68"/>
      <c r="M1982" s="22"/>
      <c r="N1982" s="22"/>
      <c r="O1982" s="225"/>
      <c r="P1982" s="68"/>
      <c r="Q1982" s="22">
        <f t="shared" si="289"/>
        <v>778</v>
      </c>
      <c r="R1982" s="22">
        <f t="shared" si="290"/>
        <v>0</v>
      </c>
      <c r="S1982" s="244">
        <f t="shared" si="288"/>
        <v>0</v>
      </c>
    </row>
    <row r="1983" spans="2:19" x14ac:dyDescent="0.2">
      <c r="B1983" s="67">
        <f t="shared" si="283"/>
        <v>55</v>
      </c>
      <c r="C1983" s="2"/>
      <c r="D1983" s="2"/>
      <c r="E1983" s="2"/>
      <c r="F1983" s="46" t="s">
        <v>77</v>
      </c>
      <c r="G1983" s="2">
        <v>630</v>
      </c>
      <c r="H1983" s="2" t="s">
        <v>630</v>
      </c>
      <c r="I1983" s="22">
        <v>550</v>
      </c>
      <c r="J1983" s="22">
        <v>0</v>
      </c>
      <c r="K1983" s="225">
        <f t="shared" si="284"/>
        <v>0</v>
      </c>
      <c r="L1983" s="68"/>
      <c r="M1983" s="22"/>
      <c r="N1983" s="22"/>
      <c r="O1983" s="225"/>
      <c r="P1983" s="68"/>
      <c r="Q1983" s="22">
        <f t="shared" si="289"/>
        <v>550</v>
      </c>
      <c r="R1983" s="22">
        <f t="shared" si="290"/>
        <v>0</v>
      </c>
      <c r="S1983" s="244">
        <f t="shared" si="288"/>
        <v>0</v>
      </c>
    </row>
    <row r="1984" spans="2:19" ht="15" x14ac:dyDescent="0.25">
      <c r="B1984" s="67">
        <f t="shared" si="283"/>
        <v>56</v>
      </c>
      <c r="C1984" s="165"/>
      <c r="D1984" s="165">
        <v>2</v>
      </c>
      <c r="E1984" s="341" t="s">
        <v>246</v>
      </c>
      <c r="F1984" s="326"/>
      <c r="G1984" s="326"/>
      <c r="H1984" s="327"/>
      <c r="I1984" s="39">
        <f>I1985</f>
        <v>473480</v>
      </c>
      <c r="J1984" s="39">
        <f>J1985</f>
        <v>217593</v>
      </c>
      <c r="K1984" s="225">
        <f t="shared" si="284"/>
        <v>45.956112190588833</v>
      </c>
      <c r="L1984" s="174"/>
      <c r="M1984" s="39">
        <f>M1985</f>
        <v>6700</v>
      </c>
      <c r="N1984" s="39">
        <f>N1985</f>
        <v>0</v>
      </c>
      <c r="O1984" s="225">
        <f t="shared" si="285"/>
        <v>0</v>
      </c>
      <c r="P1984" s="174"/>
      <c r="Q1984" s="39">
        <f t="shared" si="289"/>
        <v>480180</v>
      </c>
      <c r="R1984" s="39">
        <f t="shared" si="290"/>
        <v>217593</v>
      </c>
      <c r="S1984" s="244">
        <f t="shared" si="288"/>
        <v>45.314881919280268</v>
      </c>
    </row>
    <row r="1985" spans="2:19" ht="15" x14ac:dyDescent="0.25">
      <c r="B1985" s="67">
        <f t="shared" si="283"/>
        <v>57</v>
      </c>
      <c r="C1985" s="14"/>
      <c r="D1985" s="14"/>
      <c r="E1985" s="14">
        <v>5</v>
      </c>
      <c r="F1985" s="43"/>
      <c r="G1985" s="14"/>
      <c r="H1985" s="14" t="s">
        <v>264</v>
      </c>
      <c r="I1985" s="40">
        <f>I1986+I1987+I1988+I1995</f>
        <v>473480</v>
      </c>
      <c r="J1985" s="40">
        <f>J1986+J1987+J1988+J1995</f>
        <v>217593</v>
      </c>
      <c r="K1985" s="225">
        <f t="shared" si="284"/>
        <v>45.956112190588833</v>
      </c>
      <c r="L1985" s="175"/>
      <c r="M1985" s="40">
        <f>M1996</f>
        <v>6700</v>
      </c>
      <c r="N1985" s="40">
        <f>N1996</f>
        <v>0</v>
      </c>
      <c r="O1985" s="225">
        <f t="shared" si="285"/>
        <v>0</v>
      </c>
      <c r="P1985" s="175"/>
      <c r="Q1985" s="40">
        <f t="shared" si="289"/>
        <v>480180</v>
      </c>
      <c r="R1985" s="40">
        <f t="shared" si="290"/>
        <v>217593</v>
      </c>
      <c r="S1985" s="244">
        <f t="shared" si="288"/>
        <v>45.314881919280268</v>
      </c>
    </row>
    <row r="1986" spans="2:19" x14ac:dyDescent="0.2">
      <c r="B1986" s="67">
        <f t="shared" si="283"/>
        <v>58</v>
      </c>
      <c r="C1986" s="11"/>
      <c r="D1986" s="11"/>
      <c r="E1986" s="11"/>
      <c r="F1986" s="45" t="s">
        <v>77</v>
      </c>
      <c r="G1986" s="11">
        <v>610</v>
      </c>
      <c r="H1986" s="11" t="s">
        <v>135</v>
      </c>
      <c r="I1986" s="42">
        <f>213727-2</f>
        <v>213725</v>
      </c>
      <c r="J1986" s="42">
        <v>100327</v>
      </c>
      <c r="K1986" s="225">
        <f t="shared" si="284"/>
        <v>46.942098491051588</v>
      </c>
      <c r="L1986" s="114"/>
      <c r="M1986" s="42"/>
      <c r="N1986" s="42"/>
      <c r="O1986" s="225"/>
      <c r="P1986" s="114"/>
      <c r="Q1986" s="42">
        <f t="shared" si="289"/>
        <v>213725</v>
      </c>
      <c r="R1986" s="42">
        <f t="shared" si="290"/>
        <v>100327</v>
      </c>
      <c r="S1986" s="244">
        <f t="shared" si="288"/>
        <v>46.942098491051588</v>
      </c>
    </row>
    <row r="1987" spans="2:19" x14ac:dyDescent="0.2">
      <c r="B1987" s="67">
        <f t="shared" si="283"/>
        <v>59</v>
      </c>
      <c r="C1987" s="11"/>
      <c r="D1987" s="11"/>
      <c r="E1987" s="11"/>
      <c r="F1987" s="45" t="s">
        <v>77</v>
      </c>
      <c r="G1987" s="11">
        <v>620</v>
      </c>
      <c r="H1987" s="11" t="s">
        <v>130</v>
      </c>
      <c r="I1987" s="42">
        <v>74800</v>
      </c>
      <c r="J1987" s="42">
        <v>35789</v>
      </c>
      <c r="K1987" s="225">
        <f t="shared" si="284"/>
        <v>47.846256684491976</v>
      </c>
      <c r="L1987" s="114"/>
      <c r="M1987" s="42"/>
      <c r="N1987" s="42"/>
      <c r="O1987" s="225"/>
      <c r="P1987" s="114"/>
      <c r="Q1987" s="42">
        <f t="shared" si="289"/>
        <v>74800</v>
      </c>
      <c r="R1987" s="42">
        <f t="shared" si="290"/>
        <v>35789</v>
      </c>
      <c r="S1987" s="244">
        <f t="shared" si="288"/>
        <v>47.846256684491976</v>
      </c>
    </row>
    <row r="1988" spans="2:19" x14ac:dyDescent="0.2">
      <c r="B1988" s="67">
        <f t="shared" si="283"/>
        <v>60</v>
      </c>
      <c r="C1988" s="11"/>
      <c r="D1988" s="11"/>
      <c r="E1988" s="11"/>
      <c r="F1988" s="45" t="s">
        <v>77</v>
      </c>
      <c r="G1988" s="11">
        <v>630</v>
      </c>
      <c r="H1988" s="11" t="s">
        <v>127</v>
      </c>
      <c r="I1988" s="42">
        <f>I1994+I1993+I1992+I1991+I1990+I1989</f>
        <v>184405</v>
      </c>
      <c r="J1988" s="42">
        <f>J1994+J1993+J1992+J1991+J1990+J1989</f>
        <v>80942</v>
      </c>
      <c r="K1988" s="225">
        <f t="shared" si="284"/>
        <v>43.893603752609742</v>
      </c>
      <c r="L1988" s="114"/>
      <c r="M1988" s="42">
        <f>M1994+M1993+M1992+M1991+M1990+M1989</f>
        <v>0</v>
      </c>
      <c r="N1988" s="42">
        <f>N1994+N1993+N1992+N1991+N1990+N1989</f>
        <v>0</v>
      </c>
      <c r="O1988" s="225"/>
      <c r="P1988" s="114"/>
      <c r="Q1988" s="42">
        <f t="shared" si="289"/>
        <v>184405</v>
      </c>
      <c r="R1988" s="42">
        <f t="shared" si="290"/>
        <v>80942</v>
      </c>
      <c r="S1988" s="244">
        <f t="shared" si="288"/>
        <v>43.893603752609742</v>
      </c>
    </row>
    <row r="1989" spans="2:19" x14ac:dyDescent="0.2">
      <c r="B1989" s="67">
        <f t="shared" si="283"/>
        <v>61</v>
      </c>
      <c r="C1989" s="2"/>
      <c r="D1989" s="2"/>
      <c r="E1989" s="2"/>
      <c r="F1989" s="46" t="s">
        <v>77</v>
      </c>
      <c r="G1989" s="2">
        <v>631</v>
      </c>
      <c r="H1989" s="2" t="s">
        <v>133</v>
      </c>
      <c r="I1989" s="22">
        <v>200</v>
      </c>
      <c r="J1989" s="22">
        <v>49</v>
      </c>
      <c r="K1989" s="225">
        <f t="shared" si="284"/>
        <v>24.5</v>
      </c>
      <c r="L1989" s="68"/>
      <c r="M1989" s="22"/>
      <c r="N1989" s="22"/>
      <c r="O1989" s="225"/>
      <c r="P1989" s="68"/>
      <c r="Q1989" s="22">
        <f t="shared" si="289"/>
        <v>200</v>
      </c>
      <c r="R1989" s="22">
        <f t="shared" si="290"/>
        <v>49</v>
      </c>
      <c r="S1989" s="244">
        <f t="shared" si="288"/>
        <v>24.5</v>
      </c>
    </row>
    <row r="1990" spans="2:19" x14ac:dyDescent="0.2">
      <c r="B1990" s="67">
        <f t="shared" si="283"/>
        <v>62</v>
      </c>
      <c r="C1990" s="2"/>
      <c r="D1990" s="2"/>
      <c r="E1990" s="2"/>
      <c r="F1990" s="46" t="s">
        <v>77</v>
      </c>
      <c r="G1990" s="2">
        <v>632</v>
      </c>
      <c r="H1990" s="2" t="s">
        <v>138</v>
      </c>
      <c r="I1990" s="22">
        <f>14750+41000</f>
        <v>55750</v>
      </c>
      <c r="J1990" s="22">
        <v>27529</v>
      </c>
      <c r="K1990" s="225">
        <f t="shared" si="284"/>
        <v>49.379372197309415</v>
      </c>
      <c r="L1990" s="68"/>
      <c r="M1990" s="22"/>
      <c r="N1990" s="22"/>
      <c r="O1990" s="225"/>
      <c r="P1990" s="68"/>
      <c r="Q1990" s="22">
        <f t="shared" si="289"/>
        <v>55750</v>
      </c>
      <c r="R1990" s="22">
        <f t="shared" si="290"/>
        <v>27529</v>
      </c>
      <c r="S1990" s="244">
        <f t="shared" si="288"/>
        <v>49.379372197309415</v>
      </c>
    </row>
    <row r="1991" spans="2:19" x14ac:dyDescent="0.2">
      <c r="B1991" s="67">
        <f t="shared" si="283"/>
        <v>63</v>
      </c>
      <c r="C1991" s="2"/>
      <c r="D1991" s="2"/>
      <c r="E1991" s="2"/>
      <c r="F1991" s="46" t="s">
        <v>77</v>
      </c>
      <c r="G1991" s="2">
        <v>633</v>
      </c>
      <c r="H1991" s="2" t="s">
        <v>131</v>
      </c>
      <c r="I1991" s="22">
        <v>18960</v>
      </c>
      <c r="J1991" s="22">
        <v>11448</v>
      </c>
      <c r="K1991" s="225">
        <f t="shared" si="284"/>
        <v>60.379746835443036</v>
      </c>
      <c r="L1991" s="68"/>
      <c r="M1991" s="22"/>
      <c r="N1991" s="22"/>
      <c r="O1991" s="225"/>
      <c r="P1991" s="68"/>
      <c r="Q1991" s="22">
        <f t="shared" si="289"/>
        <v>18960</v>
      </c>
      <c r="R1991" s="22">
        <f t="shared" si="290"/>
        <v>11448</v>
      </c>
      <c r="S1991" s="244">
        <f t="shared" si="288"/>
        <v>60.379746835443036</v>
      </c>
    </row>
    <row r="1992" spans="2:19" x14ac:dyDescent="0.2">
      <c r="B1992" s="67">
        <f t="shared" si="283"/>
        <v>64</v>
      </c>
      <c r="C1992" s="2"/>
      <c r="D1992" s="2"/>
      <c r="E1992" s="2"/>
      <c r="F1992" s="46" t="s">
        <v>77</v>
      </c>
      <c r="G1992" s="2">
        <v>634</v>
      </c>
      <c r="H1992" s="2" t="s">
        <v>136</v>
      </c>
      <c r="I1992" s="22">
        <v>2350</v>
      </c>
      <c r="J1992" s="22">
        <v>446</v>
      </c>
      <c r="K1992" s="225">
        <f t="shared" si="284"/>
        <v>18.978723404255319</v>
      </c>
      <c r="L1992" s="68"/>
      <c r="M1992" s="22"/>
      <c r="N1992" s="22"/>
      <c r="O1992" s="225"/>
      <c r="P1992" s="68"/>
      <c r="Q1992" s="22">
        <f t="shared" si="289"/>
        <v>2350</v>
      </c>
      <c r="R1992" s="22">
        <f t="shared" si="290"/>
        <v>446</v>
      </c>
      <c r="S1992" s="244">
        <f t="shared" si="288"/>
        <v>18.978723404255319</v>
      </c>
    </row>
    <row r="1993" spans="2:19" x14ac:dyDescent="0.2">
      <c r="B1993" s="67">
        <f t="shared" ref="B1993:B2055" si="291">B1992+1</f>
        <v>65</v>
      </c>
      <c r="C1993" s="2"/>
      <c r="D1993" s="2"/>
      <c r="E1993" s="2"/>
      <c r="F1993" s="46" t="s">
        <v>77</v>
      </c>
      <c r="G1993" s="2">
        <v>635</v>
      </c>
      <c r="H1993" s="2" t="s">
        <v>137</v>
      </c>
      <c r="I1993" s="22">
        <v>36900</v>
      </c>
      <c r="J1993" s="22">
        <v>3676</v>
      </c>
      <c r="K1993" s="225">
        <f t="shared" ref="K1993:K2055" si="292">J1993/I1993*100</f>
        <v>9.9620596205962055</v>
      </c>
      <c r="L1993" s="68"/>
      <c r="M1993" s="22"/>
      <c r="N1993" s="22"/>
      <c r="O1993" s="225"/>
      <c r="P1993" s="68"/>
      <c r="Q1993" s="22">
        <f t="shared" si="289"/>
        <v>36900</v>
      </c>
      <c r="R1993" s="22">
        <f t="shared" si="290"/>
        <v>3676</v>
      </c>
      <c r="S1993" s="244">
        <f t="shared" ref="S1993:S2055" si="293">R1993/Q1993*100</f>
        <v>9.9620596205962055</v>
      </c>
    </row>
    <row r="1994" spans="2:19" x14ac:dyDescent="0.2">
      <c r="B1994" s="67">
        <f t="shared" si="291"/>
        <v>66</v>
      </c>
      <c r="C1994" s="2"/>
      <c r="D1994" s="2"/>
      <c r="E1994" s="2"/>
      <c r="F1994" s="46" t="s">
        <v>77</v>
      </c>
      <c r="G1994" s="2">
        <v>637</v>
      </c>
      <c r="H1994" s="2" t="s">
        <v>128</v>
      </c>
      <c r="I1994" s="22">
        <f>69974+275-4</f>
        <v>70245</v>
      </c>
      <c r="J1994" s="22">
        <v>37794</v>
      </c>
      <c r="K1994" s="225">
        <f t="shared" si="292"/>
        <v>53.8031176596199</v>
      </c>
      <c r="L1994" s="68"/>
      <c r="M1994" s="22"/>
      <c r="N1994" s="22"/>
      <c r="O1994" s="225"/>
      <c r="P1994" s="68"/>
      <c r="Q1994" s="22">
        <f t="shared" si="289"/>
        <v>70245</v>
      </c>
      <c r="R1994" s="22">
        <f t="shared" si="290"/>
        <v>37794</v>
      </c>
      <c r="S1994" s="244">
        <f t="shared" si="293"/>
        <v>53.8031176596199</v>
      </c>
    </row>
    <row r="1995" spans="2:19" x14ac:dyDescent="0.2">
      <c r="B1995" s="67">
        <f t="shared" si="291"/>
        <v>67</v>
      </c>
      <c r="C1995" s="11"/>
      <c r="D1995" s="11"/>
      <c r="E1995" s="11"/>
      <c r="F1995" s="45" t="s">
        <v>77</v>
      </c>
      <c r="G1995" s="11">
        <v>640</v>
      </c>
      <c r="H1995" s="11" t="s">
        <v>134</v>
      </c>
      <c r="I1995" s="42">
        <f>450+100</f>
        <v>550</v>
      </c>
      <c r="J1995" s="42">
        <v>535</v>
      </c>
      <c r="K1995" s="225">
        <f t="shared" si="292"/>
        <v>97.27272727272728</v>
      </c>
      <c r="L1995" s="114"/>
      <c r="M1995" s="42"/>
      <c r="N1995" s="42"/>
      <c r="O1995" s="225"/>
      <c r="P1995" s="114"/>
      <c r="Q1995" s="42">
        <f t="shared" si="289"/>
        <v>550</v>
      </c>
      <c r="R1995" s="42">
        <f t="shared" si="290"/>
        <v>535</v>
      </c>
      <c r="S1995" s="244">
        <f t="shared" si="293"/>
        <v>97.27272727272728</v>
      </c>
    </row>
    <row r="1996" spans="2:19" x14ac:dyDescent="0.2">
      <c r="B1996" s="67">
        <f t="shared" si="291"/>
        <v>68</v>
      </c>
      <c r="C1996" s="11"/>
      <c r="D1996" s="11"/>
      <c r="E1996" s="50"/>
      <c r="F1996" s="77" t="s">
        <v>77</v>
      </c>
      <c r="G1996" s="78">
        <v>717</v>
      </c>
      <c r="H1996" s="78" t="s">
        <v>193</v>
      </c>
      <c r="I1996" s="79">
        <f>SUM(I1997:I1997)</f>
        <v>0</v>
      </c>
      <c r="J1996" s="79">
        <f>SUM(J1997:J1997)</f>
        <v>0</v>
      </c>
      <c r="K1996" s="225"/>
      <c r="L1996" s="68"/>
      <c r="M1996" s="79">
        <f>SUM(M1997:M1997)</f>
        <v>6700</v>
      </c>
      <c r="N1996" s="79">
        <f>SUM(N1997:N1997)</f>
        <v>0</v>
      </c>
      <c r="O1996" s="225">
        <f t="shared" ref="O1996:O2029" si="294">N1996/M1996*100</f>
        <v>0</v>
      </c>
      <c r="P1996" s="68"/>
      <c r="Q1996" s="79">
        <f t="shared" si="289"/>
        <v>6700</v>
      </c>
      <c r="R1996" s="79">
        <f t="shared" si="290"/>
        <v>0</v>
      </c>
      <c r="S1996" s="244">
        <f t="shared" si="293"/>
        <v>0</v>
      </c>
    </row>
    <row r="1997" spans="2:19" x14ac:dyDescent="0.2">
      <c r="B1997" s="67">
        <f t="shared" si="291"/>
        <v>69</v>
      </c>
      <c r="C1997" s="11"/>
      <c r="D1997" s="11"/>
      <c r="E1997" s="50"/>
      <c r="F1997" s="46"/>
      <c r="G1997" s="2"/>
      <c r="H1997" s="2" t="s">
        <v>669</v>
      </c>
      <c r="I1997" s="22"/>
      <c r="J1997" s="22"/>
      <c r="K1997" s="225"/>
      <c r="L1997" s="68"/>
      <c r="M1997" s="22">
        <v>6700</v>
      </c>
      <c r="N1997" s="22">
        <v>0</v>
      </c>
      <c r="O1997" s="225">
        <f t="shared" si="294"/>
        <v>0</v>
      </c>
      <c r="P1997" s="68"/>
      <c r="Q1997" s="22">
        <f t="shared" si="289"/>
        <v>6700</v>
      </c>
      <c r="R1997" s="22">
        <f t="shared" si="290"/>
        <v>0</v>
      </c>
      <c r="S1997" s="244">
        <f t="shared" si="293"/>
        <v>0</v>
      </c>
    </row>
    <row r="1998" spans="2:19" ht="15" x14ac:dyDescent="0.25">
      <c r="B1998" s="67">
        <f t="shared" si="291"/>
        <v>70</v>
      </c>
      <c r="C1998" s="165"/>
      <c r="D1998" s="165">
        <v>3</v>
      </c>
      <c r="E1998" s="341" t="s">
        <v>348</v>
      </c>
      <c r="F1998" s="326"/>
      <c r="G1998" s="326"/>
      <c r="H1998" s="327"/>
      <c r="I1998" s="39">
        <f>I1999+I2003</f>
        <v>20725</v>
      </c>
      <c r="J1998" s="39">
        <f>J1999+J2003</f>
        <v>8442</v>
      </c>
      <c r="K1998" s="225">
        <f t="shared" si="292"/>
        <v>40.73341375150784</v>
      </c>
      <c r="L1998" s="174"/>
      <c r="M1998" s="39">
        <f>M1999+M2003</f>
        <v>0</v>
      </c>
      <c r="N1998" s="39">
        <f>N1999+N2003</f>
        <v>0</v>
      </c>
      <c r="O1998" s="225"/>
      <c r="P1998" s="174"/>
      <c r="Q1998" s="39">
        <f t="shared" si="289"/>
        <v>20725</v>
      </c>
      <c r="R1998" s="39">
        <f t="shared" si="290"/>
        <v>8442</v>
      </c>
      <c r="S1998" s="244">
        <f t="shared" si="293"/>
        <v>40.73341375150784</v>
      </c>
    </row>
    <row r="1999" spans="2:19" x14ac:dyDescent="0.2">
      <c r="B1999" s="67">
        <f t="shared" si="291"/>
        <v>71</v>
      </c>
      <c r="C1999" s="11"/>
      <c r="D1999" s="11"/>
      <c r="E1999" s="11"/>
      <c r="F1999" s="45" t="s">
        <v>77</v>
      </c>
      <c r="G1999" s="11">
        <v>630</v>
      </c>
      <c r="H1999" s="11" t="s">
        <v>127</v>
      </c>
      <c r="I1999" s="42">
        <f>I2002+I2001+I2000</f>
        <v>1425</v>
      </c>
      <c r="J1999" s="42">
        <f>J2002+J2001+J2000</f>
        <v>218</v>
      </c>
      <c r="K1999" s="225">
        <f t="shared" si="292"/>
        <v>15.298245614035089</v>
      </c>
      <c r="L1999" s="114"/>
      <c r="M1999" s="42">
        <f>M2002+M2001+M2000</f>
        <v>0</v>
      </c>
      <c r="N1999" s="42">
        <f>N2002+N2001+N2000</f>
        <v>0</v>
      </c>
      <c r="O1999" s="225"/>
      <c r="P1999" s="114"/>
      <c r="Q1999" s="42">
        <f t="shared" si="289"/>
        <v>1425</v>
      </c>
      <c r="R1999" s="42">
        <f t="shared" si="290"/>
        <v>218</v>
      </c>
      <c r="S1999" s="244">
        <f t="shared" si="293"/>
        <v>15.298245614035089</v>
      </c>
    </row>
    <row r="2000" spans="2:19" x14ac:dyDescent="0.2">
      <c r="B2000" s="67">
        <f t="shared" si="291"/>
        <v>72</v>
      </c>
      <c r="C2000" s="2"/>
      <c r="D2000" s="2"/>
      <c r="E2000" s="2"/>
      <c r="F2000" s="46" t="s">
        <v>77</v>
      </c>
      <c r="G2000" s="2">
        <v>633</v>
      </c>
      <c r="H2000" s="2" t="s">
        <v>131</v>
      </c>
      <c r="I2000" s="22">
        <v>1000</v>
      </c>
      <c r="J2000" s="22">
        <v>98</v>
      </c>
      <c r="K2000" s="225">
        <f t="shared" si="292"/>
        <v>9.8000000000000007</v>
      </c>
      <c r="L2000" s="68"/>
      <c r="M2000" s="22"/>
      <c r="N2000" s="22"/>
      <c r="O2000" s="225"/>
      <c r="P2000" s="68"/>
      <c r="Q2000" s="22">
        <f t="shared" si="289"/>
        <v>1000</v>
      </c>
      <c r="R2000" s="22">
        <f t="shared" si="290"/>
        <v>98</v>
      </c>
      <c r="S2000" s="244">
        <f t="shared" si="293"/>
        <v>9.8000000000000007</v>
      </c>
    </row>
    <row r="2001" spans="2:19" x14ac:dyDescent="0.2">
      <c r="B2001" s="67">
        <f t="shared" si="291"/>
        <v>73</v>
      </c>
      <c r="C2001" s="2"/>
      <c r="D2001" s="2"/>
      <c r="E2001" s="2"/>
      <c r="F2001" s="46" t="s">
        <v>77</v>
      </c>
      <c r="G2001" s="2">
        <v>635</v>
      </c>
      <c r="H2001" s="2" t="s">
        <v>137</v>
      </c>
      <c r="I2001" s="22">
        <v>200</v>
      </c>
      <c r="J2001" s="22">
        <v>0</v>
      </c>
      <c r="K2001" s="225">
        <f t="shared" si="292"/>
        <v>0</v>
      </c>
      <c r="L2001" s="68"/>
      <c r="M2001" s="22"/>
      <c r="N2001" s="22"/>
      <c r="O2001" s="225"/>
      <c r="P2001" s="68"/>
      <c r="Q2001" s="22">
        <f t="shared" si="289"/>
        <v>200</v>
      </c>
      <c r="R2001" s="22">
        <f t="shared" si="290"/>
        <v>0</v>
      </c>
      <c r="S2001" s="244">
        <f t="shared" si="293"/>
        <v>0</v>
      </c>
    </row>
    <row r="2002" spans="2:19" x14ac:dyDescent="0.2">
      <c r="B2002" s="67">
        <f t="shared" si="291"/>
        <v>74</v>
      </c>
      <c r="C2002" s="2"/>
      <c r="D2002" s="2"/>
      <c r="E2002" s="2"/>
      <c r="F2002" s="46" t="s">
        <v>77</v>
      </c>
      <c r="G2002" s="2">
        <v>637</v>
      </c>
      <c r="H2002" s="2" t="s">
        <v>128</v>
      </c>
      <c r="I2002" s="22">
        <v>225</v>
      </c>
      <c r="J2002" s="22">
        <v>120</v>
      </c>
      <c r="K2002" s="225">
        <f t="shared" si="292"/>
        <v>53.333333333333336</v>
      </c>
      <c r="L2002" s="68"/>
      <c r="M2002" s="22"/>
      <c r="N2002" s="22"/>
      <c r="O2002" s="225"/>
      <c r="P2002" s="68"/>
      <c r="Q2002" s="22">
        <f t="shared" si="289"/>
        <v>225</v>
      </c>
      <c r="R2002" s="22">
        <f t="shared" si="290"/>
        <v>120</v>
      </c>
      <c r="S2002" s="244">
        <f t="shared" si="293"/>
        <v>53.333333333333336</v>
      </c>
    </row>
    <row r="2003" spans="2:19" ht="15" x14ac:dyDescent="0.25">
      <c r="B2003" s="67">
        <f t="shared" si="291"/>
        <v>75</v>
      </c>
      <c r="C2003" s="14"/>
      <c r="D2003" s="14"/>
      <c r="E2003" s="14">
        <v>2</v>
      </c>
      <c r="F2003" s="43"/>
      <c r="G2003" s="14"/>
      <c r="H2003" s="14" t="s">
        <v>255</v>
      </c>
      <c r="I2003" s="40">
        <f>I2004</f>
        <v>19300</v>
      </c>
      <c r="J2003" s="40">
        <f>J2004</f>
        <v>8224</v>
      </c>
      <c r="K2003" s="225">
        <f t="shared" si="292"/>
        <v>42.611398963730565</v>
      </c>
      <c r="L2003" s="175"/>
      <c r="M2003" s="40">
        <f>M2004</f>
        <v>0</v>
      </c>
      <c r="N2003" s="40">
        <f>N2004</f>
        <v>0</v>
      </c>
      <c r="O2003" s="225"/>
      <c r="P2003" s="175"/>
      <c r="Q2003" s="40">
        <f t="shared" si="289"/>
        <v>19300</v>
      </c>
      <c r="R2003" s="40">
        <f t="shared" si="290"/>
        <v>8224</v>
      </c>
      <c r="S2003" s="244">
        <f t="shared" si="293"/>
        <v>42.611398963730565</v>
      </c>
    </row>
    <row r="2004" spans="2:19" x14ac:dyDescent="0.2">
      <c r="B2004" s="67">
        <f t="shared" si="291"/>
        <v>76</v>
      </c>
      <c r="C2004" s="11"/>
      <c r="D2004" s="11"/>
      <c r="E2004" s="11"/>
      <c r="F2004" s="45" t="s">
        <v>77</v>
      </c>
      <c r="G2004" s="11">
        <v>630</v>
      </c>
      <c r="H2004" s="11" t="s">
        <v>127</v>
      </c>
      <c r="I2004" s="42">
        <f>I2008+I2007+I2006+I2005</f>
        <v>19300</v>
      </c>
      <c r="J2004" s="42">
        <f>J2008+J2007+J2006+J2005</f>
        <v>8224</v>
      </c>
      <c r="K2004" s="225">
        <f t="shared" si="292"/>
        <v>42.611398963730565</v>
      </c>
      <c r="L2004" s="114"/>
      <c r="M2004" s="42">
        <f>M2008+M2007+M2006+M2005</f>
        <v>0</v>
      </c>
      <c r="N2004" s="42">
        <f>N2008+N2007+N2006+N2005</f>
        <v>0</v>
      </c>
      <c r="O2004" s="225"/>
      <c r="P2004" s="114"/>
      <c r="Q2004" s="42">
        <f t="shared" si="289"/>
        <v>19300</v>
      </c>
      <c r="R2004" s="42">
        <f t="shared" si="290"/>
        <v>8224</v>
      </c>
      <c r="S2004" s="244">
        <f t="shared" si="293"/>
        <v>42.611398963730565</v>
      </c>
    </row>
    <row r="2005" spans="2:19" x14ac:dyDescent="0.2">
      <c r="B2005" s="67">
        <f t="shared" si="291"/>
        <v>77</v>
      </c>
      <c r="C2005" s="2"/>
      <c r="D2005" s="2"/>
      <c r="E2005" s="2"/>
      <c r="F2005" s="46" t="s">
        <v>77</v>
      </c>
      <c r="G2005" s="2">
        <v>632</v>
      </c>
      <c r="H2005" s="2" t="s">
        <v>138</v>
      </c>
      <c r="I2005" s="22">
        <v>17800</v>
      </c>
      <c r="J2005" s="22">
        <v>8023</v>
      </c>
      <c r="K2005" s="225">
        <f t="shared" si="292"/>
        <v>45.073033707865164</v>
      </c>
      <c r="L2005" s="68"/>
      <c r="M2005" s="22"/>
      <c r="N2005" s="22"/>
      <c r="O2005" s="225"/>
      <c r="P2005" s="68"/>
      <c r="Q2005" s="22">
        <f t="shared" si="289"/>
        <v>17800</v>
      </c>
      <c r="R2005" s="22">
        <f t="shared" si="290"/>
        <v>8023</v>
      </c>
      <c r="S2005" s="244">
        <f t="shared" si="293"/>
        <v>45.073033707865164</v>
      </c>
    </row>
    <row r="2006" spans="2:19" x14ac:dyDescent="0.2">
      <c r="B2006" s="67">
        <f t="shared" si="291"/>
        <v>78</v>
      </c>
      <c r="C2006" s="2"/>
      <c r="D2006" s="2"/>
      <c r="E2006" s="2"/>
      <c r="F2006" s="46" t="s">
        <v>77</v>
      </c>
      <c r="G2006" s="2">
        <v>633</v>
      </c>
      <c r="H2006" s="2" t="s">
        <v>131</v>
      </c>
      <c r="I2006" s="22">
        <v>100</v>
      </c>
      <c r="J2006" s="22">
        <v>0</v>
      </c>
      <c r="K2006" s="225">
        <f t="shared" si="292"/>
        <v>0</v>
      </c>
      <c r="L2006" s="68"/>
      <c r="M2006" s="22"/>
      <c r="N2006" s="22"/>
      <c r="O2006" s="225"/>
      <c r="P2006" s="68"/>
      <c r="Q2006" s="22">
        <f t="shared" si="289"/>
        <v>100</v>
      </c>
      <c r="R2006" s="22">
        <f t="shared" si="290"/>
        <v>0</v>
      </c>
      <c r="S2006" s="244">
        <f t="shared" si="293"/>
        <v>0</v>
      </c>
    </row>
    <row r="2007" spans="2:19" x14ac:dyDescent="0.2">
      <c r="B2007" s="67">
        <f t="shared" si="291"/>
        <v>79</v>
      </c>
      <c r="C2007" s="2"/>
      <c r="D2007" s="2"/>
      <c r="E2007" s="2"/>
      <c r="F2007" s="46" t="s">
        <v>77</v>
      </c>
      <c r="G2007" s="2">
        <v>635</v>
      </c>
      <c r="H2007" s="2" t="s">
        <v>137</v>
      </c>
      <c r="I2007" s="22">
        <f>300+1000</f>
        <v>1300</v>
      </c>
      <c r="J2007" s="22">
        <v>149</v>
      </c>
      <c r="K2007" s="225">
        <f t="shared" si="292"/>
        <v>11.461538461538462</v>
      </c>
      <c r="L2007" s="68"/>
      <c r="M2007" s="22"/>
      <c r="N2007" s="22"/>
      <c r="O2007" s="225"/>
      <c r="P2007" s="68"/>
      <c r="Q2007" s="22">
        <f t="shared" si="289"/>
        <v>1300</v>
      </c>
      <c r="R2007" s="22">
        <f t="shared" si="290"/>
        <v>149</v>
      </c>
      <c r="S2007" s="244">
        <f t="shared" si="293"/>
        <v>11.461538461538462</v>
      </c>
    </row>
    <row r="2008" spans="2:19" x14ac:dyDescent="0.2">
      <c r="B2008" s="67">
        <f t="shared" si="291"/>
        <v>80</v>
      </c>
      <c r="C2008" s="2"/>
      <c r="D2008" s="2"/>
      <c r="E2008" s="2"/>
      <c r="F2008" s="46" t="s">
        <v>77</v>
      </c>
      <c r="G2008" s="2">
        <v>637</v>
      </c>
      <c r="H2008" s="2" t="s">
        <v>128</v>
      </c>
      <c r="I2008" s="22">
        <v>100</v>
      </c>
      <c r="J2008" s="22">
        <v>52</v>
      </c>
      <c r="K2008" s="225">
        <f t="shared" si="292"/>
        <v>52</v>
      </c>
      <c r="L2008" s="68"/>
      <c r="M2008" s="22"/>
      <c r="N2008" s="22"/>
      <c r="O2008" s="225"/>
      <c r="P2008" s="68"/>
      <c r="Q2008" s="22">
        <f t="shared" si="289"/>
        <v>100</v>
      </c>
      <c r="R2008" s="22">
        <f t="shared" si="290"/>
        <v>52</v>
      </c>
      <c r="S2008" s="244">
        <f t="shared" si="293"/>
        <v>52</v>
      </c>
    </row>
    <row r="2009" spans="2:19" ht="15" x14ac:dyDescent="0.2">
      <c r="B2009" s="67">
        <f t="shared" si="291"/>
        <v>81</v>
      </c>
      <c r="C2009" s="166">
        <v>6</v>
      </c>
      <c r="D2009" s="325" t="s">
        <v>426</v>
      </c>
      <c r="E2009" s="326"/>
      <c r="F2009" s="326"/>
      <c r="G2009" s="326"/>
      <c r="H2009" s="327"/>
      <c r="I2009" s="38">
        <f>I2010+I2011+I2014+I2016</f>
        <v>1007345</v>
      </c>
      <c r="J2009" s="38">
        <f>J2010+J2011+J2014+J2016</f>
        <v>490588</v>
      </c>
      <c r="K2009" s="225">
        <f t="shared" si="292"/>
        <v>48.701090490348392</v>
      </c>
      <c r="L2009" s="173"/>
      <c r="M2009" s="38">
        <f>M2010+M2011+M2014+M2016</f>
        <v>25000</v>
      </c>
      <c r="N2009" s="38">
        <f>N2010+N2011+N2014+N2016</f>
        <v>0</v>
      </c>
      <c r="O2009" s="225">
        <f t="shared" si="294"/>
        <v>0</v>
      </c>
      <c r="P2009" s="173"/>
      <c r="Q2009" s="38">
        <f t="shared" si="289"/>
        <v>1032345</v>
      </c>
      <c r="R2009" s="38">
        <f t="shared" si="290"/>
        <v>490588</v>
      </c>
      <c r="S2009" s="244">
        <f t="shared" si="293"/>
        <v>47.521710280962274</v>
      </c>
    </row>
    <row r="2010" spans="2:19" x14ac:dyDescent="0.2">
      <c r="B2010" s="67">
        <f t="shared" si="291"/>
        <v>82</v>
      </c>
      <c r="C2010" s="11"/>
      <c r="D2010" s="11"/>
      <c r="E2010" s="11"/>
      <c r="F2010" s="45" t="s">
        <v>77</v>
      </c>
      <c r="G2010" s="11">
        <v>620</v>
      </c>
      <c r="H2010" s="11" t="s">
        <v>130</v>
      </c>
      <c r="I2010" s="42">
        <v>760</v>
      </c>
      <c r="J2010" s="42">
        <v>431</v>
      </c>
      <c r="K2010" s="225">
        <f t="shared" si="292"/>
        <v>56.71052631578948</v>
      </c>
      <c r="L2010" s="114"/>
      <c r="M2010" s="42"/>
      <c r="N2010" s="42"/>
      <c r="O2010" s="225"/>
      <c r="P2010" s="114"/>
      <c r="Q2010" s="42">
        <f t="shared" si="289"/>
        <v>760</v>
      </c>
      <c r="R2010" s="42">
        <f t="shared" si="290"/>
        <v>431</v>
      </c>
      <c r="S2010" s="244">
        <f t="shared" si="293"/>
        <v>56.71052631578948</v>
      </c>
    </row>
    <row r="2011" spans="2:19" x14ac:dyDescent="0.2">
      <c r="B2011" s="67">
        <f t="shared" si="291"/>
        <v>83</v>
      </c>
      <c r="C2011" s="11"/>
      <c r="D2011" s="11"/>
      <c r="E2011" s="11"/>
      <c r="F2011" s="45" t="s">
        <v>77</v>
      </c>
      <c r="G2011" s="11">
        <v>630</v>
      </c>
      <c r="H2011" s="11" t="s">
        <v>127</v>
      </c>
      <c r="I2011" s="42">
        <f>I2012+I2013</f>
        <v>3001</v>
      </c>
      <c r="J2011" s="42">
        <f>J2012+J2013</f>
        <v>1233</v>
      </c>
      <c r="K2011" s="225">
        <f t="shared" si="292"/>
        <v>41.086304565144957</v>
      </c>
      <c r="L2011" s="114"/>
      <c r="M2011" s="42">
        <f>M2012</f>
        <v>0</v>
      </c>
      <c r="N2011" s="42">
        <f>N2012</f>
        <v>0</v>
      </c>
      <c r="O2011" s="225"/>
      <c r="P2011" s="114"/>
      <c r="Q2011" s="42">
        <f t="shared" si="289"/>
        <v>3001</v>
      </c>
      <c r="R2011" s="42">
        <f t="shared" si="290"/>
        <v>1233</v>
      </c>
      <c r="S2011" s="244">
        <f t="shared" si="293"/>
        <v>41.086304565144957</v>
      </c>
    </row>
    <row r="2012" spans="2:19" x14ac:dyDescent="0.2">
      <c r="B2012" s="67">
        <f t="shared" si="291"/>
        <v>84</v>
      </c>
      <c r="C2012" s="2"/>
      <c r="D2012" s="2"/>
      <c r="E2012" s="2"/>
      <c r="F2012" s="46" t="s">
        <v>77</v>
      </c>
      <c r="G2012" s="2">
        <v>637</v>
      </c>
      <c r="H2012" s="2" t="s">
        <v>128</v>
      </c>
      <c r="I2012" s="22">
        <v>3000</v>
      </c>
      <c r="J2012" s="22">
        <v>1232</v>
      </c>
      <c r="K2012" s="225">
        <f t="shared" si="292"/>
        <v>41.06666666666667</v>
      </c>
      <c r="L2012" s="68"/>
      <c r="M2012" s="22"/>
      <c r="N2012" s="22"/>
      <c r="O2012" s="225"/>
      <c r="P2012" s="68"/>
      <c r="Q2012" s="22">
        <f t="shared" si="289"/>
        <v>3000</v>
      </c>
      <c r="R2012" s="22">
        <f t="shared" si="290"/>
        <v>1232</v>
      </c>
      <c r="S2012" s="244">
        <f t="shared" si="293"/>
        <v>41.06666666666667</v>
      </c>
    </row>
    <row r="2013" spans="2:19" x14ac:dyDescent="0.2">
      <c r="B2013" s="67">
        <f t="shared" si="291"/>
        <v>85</v>
      </c>
      <c r="C2013" s="2"/>
      <c r="D2013" s="2"/>
      <c r="E2013" s="2"/>
      <c r="F2013" s="46" t="s">
        <v>77</v>
      </c>
      <c r="G2013" s="2">
        <v>630</v>
      </c>
      <c r="H2013" s="2" t="s">
        <v>597</v>
      </c>
      <c r="I2013" s="22">
        <v>1</v>
      </c>
      <c r="J2013" s="22">
        <v>1</v>
      </c>
      <c r="K2013" s="225">
        <f t="shared" si="292"/>
        <v>100</v>
      </c>
      <c r="L2013" s="68"/>
      <c r="M2013" s="22"/>
      <c r="N2013" s="22"/>
      <c r="O2013" s="225"/>
      <c r="P2013" s="68"/>
      <c r="Q2013" s="22">
        <f t="shared" si="289"/>
        <v>1</v>
      </c>
      <c r="R2013" s="22">
        <f t="shared" si="290"/>
        <v>1</v>
      </c>
      <c r="S2013" s="244">
        <f t="shared" si="293"/>
        <v>100</v>
      </c>
    </row>
    <row r="2014" spans="2:19" x14ac:dyDescent="0.2">
      <c r="B2014" s="67">
        <f t="shared" si="291"/>
        <v>86</v>
      </c>
      <c r="C2014" s="11"/>
      <c r="D2014" s="11"/>
      <c r="E2014" s="11"/>
      <c r="F2014" s="45" t="s">
        <v>77</v>
      </c>
      <c r="G2014" s="11">
        <v>640</v>
      </c>
      <c r="H2014" s="11" t="s">
        <v>134</v>
      </c>
      <c r="I2014" s="42">
        <f>SUM(I2015:I2015)</f>
        <v>7000</v>
      </c>
      <c r="J2014" s="42">
        <f>SUM(J2015:J2015)</f>
        <v>2126</v>
      </c>
      <c r="K2014" s="225">
        <f t="shared" si="292"/>
        <v>30.37142857142857</v>
      </c>
      <c r="L2014" s="114"/>
      <c r="M2014" s="42"/>
      <c r="N2014" s="42"/>
      <c r="O2014" s="225"/>
      <c r="P2014" s="114"/>
      <c r="Q2014" s="42">
        <f t="shared" si="289"/>
        <v>7000</v>
      </c>
      <c r="R2014" s="42">
        <f t="shared" si="290"/>
        <v>2126</v>
      </c>
      <c r="S2014" s="244">
        <f t="shared" si="293"/>
        <v>30.37142857142857</v>
      </c>
    </row>
    <row r="2015" spans="2:19" x14ac:dyDescent="0.2">
      <c r="B2015" s="67">
        <f t="shared" si="291"/>
        <v>87</v>
      </c>
      <c r="C2015" s="60"/>
      <c r="D2015" s="60"/>
      <c r="E2015" s="60"/>
      <c r="F2015" s="64"/>
      <c r="G2015" s="60"/>
      <c r="H2015" s="81" t="s">
        <v>315</v>
      </c>
      <c r="I2015" s="58">
        <v>7000</v>
      </c>
      <c r="J2015" s="58">
        <v>2126</v>
      </c>
      <c r="K2015" s="225">
        <f t="shared" si="292"/>
        <v>30.37142857142857</v>
      </c>
      <c r="L2015" s="149"/>
      <c r="M2015" s="62"/>
      <c r="N2015" s="62"/>
      <c r="O2015" s="225"/>
      <c r="P2015" s="177"/>
      <c r="Q2015" s="58">
        <f t="shared" si="289"/>
        <v>7000</v>
      </c>
      <c r="R2015" s="58">
        <f t="shared" si="290"/>
        <v>2126</v>
      </c>
      <c r="S2015" s="244">
        <f t="shared" si="293"/>
        <v>30.37142857142857</v>
      </c>
    </row>
    <row r="2016" spans="2:19" ht="15" x14ac:dyDescent="0.25">
      <c r="B2016" s="67">
        <f t="shared" si="291"/>
        <v>88</v>
      </c>
      <c r="C2016" s="14"/>
      <c r="D2016" s="14"/>
      <c r="E2016" s="14">
        <v>5</v>
      </c>
      <c r="F2016" s="43"/>
      <c r="G2016" s="14"/>
      <c r="H2016" s="14" t="s">
        <v>264</v>
      </c>
      <c r="I2016" s="40">
        <f>I2017+I2018+I2019+I2026+I2027</f>
        <v>996584</v>
      </c>
      <c r="J2016" s="40">
        <f>J2017+J2018+J2019+J2026+J2027</f>
        <v>486798</v>
      </c>
      <c r="K2016" s="225">
        <f t="shared" si="292"/>
        <v>48.846660191213182</v>
      </c>
      <c r="L2016" s="175"/>
      <c r="M2016" s="40">
        <f>M2017+M2018+M2019+M2026+M2027</f>
        <v>25000</v>
      </c>
      <c r="N2016" s="40">
        <f>N2017+N2018+N2019+N2026+N2027</f>
        <v>0</v>
      </c>
      <c r="O2016" s="225">
        <f t="shared" si="294"/>
        <v>0</v>
      </c>
      <c r="P2016" s="175"/>
      <c r="Q2016" s="40">
        <f t="shared" si="289"/>
        <v>1021584</v>
      </c>
      <c r="R2016" s="40">
        <f t="shared" si="290"/>
        <v>486798</v>
      </c>
      <c r="S2016" s="244">
        <f t="shared" si="293"/>
        <v>47.651294460367424</v>
      </c>
    </row>
    <row r="2017" spans="2:19" x14ac:dyDescent="0.2">
      <c r="B2017" s="67">
        <f t="shared" si="291"/>
        <v>89</v>
      </c>
      <c r="C2017" s="11"/>
      <c r="D2017" s="11"/>
      <c r="E2017" s="11"/>
      <c r="F2017" s="45" t="s">
        <v>76</v>
      </c>
      <c r="G2017" s="11">
        <v>610</v>
      </c>
      <c r="H2017" s="11" t="s">
        <v>135</v>
      </c>
      <c r="I2017" s="42">
        <f>444453+2+6200</f>
        <v>450655</v>
      </c>
      <c r="J2017" s="42">
        <v>227934</v>
      </c>
      <c r="K2017" s="225">
        <f t="shared" si="292"/>
        <v>50.578380357479666</v>
      </c>
      <c r="L2017" s="114"/>
      <c r="M2017" s="42"/>
      <c r="N2017" s="42"/>
      <c r="O2017" s="225"/>
      <c r="P2017" s="114"/>
      <c r="Q2017" s="42">
        <f t="shared" si="289"/>
        <v>450655</v>
      </c>
      <c r="R2017" s="42">
        <f t="shared" si="290"/>
        <v>227934</v>
      </c>
      <c r="S2017" s="244">
        <f t="shared" si="293"/>
        <v>50.578380357479666</v>
      </c>
    </row>
    <row r="2018" spans="2:19" x14ac:dyDescent="0.2">
      <c r="B2018" s="67">
        <f t="shared" si="291"/>
        <v>90</v>
      </c>
      <c r="C2018" s="11"/>
      <c r="D2018" s="11"/>
      <c r="E2018" s="11"/>
      <c r="F2018" s="45" t="s">
        <v>76</v>
      </c>
      <c r="G2018" s="11">
        <v>620</v>
      </c>
      <c r="H2018" s="11" t="s">
        <v>130</v>
      </c>
      <c r="I2018" s="42">
        <f>155559+1+2170</f>
        <v>157730</v>
      </c>
      <c r="J2018" s="42">
        <v>81456</v>
      </c>
      <c r="K2018" s="225">
        <f t="shared" si="292"/>
        <v>51.642680530019661</v>
      </c>
      <c r="L2018" s="114"/>
      <c r="M2018" s="42"/>
      <c r="N2018" s="42"/>
      <c r="O2018" s="225"/>
      <c r="P2018" s="114"/>
      <c r="Q2018" s="42">
        <f t="shared" si="289"/>
        <v>157730</v>
      </c>
      <c r="R2018" s="42">
        <f t="shared" si="290"/>
        <v>81456</v>
      </c>
      <c r="S2018" s="244">
        <f t="shared" si="293"/>
        <v>51.642680530019661</v>
      </c>
    </row>
    <row r="2019" spans="2:19" x14ac:dyDescent="0.2">
      <c r="B2019" s="67">
        <f t="shared" si="291"/>
        <v>91</v>
      </c>
      <c r="C2019" s="11"/>
      <c r="D2019" s="11"/>
      <c r="E2019" s="11"/>
      <c r="F2019" s="45" t="s">
        <v>76</v>
      </c>
      <c r="G2019" s="11">
        <v>630</v>
      </c>
      <c r="H2019" s="11" t="s">
        <v>127</v>
      </c>
      <c r="I2019" s="42">
        <f>I2025+I2024+I2023+I2022+I2021+I2020</f>
        <v>381240</v>
      </c>
      <c r="J2019" s="42">
        <f>J2025+J2024+J2023+J2022+J2021+J2020</f>
        <v>170562</v>
      </c>
      <c r="K2019" s="225">
        <f t="shared" si="292"/>
        <v>44.738747245829394</v>
      </c>
      <c r="L2019" s="114"/>
      <c r="M2019" s="42">
        <f>M2025+M2024+M2023+M2022+M2021+M2020</f>
        <v>0</v>
      </c>
      <c r="N2019" s="42">
        <f>N2025+N2024+N2023+N2022+N2021+N2020</f>
        <v>0</v>
      </c>
      <c r="O2019" s="225"/>
      <c r="P2019" s="114"/>
      <c r="Q2019" s="42">
        <f t="shared" si="289"/>
        <v>381240</v>
      </c>
      <c r="R2019" s="42">
        <f t="shared" si="290"/>
        <v>170562</v>
      </c>
      <c r="S2019" s="244">
        <f t="shared" si="293"/>
        <v>44.738747245829394</v>
      </c>
    </row>
    <row r="2020" spans="2:19" x14ac:dyDescent="0.2">
      <c r="B2020" s="67">
        <f t="shared" si="291"/>
        <v>92</v>
      </c>
      <c r="C2020" s="2"/>
      <c r="D2020" s="2"/>
      <c r="E2020" s="2"/>
      <c r="F2020" s="46" t="s">
        <v>76</v>
      </c>
      <c r="G2020" s="2">
        <v>631</v>
      </c>
      <c r="H2020" s="2" t="s">
        <v>133</v>
      </c>
      <c r="I2020" s="22">
        <v>200</v>
      </c>
      <c r="J2020" s="22">
        <v>196</v>
      </c>
      <c r="K2020" s="225">
        <f t="shared" si="292"/>
        <v>98</v>
      </c>
      <c r="L2020" s="68"/>
      <c r="M2020" s="22"/>
      <c r="N2020" s="22"/>
      <c r="O2020" s="225"/>
      <c r="P2020" s="68"/>
      <c r="Q2020" s="22">
        <f t="shared" si="289"/>
        <v>200</v>
      </c>
      <c r="R2020" s="22">
        <f t="shared" si="290"/>
        <v>196</v>
      </c>
      <c r="S2020" s="244">
        <f t="shared" si="293"/>
        <v>98</v>
      </c>
    </row>
    <row r="2021" spans="2:19" x14ac:dyDescent="0.2">
      <c r="B2021" s="67">
        <f t="shared" si="291"/>
        <v>93</v>
      </c>
      <c r="C2021" s="2"/>
      <c r="D2021" s="2"/>
      <c r="E2021" s="2"/>
      <c r="F2021" s="46" t="s">
        <v>76</v>
      </c>
      <c r="G2021" s="2">
        <v>632</v>
      </c>
      <c r="H2021" s="2" t="s">
        <v>138</v>
      </c>
      <c r="I2021" s="22">
        <v>93750</v>
      </c>
      <c r="J2021" s="22">
        <v>47025</v>
      </c>
      <c r="K2021" s="225">
        <f t="shared" si="292"/>
        <v>50.160000000000004</v>
      </c>
      <c r="L2021" s="68"/>
      <c r="M2021" s="22"/>
      <c r="N2021" s="22"/>
      <c r="O2021" s="225"/>
      <c r="P2021" s="68"/>
      <c r="Q2021" s="22">
        <f t="shared" si="289"/>
        <v>93750</v>
      </c>
      <c r="R2021" s="22">
        <f t="shared" si="290"/>
        <v>47025</v>
      </c>
      <c r="S2021" s="244">
        <f t="shared" si="293"/>
        <v>50.160000000000004</v>
      </c>
    </row>
    <row r="2022" spans="2:19" x14ac:dyDescent="0.2">
      <c r="B2022" s="67">
        <f t="shared" si="291"/>
        <v>94</v>
      </c>
      <c r="C2022" s="2"/>
      <c r="D2022" s="2"/>
      <c r="E2022" s="2"/>
      <c r="F2022" s="46" t="s">
        <v>76</v>
      </c>
      <c r="G2022" s="2">
        <v>633</v>
      </c>
      <c r="H2022" s="2" t="s">
        <v>131</v>
      </c>
      <c r="I2022" s="22">
        <v>18870</v>
      </c>
      <c r="J2022" s="22">
        <v>6117</v>
      </c>
      <c r="K2022" s="225">
        <f t="shared" si="292"/>
        <v>32.416534181240067</v>
      </c>
      <c r="L2022" s="68"/>
      <c r="M2022" s="22"/>
      <c r="N2022" s="22"/>
      <c r="O2022" s="225"/>
      <c r="P2022" s="68"/>
      <c r="Q2022" s="22">
        <f t="shared" si="289"/>
        <v>18870</v>
      </c>
      <c r="R2022" s="22">
        <f t="shared" si="290"/>
        <v>6117</v>
      </c>
      <c r="S2022" s="244">
        <f t="shared" si="293"/>
        <v>32.416534181240067</v>
      </c>
    </row>
    <row r="2023" spans="2:19" x14ac:dyDescent="0.2">
      <c r="B2023" s="67">
        <f t="shared" si="291"/>
        <v>95</v>
      </c>
      <c r="C2023" s="2"/>
      <c r="D2023" s="2"/>
      <c r="E2023" s="2"/>
      <c r="F2023" s="46" t="s">
        <v>76</v>
      </c>
      <c r="G2023" s="2">
        <v>634</v>
      </c>
      <c r="H2023" s="2" t="s">
        <v>136</v>
      </c>
      <c r="I2023" s="22">
        <v>1900</v>
      </c>
      <c r="J2023" s="22">
        <v>613</v>
      </c>
      <c r="K2023" s="225">
        <f t="shared" si="292"/>
        <v>32.263157894736842</v>
      </c>
      <c r="L2023" s="68"/>
      <c r="M2023" s="22"/>
      <c r="N2023" s="22"/>
      <c r="O2023" s="225"/>
      <c r="P2023" s="68"/>
      <c r="Q2023" s="22">
        <f t="shared" si="289"/>
        <v>1900</v>
      </c>
      <c r="R2023" s="22">
        <f t="shared" si="290"/>
        <v>613</v>
      </c>
      <c r="S2023" s="244">
        <f t="shared" si="293"/>
        <v>32.263157894736842</v>
      </c>
    </row>
    <row r="2024" spans="2:19" x14ac:dyDescent="0.2">
      <c r="B2024" s="67">
        <f t="shared" si="291"/>
        <v>96</v>
      </c>
      <c r="C2024" s="2"/>
      <c r="D2024" s="2"/>
      <c r="E2024" s="2"/>
      <c r="F2024" s="46" t="s">
        <v>76</v>
      </c>
      <c r="G2024" s="2">
        <v>635</v>
      </c>
      <c r="H2024" s="2" t="s">
        <v>137</v>
      </c>
      <c r="I2024" s="22">
        <v>24250</v>
      </c>
      <c r="J2024" s="22">
        <v>3605</v>
      </c>
      <c r="K2024" s="225">
        <f t="shared" si="292"/>
        <v>14.865979381443298</v>
      </c>
      <c r="L2024" s="68"/>
      <c r="M2024" s="22"/>
      <c r="N2024" s="22"/>
      <c r="O2024" s="225"/>
      <c r="P2024" s="68"/>
      <c r="Q2024" s="22">
        <f t="shared" si="289"/>
        <v>24250</v>
      </c>
      <c r="R2024" s="22">
        <f t="shared" si="290"/>
        <v>3605</v>
      </c>
      <c r="S2024" s="244">
        <f t="shared" si="293"/>
        <v>14.865979381443298</v>
      </c>
    </row>
    <row r="2025" spans="2:19" x14ac:dyDescent="0.2">
      <c r="B2025" s="67">
        <f t="shared" si="291"/>
        <v>97</v>
      </c>
      <c r="C2025" s="2"/>
      <c r="D2025" s="2"/>
      <c r="E2025" s="2"/>
      <c r="F2025" s="46" t="s">
        <v>76</v>
      </c>
      <c r="G2025" s="2">
        <v>637</v>
      </c>
      <c r="H2025" s="2" t="s">
        <v>128</v>
      </c>
      <c r="I2025" s="22">
        <f>242937+275+3-945</f>
        <v>242270</v>
      </c>
      <c r="J2025" s="22">
        <v>113006</v>
      </c>
      <c r="K2025" s="225">
        <f t="shared" si="292"/>
        <v>46.64465266025509</v>
      </c>
      <c r="L2025" s="68"/>
      <c r="M2025" s="22"/>
      <c r="N2025" s="22"/>
      <c r="O2025" s="225"/>
      <c r="P2025" s="68"/>
      <c r="Q2025" s="22">
        <f t="shared" si="289"/>
        <v>242270</v>
      </c>
      <c r="R2025" s="22">
        <f t="shared" si="290"/>
        <v>113006</v>
      </c>
      <c r="S2025" s="244">
        <f t="shared" si="293"/>
        <v>46.64465266025509</v>
      </c>
    </row>
    <row r="2026" spans="2:19" x14ac:dyDescent="0.2">
      <c r="B2026" s="67">
        <f t="shared" si="291"/>
        <v>98</v>
      </c>
      <c r="C2026" s="11"/>
      <c r="D2026" s="11"/>
      <c r="E2026" s="11"/>
      <c r="F2026" s="45" t="s">
        <v>76</v>
      </c>
      <c r="G2026" s="11">
        <v>640</v>
      </c>
      <c r="H2026" s="11" t="s">
        <v>134</v>
      </c>
      <c r="I2026" s="42">
        <f>3100+400+3459</f>
        <v>6959</v>
      </c>
      <c r="J2026" s="42">
        <v>6846</v>
      </c>
      <c r="K2026" s="225">
        <f t="shared" si="292"/>
        <v>98.37620347751114</v>
      </c>
      <c r="L2026" s="114"/>
      <c r="M2026" s="42"/>
      <c r="N2026" s="42"/>
      <c r="O2026" s="225"/>
      <c r="P2026" s="114"/>
      <c r="Q2026" s="42">
        <f t="shared" si="289"/>
        <v>6959</v>
      </c>
      <c r="R2026" s="42">
        <f t="shared" si="290"/>
        <v>6846</v>
      </c>
      <c r="S2026" s="244">
        <f t="shared" si="293"/>
        <v>98.37620347751114</v>
      </c>
    </row>
    <row r="2027" spans="2:19" x14ac:dyDescent="0.2">
      <c r="B2027" s="67">
        <f t="shared" si="291"/>
        <v>99</v>
      </c>
      <c r="C2027" s="11"/>
      <c r="D2027" s="11"/>
      <c r="E2027" s="11"/>
      <c r="F2027" s="45" t="s">
        <v>76</v>
      </c>
      <c r="G2027" s="11">
        <v>710</v>
      </c>
      <c r="H2027" s="11" t="s">
        <v>183</v>
      </c>
      <c r="I2027" s="42">
        <f>I2028</f>
        <v>0</v>
      </c>
      <c r="J2027" s="42">
        <f>J2028</f>
        <v>0</v>
      </c>
      <c r="K2027" s="225"/>
      <c r="L2027" s="114"/>
      <c r="M2027" s="42">
        <f>M2028</f>
        <v>25000</v>
      </c>
      <c r="N2027" s="42">
        <f>N2028+N2029</f>
        <v>0</v>
      </c>
      <c r="O2027" s="225">
        <f t="shared" si="294"/>
        <v>0</v>
      </c>
      <c r="P2027" s="114"/>
      <c r="Q2027" s="42">
        <f t="shared" si="289"/>
        <v>25000</v>
      </c>
      <c r="R2027" s="42">
        <f t="shared" si="290"/>
        <v>0</v>
      </c>
      <c r="S2027" s="244">
        <f t="shared" si="293"/>
        <v>0</v>
      </c>
    </row>
    <row r="2028" spans="2:19" x14ac:dyDescent="0.2">
      <c r="B2028" s="67">
        <f t="shared" si="291"/>
        <v>100</v>
      </c>
      <c r="C2028" s="2"/>
      <c r="D2028" s="2"/>
      <c r="E2028" s="2"/>
      <c r="F2028" s="77" t="s">
        <v>76</v>
      </c>
      <c r="G2028" s="78">
        <v>717</v>
      </c>
      <c r="H2028" s="78" t="s">
        <v>193</v>
      </c>
      <c r="I2028" s="79">
        <v>0</v>
      </c>
      <c r="J2028" s="79">
        <v>0</v>
      </c>
      <c r="K2028" s="225"/>
      <c r="L2028" s="68"/>
      <c r="M2028" s="79">
        <f>M2029</f>
        <v>25000</v>
      </c>
      <c r="N2028" s="79">
        <v>0</v>
      </c>
      <c r="O2028" s="225"/>
      <c r="P2028" s="68"/>
      <c r="Q2028" s="79">
        <f t="shared" si="289"/>
        <v>25000</v>
      </c>
      <c r="R2028" s="79">
        <f t="shared" si="290"/>
        <v>0</v>
      </c>
      <c r="S2028" s="244">
        <v>0</v>
      </c>
    </row>
    <row r="2029" spans="2:19" x14ac:dyDescent="0.2">
      <c r="B2029" s="67">
        <f t="shared" si="291"/>
        <v>101</v>
      </c>
      <c r="C2029" s="2"/>
      <c r="D2029" s="2"/>
      <c r="E2029" s="2"/>
      <c r="F2029" s="46"/>
      <c r="G2029" s="2"/>
      <c r="H2029" s="2" t="s">
        <v>665</v>
      </c>
      <c r="I2029" s="22"/>
      <c r="J2029" s="22"/>
      <c r="K2029" s="225"/>
      <c r="L2029" s="68"/>
      <c r="M2029" s="22">
        <v>25000</v>
      </c>
      <c r="N2029" s="22"/>
      <c r="O2029" s="225">
        <f t="shared" si="294"/>
        <v>0</v>
      </c>
      <c r="P2029" s="68"/>
      <c r="Q2029" s="22">
        <f t="shared" si="289"/>
        <v>25000</v>
      </c>
      <c r="R2029" s="22">
        <f t="shared" si="290"/>
        <v>0</v>
      </c>
      <c r="S2029" s="244">
        <f t="shared" si="293"/>
        <v>0</v>
      </c>
    </row>
    <row r="2030" spans="2:19" ht="15" x14ac:dyDescent="0.2">
      <c r="B2030" s="67">
        <f t="shared" si="291"/>
        <v>102</v>
      </c>
      <c r="C2030" s="166">
        <v>7</v>
      </c>
      <c r="D2030" s="325" t="s">
        <v>234</v>
      </c>
      <c r="E2030" s="326"/>
      <c r="F2030" s="326"/>
      <c r="G2030" s="326"/>
      <c r="H2030" s="327"/>
      <c r="I2030" s="38">
        <f>I2031</f>
        <v>526453</v>
      </c>
      <c r="J2030" s="38">
        <f>J2031</f>
        <v>225640</v>
      </c>
      <c r="K2030" s="225">
        <f t="shared" si="292"/>
        <v>42.860426286867018</v>
      </c>
      <c r="L2030" s="173"/>
      <c r="M2030" s="38">
        <f>M2031</f>
        <v>0</v>
      </c>
      <c r="N2030" s="38">
        <f>N2031</f>
        <v>0</v>
      </c>
      <c r="O2030" s="225"/>
      <c r="P2030" s="173"/>
      <c r="Q2030" s="38">
        <f t="shared" si="289"/>
        <v>526453</v>
      </c>
      <c r="R2030" s="38">
        <f t="shared" si="290"/>
        <v>225640</v>
      </c>
      <c r="S2030" s="244">
        <f t="shared" si="293"/>
        <v>42.860426286867018</v>
      </c>
    </row>
    <row r="2031" spans="2:19" ht="15" x14ac:dyDescent="0.25">
      <c r="B2031" s="67">
        <f t="shared" si="291"/>
        <v>103</v>
      </c>
      <c r="C2031" s="14"/>
      <c r="D2031" s="14"/>
      <c r="E2031" s="14">
        <v>5</v>
      </c>
      <c r="F2031" s="43"/>
      <c r="G2031" s="14"/>
      <c r="H2031" s="14" t="s">
        <v>264</v>
      </c>
      <c r="I2031" s="40">
        <f>I2032+I2033+I2034+I2039</f>
        <v>526453</v>
      </c>
      <c r="J2031" s="40">
        <f>J2032+J2033+J2034+J2039</f>
        <v>225640</v>
      </c>
      <c r="K2031" s="225">
        <f t="shared" si="292"/>
        <v>42.860426286867018</v>
      </c>
      <c r="L2031" s="175"/>
      <c r="M2031" s="40">
        <f>M2032+M2033+M2034+M2039</f>
        <v>0</v>
      </c>
      <c r="N2031" s="40">
        <f>N2032+N2033+N2034+N2039</f>
        <v>0</v>
      </c>
      <c r="O2031" s="225"/>
      <c r="P2031" s="175"/>
      <c r="Q2031" s="40">
        <f t="shared" si="289"/>
        <v>526453</v>
      </c>
      <c r="R2031" s="40">
        <f t="shared" si="290"/>
        <v>225640</v>
      </c>
      <c r="S2031" s="244">
        <f t="shared" si="293"/>
        <v>42.860426286867018</v>
      </c>
    </row>
    <row r="2032" spans="2:19" x14ac:dyDescent="0.2">
      <c r="B2032" s="67">
        <f t="shared" si="291"/>
        <v>104</v>
      </c>
      <c r="C2032" s="11"/>
      <c r="D2032" s="11"/>
      <c r="E2032" s="11"/>
      <c r="F2032" s="45" t="s">
        <v>76</v>
      </c>
      <c r="G2032" s="11">
        <v>610</v>
      </c>
      <c r="H2032" s="11" t="s">
        <v>135</v>
      </c>
      <c r="I2032" s="42">
        <f>221000+129510</f>
        <v>350510</v>
      </c>
      <c r="J2032" s="42">
        <v>149707</v>
      </c>
      <c r="K2032" s="225">
        <f t="shared" si="292"/>
        <v>42.711192262702916</v>
      </c>
      <c r="L2032" s="114"/>
      <c r="M2032" s="42"/>
      <c r="N2032" s="42"/>
      <c r="O2032" s="225"/>
      <c r="P2032" s="114"/>
      <c r="Q2032" s="42">
        <f t="shared" si="289"/>
        <v>350510</v>
      </c>
      <c r="R2032" s="42">
        <f t="shared" si="290"/>
        <v>149707</v>
      </c>
      <c r="S2032" s="244">
        <f t="shared" si="293"/>
        <v>42.711192262702916</v>
      </c>
    </row>
    <row r="2033" spans="2:19" x14ac:dyDescent="0.2">
      <c r="B2033" s="67">
        <f t="shared" si="291"/>
        <v>105</v>
      </c>
      <c r="C2033" s="11"/>
      <c r="D2033" s="11"/>
      <c r="E2033" s="11"/>
      <c r="F2033" s="45" t="s">
        <v>76</v>
      </c>
      <c r="G2033" s="11">
        <v>620</v>
      </c>
      <c r="H2033" s="11" t="s">
        <v>130</v>
      </c>
      <c r="I2033" s="42">
        <f>77350+45330</f>
        <v>122680</v>
      </c>
      <c r="J2033" s="42">
        <v>52630</v>
      </c>
      <c r="K2033" s="225">
        <f t="shared" si="292"/>
        <v>42.900228236061302</v>
      </c>
      <c r="L2033" s="114"/>
      <c r="M2033" s="42"/>
      <c r="N2033" s="42"/>
      <c r="O2033" s="225"/>
      <c r="P2033" s="114"/>
      <c r="Q2033" s="42">
        <f t="shared" si="289"/>
        <v>122680</v>
      </c>
      <c r="R2033" s="42">
        <f t="shared" si="290"/>
        <v>52630</v>
      </c>
      <c r="S2033" s="244">
        <f t="shared" si="293"/>
        <v>42.900228236061302</v>
      </c>
    </row>
    <row r="2034" spans="2:19" x14ac:dyDescent="0.2">
      <c r="B2034" s="67">
        <f t="shared" si="291"/>
        <v>106</v>
      </c>
      <c r="C2034" s="11"/>
      <c r="D2034" s="11"/>
      <c r="E2034" s="11"/>
      <c r="F2034" s="45" t="s">
        <v>76</v>
      </c>
      <c r="G2034" s="11">
        <v>630</v>
      </c>
      <c r="H2034" s="11" t="s">
        <v>127</v>
      </c>
      <c r="I2034" s="42">
        <f>SUM(I2035:I2038)</f>
        <v>50763</v>
      </c>
      <c r="J2034" s="42">
        <f>SUM(J2035:J2038)</f>
        <v>21817</v>
      </c>
      <c r="K2034" s="225">
        <f t="shared" si="292"/>
        <v>42.978153379429898</v>
      </c>
      <c r="L2034" s="114"/>
      <c r="M2034" s="42">
        <f>SUM(M2035:M2038)</f>
        <v>0</v>
      </c>
      <c r="N2034" s="42">
        <f>SUM(N2035:N2038)</f>
        <v>0</v>
      </c>
      <c r="O2034" s="225"/>
      <c r="P2034" s="114"/>
      <c r="Q2034" s="42">
        <f t="shared" si="289"/>
        <v>50763</v>
      </c>
      <c r="R2034" s="42">
        <f t="shared" si="290"/>
        <v>21817</v>
      </c>
      <c r="S2034" s="244">
        <f t="shared" si="293"/>
        <v>42.978153379429898</v>
      </c>
    </row>
    <row r="2035" spans="2:19" x14ac:dyDescent="0.2">
      <c r="B2035" s="67">
        <f t="shared" si="291"/>
        <v>107</v>
      </c>
      <c r="C2035" s="2"/>
      <c r="D2035" s="2"/>
      <c r="E2035" s="2"/>
      <c r="F2035" s="46" t="s">
        <v>76</v>
      </c>
      <c r="G2035" s="2">
        <v>632</v>
      </c>
      <c r="H2035" s="2" t="s">
        <v>138</v>
      </c>
      <c r="I2035" s="22">
        <v>700</v>
      </c>
      <c r="J2035" s="22">
        <v>351</v>
      </c>
      <c r="K2035" s="225">
        <f t="shared" si="292"/>
        <v>50.142857142857146</v>
      </c>
      <c r="L2035" s="68"/>
      <c r="M2035" s="22"/>
      <c r="N2035" s="22"/>
      <c r="O2035" s="225"/>
      <c r="P2035" s="68"/>
      <c r="Q2035" s="22">
        <f t="shared" ref="Q2035:Q2069" si="295">I2035+M2035</f>
        <v>700</v>
      </c>
      <c r="R2035" s="22">
        <f t="shared" ref="R2035:R2069" si="296">J2035+N2035</f>
        <v>351</v>
      </c>
      <c r="S2035" s="244">
        <f t="shared" si="293"/>
        <v>50.142857142857146</v>
      </c>
    </row>
    <row r="2036" spans="2:19" x14ac:dyDescent="0.2">
      <c r="B2036" s="67">
        <f t="shared" si="291"/>
        <v>108</v>
      </c>
      <c r="C2036" s="2"/>
      <c r="D2036" s="2"/>
      <c r="E2036" s="2"/>
      <c r="F2036" s="46" t="s">
        <v>76</v>
      </c>
      <c r="G2036" s="2">
        <v>633</v>
      </c>
      <c r="H2036" s="2" t="s">
        <v>131</v>
      </c>
      <c r="I2036" s="22">
        <v>2700</v>
      </c>
      <c r="J2036" s="22">
        <v>312</v>
      </c>
      <c r="K2036" s="225">
        <f t="shared" si="292"/>
        <v>11.555555555555555</v>
      </c>
      <c r="L2036" s="68"/>
      <c r="M2036" s="22"/>
      <c r="N2036" s="22"/>
      <c r="O2036" s="225"/>
      <c r="P2036" s="68"/>
      <c r="Q2036" s="22">
        <f t="shared" si="295"/>
        <v>2700</v>
      </c>
      <c r="R2036" s="22">
        <f t="shared" si="296"/>
        <v>312</v>
      </c>
      <c r="S2036" s="244">
        <f t="shared" si="293"/>
        <v>11.555555555555555</v>
      </c>
    </row>
    <row r="2037" spans="2:19" x14ac:dyDescent="0.2">
      <c r="B2037" s="67">
        <f t="shared" si="291"/>
        <v>109</v>
      </c>
      <c r="C2037" s="2"/>
      <c r="D2037" s="2"/>
      <c r="E2037" s="2"/>
      <c r="F2037" s="46" t="s">
        <v>76</v>
      </c>
      <c r="G2037" s="2">
        <v>634</v>
      </c>
      <c r="H2037" s="2" t="s">
        <v>136</v>
      </c>
      <c r="I2037" s="22">
        <v>4900</v>
      </c>
      <c r="J2037" s="22">
        <v>2609</v>
      </c>
      <c r="K2037" s="225">
        <f t="shared" si="292"/>
        <v>53.244897959183668</v>
      </c>
      <c r="L2037" s="68"/>
      <c r="M2037" s="22"/>
      <c r="N2037" s="22"/>
      <c r="O2037" s="225"/>
      <c r="P2037" s="68"/>
      <c r="Q2037" s="22">
        <f t="shared" si="295"/>
        <v>4900</v>
      </c>
      <c r="R2037" s="22">
        <f t="shared" si="296"/>
        <v>2609</v>
      </c>
      <c r="S2037" s="244">
        <f t="shared" si="293"/>
        <v>53.244897959183668</v>
      </c>
    </row>
    <row r="2038" spans="2:19" x14ac:dyDescent="0.2">
      <c r="B2038" s="67">
        <f t="shared" si="291"/>
        <v>110</v>
      </c>
      <c r="C2038" s="2"/>
      <c r="D2038" s="2"/>
      <c r="E2038" s="2"/>
      <c r="F2038" s="46" t="s">
        <v>76</v>
      </c>
      <c r="G2038" s="2">
        <v>637</v>
      </c>
      <c r="H2038" s="2" t="s">
        <v>128</v>
      </c>
      <c r="I2038" s="22">
        <f>25020+17443</f>
        <v>42463</v>
      </c>
      <c r="J2038" s="22">
        <v>18545</v>
      </c>
      <c r="K2038" s="225">
        <f t="shared" si="292"/>
        <v>43.67331559239809</v>
      </c>
      <c r="L2038" s="68"/>
      <c r="M2038" s="22"/>
      <c r="N2038" s="22"/>
      <c r="O2038" s="225"/>
      <c r="P2038" s="68"/>
      <c r="Q2038" s="22">
        <f t="shared" si="295"/>
        <v>42463</v>
      </c>
      <c r="R2038" s="22">
        <f t="shared" si="296"/>
        <v>18545</v>
      </c>
      <c r="S2038" s="244">
        <f t="shared" si="293"/>
        <v>43.67331559239809</v>
      </c>
    </row>
    <row r="2039" spans="2:19" x14ac:dyDescent="0.2">
      <c r="B2039" s="67">
        <f t="shared" si="291"/>
        <v>111</v>
      </c>
      <c r="C2039" s="11"/>
      <c r="D2039" s="11"/>
      <c r="E2039" s="11"/>
      <c r="F2039" s="45" t="s">
        <v>76</v>
      </c>
      <c r="G2039" s="11">
        <v>640</v>
      </c>
      <c r="H2039" s="11" t="s">
        <v>134</v>
      </c>
      <c r="I2039" s="42">
        <f>2200+300</f>
        <v>2500</v>
      </c>
      <c r="J2039" s="42">
        <v>1486</v>
      </c>
      <c r="K2039" s="225">
        <f t="shared" si="292"/>
        <v>59.440000000000005</v>
      </c>
      <c r="L2039" s="114"/>
      <c r="M2039" s="42"/>
      <c r="N2039" s="42"/>
      <c r="O2039" s="225"/>
      <c r="P2039" s="114"/>
      <c r="Q2039" s="42">
        <f t="shared" si="295"/>
        <v>2500</v>
      </c>
      <c r="R2039" s="42">
        <f t="shared" si="296"/>
        <v>1486</v>
      </c>
      <c r="S2039" s="244">
        <f t="shared" si="293"/>
        <v>59.440000000000005</v>
      </c>
    </row>
    <row r="2040" spans="2:19" ht="12.75" customHeight="1" x14ac:dyDescent="0.2">
      <c r="B2040" s="67">
        <f t="shared" si="291"/>
        <v>112</v>
      </c>
      <c r="C2040" s="166">
        <v>8</v>
      </c>
      <c r="D2040" s="325" t="s">
        <v>206</v>
      </c>
      <c r="E2040" s="326"/>
      <c r="F2040" s="326"/>
      <c r="G2040" s="326"/>
      <c r="H2040" s="327"/>
      <c r="I2040" s="38">
        <f>I2041</f>
        <v>3000</v>
      </c>
      <c r="J2040" s="38">
        <f>J2041</f>
        <v>2342</v>
      </c>
      <c r="K2040" s="225">
        <f t="shared" si="292"/>
        <v>78.066666666666663</v>
      </c>
      <c r="L2040" s="173"/>
      <c r="M2040" s="38">
        <f>M2041</f>
        <v>0</v>
      </c>
      <c r="N2040" s="38">
        <f>N2041</f>
        <v>0</v>
      </c>
      <c r="O2040" s="225"/>
      <c r="P2040" s="173"/>
      <c r="Q2040" s="38">
        <f t="shared" si="295"/>
        <v>3000</v>
      </c>
      <c r="R2040" s="38">
        <f t="shared" si="296"/>
        <v>2342</v>
      </c>
      <c r="S2040" s="244">
        <f t="shared" si="293"/>
        <v>78.066666666666663</v>
      </c>
    </row>
    <row r="2041" spans="2:19" x14ac:dyDescent="0.2">
      <c r="B2041" s="67">
        <f t="shared" si="291"/>
        <v>113</v>
      </c>
      <c r="C2041" s="11"/>
      <c r="D2041" s="11"/>
      <c r="E2041" s="11"/>
      <c r="F2041" s="45" t="s">
        <v>149</v>
      </c>
      <c r="G2041" s="11">
        <v>630</v>
      </c>
      <c r="H2041" s="11" t="s">
        <v>127</v>
      </c>
      <c r="I2041" s="42">
        <f>I2042</f>
        <v>3000</v>
      </c>
      <c r="J2041" s="42">
        <f>J2042</f>
        <v>2342</v>
      </c>
      <c r="K2041" s="225">
        <f t="shared" si="292"/>
        <v>78.066666666666663</v>
      </c>
      <c r="L2041" s="114"/>
      <c r="M2041" s="42">
        <f>M2042</f>
        <v>0</v>
      </c>
      <c r="N2041" s="42">
        <f>N2042</f>
        <v>0</v>
      </c>
      <c r="O2041" s="225"/>
      <c r="P2041" s="114"/>
      <c r="Q2041" s="42">
        <f t="shared" si="295"/>
        <v>3000</v>
      </c>
      <c r="R2041" s="42">
        <f t="shared" si="296"/>
        <v>2342</v>
      </c>
      <c r="S2041" s="244">
        <f t="shared" si="293"/>
        <v>78.066666666666663</v>
      </c>
    </row>
    <row r="2042" spans="2:19" x14ac:dyDescent="0.2">
      <c r="B2042" s="67">
        <f t="shared" si="291"/>
        <v>114</v>
      </c>
      <c r="C2042" s="2"/>
      <c r="D2042" s="2"/>
      <c r="E2042" s="2"/>
      <c r="F2042" s="46" t="s">
        <v>149</v>
      </c>
      <c r="G2042" s="2">
        <v>637</v>
      </c>
      <c r="H2042" s="2" t="s">
        <v>128</v>
      </c>
      <c r="I2042" s="22">
        <f>2000+1000</f>
        <v>3000</v>
      </c>
      <c r="J2042" s="22">
        <v>2342</v>
      </c>
      <c r="K2042" s="225">
        <f t="shared" si="292"/>
        <v>78.066666666666663</v>
      </c>
      <c r="L2042" s="68"/>
      <c r="M2042" s="22"/>
      <c r="N2042" s="22"/>
      <c r="O2042" s="225"/>
      <c r="P2042" s="68"/>
      <c r="Q2042" s="22">
        <f t="shared" si="295"/>
        <v>3000</v>
      </c>
      <c r="R2042" s="22">
        <f t="shared" si="296"/>
        <v>2342</v>
      </c>
      <c r="S2042" s="244">
        <f t="shared" si="293"/>
        <v>78.066666666666663</v>
      </c>
    </row>
    <row r="2043" spans="2:19" ht="15" x14ac:dyDescent="0.2">
      <c r="B2043" s="67">
        <f t="shared" si="291"/>
        <v>115</v>
      </c>
      <c r="C2043" s="166">
        <v>9</v>
      </c>
      <c r="D2043" s="325" t="s">
        <v>181</v>
      </c>
      <c r="E2043" s="326"/>
      <c r="F2043" s="326"/>
      <c r="G2043" s="326"/>
      <c r="H2043" s="327"/>
      <c r="I2043" s="38">
        <f>I2044+I2047</f>
        <v>18165</v>
      </c>
      <c r="J2043" s="38">
        <f>J2044+J2047</f>
        <v>6331</v>
      </c>
      <c r="K2043" s="225">
        <f t="shared" si="292"/>
        <v>34.852738783374619</v>
      </c>
      <c r="L2043" s="173"/>
      <c r="M2043" s="38">
        <f>M2044+M2047</f>
        <v>0</v>
      </c>
      <c r="N2043" s="38">
        <f>N2044+N2047</f>
        <v>0</v>
      </c>
      <c r="O2043" s="225"/>
      <c r="P2043" s="173"/>
      <c r="Q2043" s="38">
        <f t="shared" si="295"/>
        <v>18165</v>
      </c>
      <c r="R2043" s="38">
        <f t="shared" si="296"/>
        <v>6331</v>
      </c>
      <c r="S2043" s="244">
        <f t="shared" si="293"/>
        <v>34.852738783374619</v>
      </c>
    </row>
    <row r="2044" spans="2:19" x14ac:dyDescent="0.2">
      <c r="B2044" s="67">
        <f t="shared" si="291"/>
        <v>116</v>
      </c>
      <c r="C2044" s="11"/>
      <c r="D2044" s="11"/>
      <c r="E2044" s="11"/>
      <c r="F2044" s="45" t="s">
        <v>75</v>
      </c>
      <c r="G2044" s="11">
        <v>630</v>
      </c>
      <c r="H2044" s="11" t="s">
        <v>127</v>
      </c>
      <c r="I2044" s="42">
        <f>I2045+I2046</f>
        <v>11165</v>
      </c>
      <c r="J2044" s="42">
        <f>J2045+J2046</f>
        <v>5087</v>
      </c>
      <c r="K2044" s="225">
        <f t="shared" si="292"/>
        <v>45.562024182713841</v>
      </c>
      <c r="L2044" s="114"/>
      <c r="M2044" s="42">
        <f>M2045</f>
        <v>0</v>
      </c>
      <c r="N2044" s="42">
        <f>N2045</f>
        <v>0</v>
      </c>
      <c r="O2044" s="225"/>
      <c r="P2044" s="114"/>
      <c r="Q2044" s="42">
        <f t="shared" si="295"/>
        <v>11165</v>
      </c>
      <c r="R2044" s="42">
        <f t="shared" si="296"/>
        <v>5087</v>
      </c>
      <c r="S2044" s="244">
        <f t="shared" si="293"/>
        <v>45.562024182713841</v>
      </c>
    </row>
    <row r="2045" spans="2:19" x14ac:dyDescent="0.2">
      <c r="B2045" s="67">
        <f t="shared" si="291"/>
        <v>117</v>
      </c>
      <c r="C2045" s="2"/>
      <c r="D2045" s="2"/>
      <c r="E2045" s="2"/>
      <c r="F2045" s="46" t="s">
        <v>75</v>
      </c>
      <c r="G2045" s="2">
        <v>637</v>
      </c>
      <c r="H2045" s="2" t="s">
        <v>128</v>
      </c>
      <c r="I2045" s="22">
        <f>12000-1000</f>
        <v>11000</v>
      </c>
      <c r="J2045" s="22">
        <f>5087-165</f>
        <v>4922</v>
      </c>
      <c r="K2045" s="225">
        <f t="shared" si="292"/>
        <v>44.745454545454542</v>
      </c>
      <c r="L2045" s="68"/>
      <c r="M2045" s="22"/>
      <c r="N2045" s="22"/>
      <c r="O2045" s="225"/>
      <c r="P2045" s="68"/>
      <c r="Q2045" s="22">
        <f t="shared" si="295"/>
        <v>11000</v>
      </c>
      <c r="R2045" s="22">
        <f t="shared" si="296"/>
        <v>4922</v>
      </c>
      <c r="S2045" s="244">
        <f t="shared" si="293"/>
        <v>44.745454545454542</v>
      </c>
    </row>
    <row r="2046" spans="2:19" x14ac:dyDescent="0.2">
      <c r="B2046" s="67">
        <f t="shared" si="291"/>
        <v>118</v>
      </c>
      <c r="C2046" s="2"/>
      <c r="D2046" s="2"/>
      <c r="E2046" s="2"/>
      <c r="F2046" s="46" t="s">
        <v>75</v>
      </c>
      <c r="G2046" s="2">
        <v>630</v>
      </c>
      <c r="H2046" s="2" t="s">
        <v>616</v>
      </c>
      <c r="I2046" s="22">
        <v>165</v>
      </c>
      <c r="J2046" s="22">
        <v>165</v>
      </c>
      <c r="K2046" s="225">
        <f t="shared" si="292"/>
        <v>100</v>
      </c>
      <c r="L2046" s="68"/>
      <c r="M2046" s="22"/>
      <c r="N2046" s="22"/>
      <c r="O2046" s="225"/>
      <c r="P2046" s="68"/>
      <c r="Q2046" s="22">
        <f t="shared" si="295"/>
        <v>165</v>
      </c>
      <c r="R2046" s="22">
        <f t="shared" si="296"/>
        <v>165</v>
      </c>
      <c r="S2046" s="244">
        <f t="shared" si="293"/>
        <v>100</v>
      </c>
    </row>
    <row r="2047" spans="2:19" x14ac:dyDescent="0.2">
      <c r="B2047" s="67">
        <f t="shared" si="291"/>
        <v>119</v>
      </c>
      <c r="C2047" s="11"/>
      <c r="D2047" s="11"/>
      <c r="E2047" s="11"/>
      <c r="F2047" s="45" t="s">
        <v>75</v>
      </c>
      <c r="G2047" s="11">
        <v>640</v>
      </c>
      <c r="H2047" s="11" t="s">
        <v>134</v>
      </c>
      <c r="I2047" s="42">
        <f>I2048</f>
        <v>7000</v>
      </c>
      <c r="J2047" s="42">
        <f>J2048</f>
        <v>1244</v>
      </c>
      <c r="K2047" s="225">
        <f t="shared" si="292"/>
        <v>17.771428571428572</v>
      </c>
      <c r="L2047" s="114"/>
      <c r="M2047" s="42">
        <f>M2048</f>
        <v>0</v>
      </c>
      <c r="N2047" s="42">
        <f>N2048</f>
        <v>0</v>
      </c>
      <c r="O2047" s="225"/>
      <c r="P2047" s="114"/>
      <c r="Q2047" s="42">
        <f t="shared" si="295"/>
        <v>7000</v>
      </c>
      <c r="R2047" s="42">
        <f t="shared" si="296"/>
        <v>1244</v>
      </c>
      <c r="S2047" s="244">
        <f t="shared" si="293"/>
        <v>17.771428571428572</v>
      </c>
    </row>
    <row r="2048" spans="2:19" ht="24" x14ac:dyDescent="0.2">
      <c r="B2048" s="67">
        <f t="shared" si="291"/>
        <v>120</v>
      </c>
      <c r="C2048" s="76"/>
      <c r="D2048" s="92"/>
      <c r="E2048" s="76"/>
      <c r="F2048" s="75"/>
      <c r="G2048" s="76"/>
      <c r="H2048" s="74" t="s">
        <v>420</v>
      </c>
      <c r="I2048" s="58">
        <v>7000</v>
      </c>
      <c r="J2048" s="58">
        <v>1244</v>
      </c>
      <c r="K2048" s="225">
        <f t="shared" si="292"/>
        <v>17.771428571428572</v>
      </c>
      <c r="L2048" s="149"/>
      <c r="M2048" s="58"/>
      <c r="N2048" s="58"/>
      <c r="O2048" s="225"/>
      <c r="P2048" s="149"/>
      <c r="Q2048" s="58">
        <f t="shared" si="295"/>
        <v>7000</v>
      </c>
      <c r="R2048" s="58">
        <f t="shared" si="296"/>
        <v>1244</v>
      </c>
      <c r="S2048" s="244">
        <f t="shared" si="293"/>
        <v>17.771428571428572</v>
      </c>
    </row>
    <row r="2049" spans="1:19" ht="15" x14ac:dyDescent="0.2">
      <c r="B2049" s="67">
        <f t="shared" si="291"/>
        <v>121</v>
      </c>
      <c r="C2049" s="166">
        <v>10</v>
      </c>
      <c r="D2049" s="325" t="s">
        <v>182</v>
      </c>
      <c r="E2049" s="326"/>
      <c r="F2049" s="326"/>
      <c r="G2049" s="326"/>
      <c r="H2049" s="327"/>
      <c r="I2049" s="38">
        <f>I2050</f>
        <v>12225</v>
      </c>
      <c r="J2049" s="38">
        <f>J2050</f>
        <v>4161</v>
      </c>
      <c r="K2049" s="225">
        <f t="shared" si="292"/>
        <v>34.036809815950917</v>
      </c>
      <c r="L2049" s="173"/>
      <c r="M2049" s="38">
        <f>M2050</f>
        <v>0</v>
      </c>
      <c r="N2049" s="38">
        <f>N2050</f>
        <v>0</v>
      </c>
      <c r="O2049" s="225"/>
      <c r="P2049" s="173"/>
      <c r="Q2049" s="38">
        <f t="shared" si="295"/>
        <v>12225</v>
      </c>
      <c r="R2049" s="38">
        <f t="shared" si="296"/>
        <v>4161</v>
      </c>
      <c r="S2049" s="244">
        <f t="shared" si="293"/>
        <v>34.036809815950917</v>
      </c>
    </row>
    <row r="2050" spans="1:19" ht="15" x14ac:dyDescent="0.25">
      <c r="B2050" s="67">
        <f t="shared" si="291"/>
        <v>122</v>
      </c>
      <c r="C2050" s="14"/>
      <c r="D2050" s="14"/>
      <c r="E2050" s="14">
        <v>5</v>
      </c>
      <c r="F2050" s="43"/>
      <c r="G2050" s="14"/>
      <c r="H2050" s="14" t="s">
        <v>264</v>
      </c>
      <c r="I2050" s="40">
        <f>I2051+I2052+I2053+I2057</f>
        <v>12225</v>
      </c>
      <c r="J2050" s="40">
        <f>J2051+J2052+J2053+J2057</f>
        <v>4161</v>
      </c>
      <c r="K2050" s="225">
        <f t="shared" si="292"/>
        <v>34.036809815950917</v>
      </c>
      <c r="L2050" s="175"/>
      <c r="M2050" s="40">
        <f>M2051+M2052+M2053+M2057</f>
        <v>0</v>
      </c>
      <c r="N2050" s="40">
        <f>N2051+N2052+N2053+N2057</f>
        <v>0</v>
      </c>
      <c r="O2050" s="225"/>
      <c r="P2050" s="175"/>
      <c r="Q2050" s="40">
        <f t="shared" si="295"/>
        <v>12225</v>
      </c>
      <c r="R2050" s="40">
        <f t="shared" si="296"/>
        <v>4161</v>
      </c>
      <c r="S2050" s="244">
        <f t="shared" si="293"/>
        <v>34.036809815950917</v>
      </c>
    </row>
    <row r="2051" spans="1:19" x14ac:dyDescent="0.2">
      <c r="B2051" s="67">
        <f t="shared" si="291"/>
        <v>123</v>
      </c>
      <c r="C2051" s="11"/>
      <c r="D2051" s="11"/>
      <c r="E2051" s="11"/>
      <c r="F2051" s="45" t="s">
        <v>76</v>
      </c>
      <c r="G2051" s="11">
        <v>610</v>
      </c>
      <c r="H2051" s="11" t="s">
        <v>135</v>
      </c>
      <c r="I2051" s="42">
        <v>6705</v>
      </c>
      <c r="J2051" s="42">
        <v>2181</v>
      </c>
      <c r="K2051" s="225">
        <f t="shared" si="292"/>
        <v>32.527964205816559</v>
      </c>
      <c r="L2051" s="114"/>
      <c r="M2051" s="42"/>
      <c r="N2051" s="42"/>
      <c r="O2051" s="225"/>
      <c r="P2051" s="114"/>
      <c r="Q2051" s="42">
        <f t="shared" si="295"/>
        <v>6705</v>
      </c>
      <c r="R2051" s="42">
        <f t="shared" si="296"/>
        <v>2181</v>
      </c>
      <c r="S2051" s="244">
        <f t="shared" si="293"/>
        <v>32.527964205816559</v>
      </c>
    </row>
    <row r="2052" spans="1:19" x14ac:dyDescent="0.2">
      <c r="B2052" s="67">
        <f t="shared" si="291"/>
        <v>124</v>
      </c>
      <c r="C2052" s="11"/>
      <c r="D2052" s="11"/>
      <c r="E2052" s="11"/>
      <c r="F2052" s="45" t="s">
        <v>76</v>
      </c>
      <c r="G2052" s="11">
        <v>620</v>
      </c>
      <c r="H2052" s="11" t="s">
        <v>130</v>
      </c>
      <c r="I2052" s="42">
        <v>2350</v>
      </c>
      <c r="J2052" s="42">
        <v>685</v>
      </c>
      <c r="K2052" s="225">
        <f t="shared" si="292"/>
        <v>29.148936170212764</v>
      </c>
      <c r="L2052" s="114"/>
      <c r="M2052" s="42"/>
      <c r="N2052" s="42"/>
      <c r="O2052" s="225"/>
      <c r="P2052" s="114"/>
      <c r="Q2052" s="42">
        <f t="shared" si="295"/>
        <v>2350</v>
      </c>
      <c r="R2052" s="42">
        <f t="shared" si="296"/>
        <v>685</v>
      </c>
      <c r="S2052" s="244">
        <f t="shared" si="293"/>
        <v>29.148936170212764</v>
      </c>
    </row>
    <row r="2053" spans="1:19" x14ac:dyDescent="0.2">
      <c r="B2053" s="67">
        <f t="shared" si="291"/>
        <v>125</v>
      </c>
      <c r="C2053" s="11"/>
      <c r="D2053" s="11"/>
      <c r="E2053" s="11"/>
      <c r="F2053" s="45" t="s">
        <v>76</v>
      </c>
      <c r="G2053" s="11">
        <v>630</v>
      </c>
      <c r="H2053" s="11" t="s">
        <v>127</v>
      </c>
      <c r="I2053" s="42">
        <f>I2056+I2055+I2054</f>
        <v>3140</v>
      </c>
      <c r="J2053" s="42">
        <f>J2056+J2055+J2054</f>
        <v>1295</v>
      </c>
      <c r="K2053" s="225">
        <f t="shared" si="292"/>
        <v>41.242038216560509</v>
      </c>
      <c r="L2053" s="114"/>
      <c r="M2053" s="42">
        <v>0</v>
      </c>
      <c r="N2053" s="42"/>
      <c r="O2053" s="225"/>
      <c r="P2053" s="114"/>
      <c r="Q2053" s="42">
        <f t="shared" si="295"/>
        <v>3140</v>
      </c>
      <c r="R2053" s="42">
        <f t="shared" si="296"/>
        <v>1295</v>
      </c>
      <c r="S2053" s="244">
        <f t="shared" si="293"/>
        <v>41.242038216560509</v>
      </c>
    </row>
    <row r="2054" spans="1:19" x14ac:dyDescent="0.2">
      <c r="B2054" s="67">
        <f t="shared" si="291"/>
        <v>126</v>
      </c>
      <c r="C2054" s="2"/>
      <c r="D2054" s="2"/>
      <c r="E2054" s="2"/>
      <c r="F2054" s="46" t="s">
        <v>76</v>
      </c>
      <c r="G2054" s="2">
        <v>632</v>
      </c>
      <c r="H2054" s="2" t="s">
        <v>138</v>
      </c>
      <c r="I2054" s="22">
        <v>70</v>
      </c>
      <c r="J2054" s="22">
        <v>12</v>
      </c>
      <c r="K2054" s="225">
        <f t="shared" si="292"/>
        <v>17.142857142857142</v>
      </c>
      <c r="L2054" s="68"/>
      <c r="M2054" s="22"/>
      <c r="N2054" s="22"/>
      <c r="O2054" s="225"/>
      <c r="P2054" s="68"/>
      <c r="Q2054" s="22">
        <f t="shared" si="295"/>
        <v>70</v>
      </c>
      <c r="R2054" s="22">
        <f t="shared" si="296"/>
        <v>12</v>
      </c>
      <c r="S2054" s="244">
        <f t="shared" si="293"/>
        <v>17.142857142857142</v>
      </c>
    </row>
    <row r="2055" spans="1:19" x14ac:dyDescent="0.2">
      <c r="B2055" s="67">
        <f t="shared" si="291"/>
        <v>127</v>
      </c>
      <c r="C2055" s="2"/>
      <c r="D2055" s="2"/>
      <c r="E2055" s="2"/>
      <c r="F2055" s="46" t="s">
        <v>76</v>
      </c>
      <c r="G2055" s="2">
        <v>634</v>
      </c>
      <c r="H2055" s="2" t="s">
        <v>136</v>
      </c>
      <c r="I2055" s="22">
        <v>2400</v>
      </c>
      <c r="J2055" s="22">
        <v>1019</v>
      </c>
      <c r="K2055" s="225">
        <f t="shared" si="292"/>
        <v>42.458333333333329</v>
      </c>
      <c r="L2055" s="68"/>
      <c r="M2055" s="22"/>
      <c r="N2055" s="22"/>
      <c r="O2055" s="225"/>
      <c r="P2055" s="68"/>
      <c r="Q2055" s="22">
        <f t="shared" si="295"/>
        <v>2400</v>
      </c>
      <c r="R2055" s="22">
        <f t="shared" si="296"/>
        <v>1019</v>
      </c>
      <c r="S2055" s="244">
        <f t="shared" si="293"/>
        <v>42.458333333333329</v>
      </c>
    </row>
    <row r="2056" spans="1:19" x14ac:dyDescent="0.2">
      <c r="B2056" s="67">
        <f t="shared" ref="B2056:B2069" si="297">B2055+1</f>
        <v>128</v>
      </c>
      <c r="C2056" s="2"/>
      <c r="D2056" s="2"/>
      <c r="E2056" s="2"/>
      <c r="F2056" s="46" t="s">
        <v>76</v>
      </c>
      <c r="G2056" s="2">
        <v>637</v>
      </c>
      <c r="H2056" s="2" t="s">
        <v>128</v>
      </c>
      <c r="I2056" s="22">
        <v>670</v>
      </c>
      <c r="J2056" s="22">
        <v>264</v>
      </c>
      <c r="K2056" s="225">
        <f t="shared" ref="K2056:K2069" si="298">J2056/I2056*100</f>
        <v>39.402985074626869</v>
      </c>
      <c r="L2056" s="68"/>
      <c r="M2056" s="22"/>
      <c r="N2056" s="22"/>
      <c r="O2056" s="225"/>
      <c r="P2056" s="68"/>
      <c r="Q2056" s="22">
        <f t="shared" si="295"/>
        <v>670</v>
      </c>
      <c r="R2056" s="22">
        <f t="shared" si="296"/>
        <v>264</v>
      </c>
      <c r="S2056" s="244">
        <f t="shared" ref="S2056:S2069" si="299">R2056/Q2056*100</f>
        <v>39.402985074626869</v>
      </c>
    </row>
    <row r="2057" spans="1:19" x14ac:dyDescent="0.2">
      <c r="B2057" s="67">
        <f t="shared" si="297"/>
        <v>129</v>
      </c>
      <c r="C2057" s="11"/>
      <c r="D2057" s="11"/>
      <c r="E2057" s="11"/>
      <c r="F2057" s="45" t="s">
        <v>76</v>
      </c>
      <c r="G2057" s="11">
        <v>640</v>
      </c>
      <c r="H2057" s="11" t="s">
        <v>134</v>
      </c>
      <c r="I2057" s="42">
        <v>30</v>
      </c>
      <c r="J2057" s="42">
        <v>0</v>
      </c>
      <c r="K2057" s="225">
        <f t="shared" si="298"/>
        <v>0</v>
      </c>
      <c r="L2057" s="114"/>
      <c r="M2057" s="42"/>
      <c r="N2057" s="42"/>
      <c r="O2057" s="225"/>
      <c r="P2057" s="114"/>
      <c r="Q2057" s="42">
        <f t="shared" si="295"/>
        <v>30</v>
      </c>
      <c r="R2057" s="42">
        <f t="shared" si="296"/>
        <v>0</v>
      </c>
      <c r="S2057" s="244">
        <f t="shared" si="299"/>
        <v>0</v>
      </c>
    </row>
    <row r="2058" spans="1:19" ht="15" x14ac:dyDescent="0.2">
      <c r="B2058" s="67">
        <f t="shared" si="297"/>
        <v>130</v>
      </c>
      <c r="C2058" s="166">
        <v>11</v>
      </c>
      <c r="D2058" s="325" t="s">
        <v>70</v>
      </c>
      <c r="E2058" s="326"/>
      <c r="F2058" s="326"/>
      <c r="G2058" s="326"/>
      <c r="H2058" s="327"/>
      <c r="I2058" s="38">
        <f>I2059</f>
        <v>149063</v>
      </c>
      <c r="J2058" s="38">
        <f>J2059</f>
        <v>75151</v>
      </c>
      <c r="K2058" s="225">
        <f t="shared" si="298"/>
        <v>50.415596090243717</v>
      </c>
      <c r="L2058" s="173"/>
      <c r="M2058" s="38">
        <f>M2059</f>
        <v>0</v>
      </c>
      <c r="N2058" s="38">
        <f>N2059</f>
        <v>0</v>
      </c>
      <c r="O2058" s="225"/>
      <c r="P2058" s="173"/>
      <c r="Q2058" s="38">
        <f t="shared" si="295"/>
        <v>149063</v>
      </c>
      <c r="R2058" s="38">
        <f t="shared" si="296"/>
        <v>75151</v>
      </c>
      <c r="S2058" s="244">
        <f t="shared" si="299"/>
        <v>50.415596090243717</v>
      </c>
    </row>
    <row r="2059" spans="1:19" s="63" customFormat="1" ht="15" x14ac:dyDescent="0.25">
      <c r="A2059" s="59"/>
      <c r="B2059" s="67">
        <f t="shared" si="297"/>
        <v>131</v>
      </c>
      <c r="C2059" s="14"/>
      <c r="D2059" s="14"/>
      <c r="E2059" s="14">
        <v>5</v>
      </c>
      <c r="F2059" s="43"/>
      <c r="G2059" s="14"/>
      <c r="H2059" s="14" t="s">
        <v>264</v>
      </c>
      <c r="I2059" s="40">
        <f>I2060+I2061+I2062</f>
        <v>149063</v>
      </c>
      <c r="J2059" s="40">
        <f>J2060+J2061+J2062</f>
        <v>75151</v>
      </c>
      <c r="K2059" s="225">
        <f t="shared" si="298"/>
        <v>50.415596090243717</v>
      </c>
      <c r="L2059" s="175"/>
      <c r="M2059" s="40">
        <v>0</v>
      </c>
      <c r="N2059" s="40"/>
      <c r="O2059" s="225"/>
      <c r="P2059" s="175"/>
      <c r="Q2059" s="40">
        <f t="shared" si="295"/>
        <v>149063</v>
      </c>
      <c r="R2059" s="40">
        <f t="shared" si="296"/>
        <v>75151</v>
      </c>
      <c r="S2059" s="244">
        <f t="shared" si="299"/>
        <v>50.415596090243717</v>
      </c>
    </row>
    <row r="2060" spans="1:19" s="63" customFormat="1" x14ac:dyDescent="0.2">
      <c r="A2060" s="59"/>
      <c r="B2060" s="67">
        <f t="shared" si="297"/>
        <v>132</v>
      </c>
      <c r="C2060" s="11"/>
      <c r="D2060" s="11"/>
      <c r="E2060" s="11"/>
      <c r="F2060" s="45" t="s">
        <v>250</v>
      </c>
      <c r="G2060" s="11">
        <v>610</v>
      </c>
      <c r="H2060" s="11" t="s">
        <v>135</v>
      </c>
      <c r="I2060" s="42">
        <v>79485</v>
      </c>
      <c r="J2060" s="42">
        <v>42656</v>
      </c>
      <c r="K2060" s="225">
        <f t="shared" si="298"/>
        <v>53.665471472604899</v>
      </c>
      <c r="L2060" s="114"/>
      <c r="M2060" s="42"/>
      <c r="N2060" s="42"/>
      <c r="O2060" s="225"/>
      <c r="P2060" s="114"/>
      <c r="Q2060" s="42">
        <f t="shared" si="295"/>
        <v>79485</v>
      </c>
      <c r="R2060" s="42">
        <f t="shared" si="296"/>
        <v>42656</v>
      </c>
      <c r="S2060" s="244">
        <f t="shared" si="299"/>
        <v>53.665471472604899</v>
      </c>
    </row>
    <row r="2061" spans="1:19" s="63" customFormat="1" x14ac:dyDescent="0.2">
      <c r="A2061" s="59"/>
      <c r="B2061" s="67">
        <f t="shared" si="297"/>
        <v>133</v>
      </c>
      <c r="C2061" s="11"/>
      <c r="D2061" s="11"/>
      <c r="E2061" s="11"/>
      <c r="F2061" s="45" t="s">
        <v>250</v>
      </c>
      <c r="G2061" s="11">
        <v>620</v>
      </c>
      <c r="H2061" s="11" t="s">
        <v>130</v>
      </c>
      <c r="I2061" s="42">
        <v>27820</v>
      </c>
      <c r="J2061" s="42">
        <v>17945</v>
      </c>
      <c r="K2061" s="225">
        <f t="shared" si="298"/>
        <v>64.503953989935297</v>
      </c>
      <c r="L2061" s="114"/>
      <c r="M2061" s="42"/>
      <c r="N2061" s="42"/>
      <c r="O2061" s="225"/>
      <c r="P2061" s="114"/>
      <c r="Q2061" s="42">
        <f t="shared" si="295"/>
        <v>27820</v>
      </c>
      <c r="R2061" s="42">
        <f t="shared" si="296"/>
        <v>17945</v>
      </c>
      <c r="S2061" s="244">
        <f t="shared" si="299"/>
        <v>64.503953989935297</v>
      </c>
    </row>
    <row r="2062" spans="1:19" s="63" customFormat="1" x14ac:dyDescent="0.2">
      <c r="A2062" s="59"/>
      <c r="B2062" s="67">
        <f t="shared" si="297"/>
        <v>134</v>
      </c>
      <c r="C2062" s="11"/>
      <c r="D2062" s="11"/>
      <c r="E2062" s="11"/>
      <c r="F2062" s="45" t="s">
        <v>250</v>
      </c>
      <c r="G2062" s="11">
        <v>630</v>
      </c>
      <c r="H2062" s="11" t="s">
        <v>127</v>
      </c>
      <c r="I2062" s="42">
        <f>I2068+I2067+I2066+I2065+I2064+I2063+I2069</f>
        <v>41758</v>
      </c>
      <c r="J2062" s="42">
        <f>J2068+J2067+J2066+J2065+J2064+J2063+J2069</f>
        <v>14550</v>
      </c>
      <c r="K2062" s="225">
        <f t="shared" si="298"/>
        <v>34.843622778868721</v>
      </c>
      <c r="L2062" s="114"/>
      <c r="M2062" s="42">
        <f>M2068+M2067+M2066+M2065+M2064+M2063</f>
        <v>0</v>
      </c>
      <c r="N2062" s="42">
        <f>N2068+N2067+N2066+N2065+N2064+N2063</f>
        <v>0</v>
      </c>
      <c r="O2062" s="225"/>
      <c r="P2062" s="114"/>
      <c r="Q2062" s="42">
        <f t="shared" si="295"/>
        <v>41758</v>
      </c>
      <c r="R2062" s="42">
        <f t="shared" si="296"/>
        <v>14550</v>
      </c>
      <c r="S2062" s="244">
        <f t="shared" si="299"/>
        <v>34.843622778868721</v>
      </c>
    </row>
    <row r="2063" spans="1:19" s="63" customFormat="1" x14ac:dyDescent="0.2">
      <c r="A2063" s="59"/>
      <c r="B2063" s="67">
        <f t="shared" si="297"/>
        <v>135</v>
      </c>
      <c r="C2063" s="2"/>
      <c r="D2063" s="2"/>
      <c r="E2063" s="2"/>
      <c r="F2063" s="46" t="s">
        <v>250</v>
      </c>
      <c r="G2063" s="2">
        <v>631</v>
      </c>
      <c r="H2063" s="2" t="s">
        <v>133</v>
      </c>
      <c r="I2063" s="22">
        <v>300</v>
      </c>
      <c r="J2063" s="22">
        <v>23</v>
      </c>
      <c r="K2063" s="225">
        <f t="shared" si="298"/>
        <v>7.6666666666666661</v>
      </c>
      <c r="L2063" s="68"/>
      <c r="M2063" s="22"/>
      <c r="N2063" s="22"/>
      <c r="O2063" s="225"/>
      <c r="P2063" s="68"/>
      <c r="Q2063" s="22">
        <f t="shared" si="295"/>
        <v>300</v>
      </c>
      <c r="R2063" s="22">
        <f t="shared" si="296"/>
        <v>23</v>
      </c>
      <c r="S2063" s="244">
        <f t="shared" si="299"/>
        <v>7.6666666666666661</v>
      </c>
    </row>
    <row r="2064" spans="1:19" s="63" customFormat="1" x14ac:dyDescent="0.2">
      <c r="A2064" s="59"/>
      <c r="B2064" s="67">
        <f t="shared" si="297"/>
        <v>136</v>
      </c>
      <c r="C2064" s="2"/>
      <c r="D2064" s="2"/>
      <c r="E2064" s="2"/>
      <c r="F2064" s="46" t="s">
        <v>250</v>
      </c>
      <c r="G2064" s="2">
        <v>632</v>
      </c>
      <c r="H2064" s="2" t="s">
        <v>138</v>
      </c>
      <c r="I2064" s="22">
        <v>2300</v>
      </c>
      <c r="J2064" s="22">
        <v>1020</v>
      </c>
      <c r="K2064" s="225">
        <f t="shared" si="298"/>
        <v>44.347826086956523</v>
      </c>
      <c r="L2064" s="68"/>
      <c r="M2064" s="22"/>
      <c r="N2064" s="22"/>
      <c r="O2064" s="225"/>
      <c r="P2064" s="68"/>
      <c r="Q2064" s="22">
        <f t="shared" si="295"/>
        <v>2300</v>
      </c>
      <c r="R2064" s="22">
        <f t="shared" si="296"/>
        <v>1020</v>
      </c>
      <c r="S2064" s="244">
        <f t="shared" si="299"/>
        <v>44.347826086956523</v>
      </c>
    </row>
    <row r="2065" spans="1:19" s="63" customFormat="1" x14ac:dyDescent="0.2">
      <c r="A2065" s="59"/>
      <c r="B2065" s="67">
        <f t="shared" si="297"/>
        <v>137</v>
      </c>
      <c r="C2065" s="2"/>
      <c r="D2065" s="2"/>
      <c r="E2065" s="2"/>
      <c r="F2065" s="46" t="s">
        <v>250</v>
      </c>
      <c r="G2065" s="2">
        <v>633</v>
      </c>
      <c r="H2065" s="2" t="s">
        <v>131</v>
      </c>
      <c r="I2065" s="22">
        <v>3160</v>
      </c>
      <c r="J2065" s="22">
        <v>2214</v>
      </c>
      <c r="K2065" s="225">
        <f t="shared" si="298"/>
        <v>70.063291139240505</v>
      </c>
      <c r="L2065" s="68"/>
      <c r="M2065" s="22"/>
      <c r="N2065" s="22"/>
      <c r="O2065" s="225"/>
      <c r="P2065" s="68"/>
      <c r="Q2065" s="22">
        <f t="shared" si="295"/>
        <v>3160</v>
      </c>
      <c r="R2065" s="22">
        <f t="shared" si="296"/>
        <v>2214</v>
      </c>
      <c r="S2065" s="244">
        <f t="shared" si="299"/>
        <v>70.063291139240505</v>
      </c>
    </row>
    <row r="2066" spans="1:19" s="63" customFormat="1" x14ac:dyDescent="0.2">
      <c r="A2066" s="59"/>
      <c r="B2066" s="67">
        <f t="shared" si="297"/>
        <v>138</v>
      </c>
      <c r="C2066" s="2"/>
      <c r="D2066" s="2"/>
      <c r="E2066" s="2"/>
      <c r="F2066" s="46" t="s">
        <v>250</v>
      </c>
      <c r="G2066" s="2">
        <v>634</v>
      </c>
      <c r="H2066" s="2" t="s">
        <v>136</v>
      </c>
      <c r="I2066" s="22">
        <f>543+145</f>
        <v>688</v>
      </c>
      <c r="J2066" s="22">
        <v>594</v>
      </c>
      <c r="K2066" s="225">
        <f t="shared" si="298"/>
        <v>86.337209302325576</v>
      </c>
      <c r="L2066" s="68"/>
      <c r="M2066" s="22"/>
      <c r="N2066" s="22"/>
      <c r="O2066" s="225"/>
      <c r="P2066" s="68"/>
      <c r="Q2066" s="22">
        <f t="shared" si="295"/>
        <v>688</v>
      </c>
      <c r="R2066" s="22">
        <f t="shared" si="296"/>
        <v>594</v>
      </c>
      <c r="S2066" s="244">
        <f t="shared" si="299"/>
        <v>86.337209302325576</v>
      </c>
    </row>
    <row r="2067" spans="1:19" s="63" customFormat="1" x14ac:dyDescent="0.2">
      <c r="A2067" s="59"/>
      <c r="B2067" s="67">
        <f t="shared" si="297"/>
        <v>139</v>
      </c>
      <c r="C2067" s="2"/>
      <c r="D2067" s="2"/>
      <c r="E2067" s="2"/>
      <c r="F2067" s="46" t="s">
        <v>250</v>
      </c>
      <c r="G2067" s="2">
        <v>635</v>
      </c>
      <c r="H2067" s="2" t="s">
        <v>137</v>
      </c>
      <c r="I2067" s="22">
        <v>1600</v>
      </c>
      <c r="J2067" s="22">
        <v>203</v>
      </c>
      <c r="K2067" s="225">
        <f t="shared" si="298"/>
        <v>12.687499999999998</v>
      </c>
      <c r="L2067" s="68"/>
      <c r="M2067" s="22"/>
      <c r="N2067" s="22"/>
      <c r="O2067" s="225"/>
      <c r="P2067" s="68"/>
      <c r="Q2067" s="22">
        <f t="shared" si="295"/>
        <v>1600</v>
      </c>
      <c r="R2067" s="22">
        <f t="shared" si="296"/>
        <v>203</v>
      </c>
      <c r="S2067" s="244">
        <f t="shared" si="299"/>
        <v>12.687499999999998</v>
      </c>
    </row>
    <row r="2068" spans="1:19" s="63" customFormat="1" x14ac:dyDescent="0.2">
      <c r="A2068" s="59"/>
      <c r="B2068" s="67">
        <f t="shared" si="297"/>
        <v>140</v>
      </c>
      <c r="C2068" s="2"/>
      <c r="D2068" s="2"/>
      <c r="E2068" s="2"/>
      <c r="F2068" s="46" t="s">
        <v>250</v>
      </c>
      <c r="G2068" s="2">
        <v>637</v>
      </c>
      <c r="H2068" s="2" t="s">
        <v>128</v>
      </c>
      <c r="I2068" s="22">
        <v>20172</v>
      </c>
      <c r="J2068" s="22">
        <v>10496</v>
      </c>
      <c r="K2068" s="225">
        <f t="shared" si="298"/>
        <v>52.032520325203258</v>
      </c>
      <c r="L2068" s="68"/>
      <c r="M2068" s="22"/>
      <c r="N2068" s="22"/>
      <c r="O2068" s="225"/>
      <c r="P2068" s="68"/>
      <c r="Q2068" s="22">
        <f t="shared" si="295"/>
        <v>20172</v>
      </c>
      <c r="R2068" s="22">
        <f t="shared" si="296"/>
        <v>10496</v>
      </c>
      <c r="S2068" s="244">
        <f t="shared" si="299"/>
        <v>52.032520325203258</v>
      </c>
    </row>
    <row r="2069" spans="1:19" s="63" customFormat="1" x14ac:dyDescent="0.2">
      <c r="A2069" s="59"/>
      <c r="B2069" s="67">
        <f t="shared" si="297"/>
        <v>141</v>
      </c>
      <c r="C2069" s="2"/>
      <c r="D2069" s="2"/>
      <c r="E2069" s="2"/>
      <c r="F2069" s="46" t="s">
        <v>250</v>
      </c>
      <c r="G2069" s="2">
        <v>630</v>
      </c>
      <c r="H2069" s="2" t="s">
        <v>553</v>
      </c>
      <c r="I2069" s="22">
        <f>44697-21000-10159</f>
        <v>13538</v>
      </c>
      <c r="J2069" s="22"/>
      <c r="K2069" s="225">
        <f t="shared" si="298"/>
        <v>0</v>
      </c>
      <c r="L2069" s="68"/>
      <c r="M2069" s="22"/>
      <c r="N2069" s="22"/>
      <c r="O2069" s="225"/>
      <c r="P2069" s="68"/>
      <c r="Q2069" s="22">
        <f t="shared" si="295"/>
        <v>13538</v>
      </c>
      <c r="R2069" s="22">
        <f t="shared" si="296"/>
        <v>0</v>
      </c>
      <c r="S2069" s="244">
        <f t="shared" si="299"/>
        <v>0</v>
      </c>
    </row>
    <row r="2070" spans="1:19" s="63" customFormat="1" x14ac:dyDescent="0.2">
      <c r="A2070" s="59"/>
      <c r="K2070" s="179"/>
      <c r="L2070" s="179"/>
      <c r="O2070" s="179"/>
      <c r="P2070" s="179"/>
    </row>
    <row r="2071" spans="1:19" s="63" customFormat="1" x14ac:dyDescent="0.2">
      <c r="A2071" s="59"/>
      <c r="K2071" s="179"/>
      <c r="L2071" s="179"/>
      <c r="O2071" s="179"/>
      <c r="P2071" s="179"/>
    </row>
    <row r="2072" spans="1:19" s="63" customFormat="1" x14ac:dyDescent="0.2">
      <c r="A2072" s="59"/>
      <c r="K2072" s="179"/>
      <c r="L2072" s="179"/>
      <c r="O2072" s="179"/>
      <c r="P2072" s="179"/>
    </row>
    <row r="2073" spans="1:19" s="63" customFormat="1" x14ac:dyDescent="0.2">
      <c r="A2073" s="59"/>
      <c r="K2073" s="179"/>
      <c r="L2073" s="179"/>
      <c r="O2073" s="179"/>
      <c r="P2073" s="179"/>
    </row>
    <row r="2074" spans="1:19" s="63" customFormat="1" x14ac:dyDescent="0.2">
      <c r="A2074" s="59"/>
      <c r="K2074" s="179"/>
      <c r="L2074" s="179"/>
      <c r="O2074" s="179"/>
      <c r="P2074" s="179"/>
    </row>
    <row r="2075" spans="1:19" s="63" customFormat="1" x14ac:dyDescent="0.2">
      <c r="A2075" s="59"/>
      <c r="K2075" s="179"/>
      <c r="L2075" s="179"/>
      <c r="O2075" s="179"/>
      <c r="P2075" s="179"/>
    </row>
    <row r="2076" spans="1:19" s="63" customFormat="1" x14ac:dyDescent="0.2">
      <c r="A2076" s="59"/>
      <c r="K2076" s="179"/>
      <c r="L2076" s="179"/>
      <c r="O2076" s="179"/>
      <c r="P2076" s="179"/>
    </row>
    <row r="2077" spans="1:19" s="63" customFormat="1" x14ac:dyDescent="0.2">
      <c r="A2077" s="59"/>
      <c r="K2077" s="179"/>
      <c r="L2077" s="179"/>
      <c r="O2077" s="179"/>
      <c r="P2077" s="179"/>
    </row>
    <row r="2078" spans="1:19" s="63" customFormat="1" x14ac:dyDescent="0.2">
      <c r="A2078" s="59"/>
      <c r="K2078" s="179"/>
      <c r="L2078" s="179"/>
      <c r="O2078" s="179"/>
      <c r="P2078" s="179"/>
    </row>
    <row r="2079" spans="1:19" s="63" customFormat="1" x14ac:dyDescent="0.2">
      <c r="A2079" s="59"/>
      <c r="K2079" s="179"/>
      <c r="L2079" s="179"/>
      <c r="O2079" s="179"/>
      <c r="P2079" s="179"/>
    </row>
    <row r="2080" spans="1:19" s="63" customFormat="1" x14ac:dyDescent="0.2">
      <c r="A2080" s="59"/>
      <c r="K2080" s="179"/>
      <c r="L2080" s="179"/>
      <c r="O2080" s="179"/>
      <c r="P2080" s="179"/>
    </row>
    <row r="2081" spans="1:16" s="63" customFormat="1" x14ac:dyDescent="0.2">
      <c r="A2081" s="59"/>
      <c r="K2081" s="179"/>
      <c r="L2081" s="179"/>
      <c r="O2081" s="179"/>
      <c r="P2081" s="179"/>
    </row>
    <row r="2082" spans="1:16" s="63" customFormat="1" x14ac:dyDescent="0.2">
      <c r="A2082" s="59"/>
      <c r="K2082" s="179"/>
      <c r="L2082" s="179"/>
      <c r="O2082" s="179"/>
      <c r="P2082" s="179"/>
    </row>
    <row r="2083" spans="1:16" s="63" customFormat="1" x14ac:dyDescent="0.2">
      <c r="A2083" s="59"/>
      <c r="K2083" s="179"/>
      <c r="L2083" s="179"/>
      <c r="O2083" s="179"/>
      <c r="P2083" s="179"/>
    </row>
    <row r="2084" spans="1:16" s="63" customFormat="1" x14ac:dyDescent="0.2">
      <c r="A2084" s="59"/>
      <c r="K2084" s="179"/>
      <c r="L2084" s="179"/>
      <c r="O2084" s="179"/>
      <c r="P2084" s="179"/>
    </row>
    <row r="2085" spans="1:16" s="63" customFormat="1" x14ac:dyDescent="0.2">
      <c r="A2085" s="59"/>
      <c r="K2085" s="179"/>
      <c r="L2085" s="179"/>
      <c r="O2085" s="179"/>
      <c r="P2085" s="179"/>
    </row>
    <row r="2086" spans="1:16" s="63" customFormat="1" x14ac:dyDescent="0.2">
      <c r="A2086" s="59"/>
      <c r="K2086" s="179"/>
      <c r="L2086" s="179"/>
      <c r="O2086" s="179"/>
      <c r="P2086" s="179"/>
    </row>
    <row r="2087" spans="1:16" s="63" customFormat="1" x14ac:dyDescent="0.2">
      <c r="A2087" s="59"/>
      <c r="K2087" s="179"/>
      <c r="L2087" s="179"/>
      <c r="O2087" s="179"/>
      <c r="P2087" s="179"/>
    </row>
    <row r="2088" spans="1:16" s="63" customFormat="1" x14ac:dyDescent="0.2">
      <c r="A2088" s="59"/>
      <c r="K2088" s="179"/>
      <c r="L2088" s="179"/>
      <c r="O2088" s="179"/>
      <c r="P2088" s="179"/>
    </row>
    <row r="2089" spans="1:16" s="63" customFormat="1" x14ac:dyDescent="0.2">
      <c r="A2089" s="59"/>
      <c r="K2089" s="179"/>
      <c r="L2089" s="179"/>
      <c r="O2089" s="179"/>
      <c r="P2089" s="179"/>
    </row>
    <row r="2090" spans="1:16" s="63" customFormat="1" x14ac:dyDescent="0.2">
      <c r="A2090" s="59"/>
      <c r="K2090" s="179"/>
      <c r="L2090" s="179"/>
      <c r="O2090" s="179"/>
      <c r="P2090" s="179"/>
    </row>
    <row r="2091" spans="1:16" s="63" customFormat="1" x14ac:dyDescent="0.2">
      <c r="A2091" s="59"/>
      <c r="K2091" s="179"/>
      <c r="L2091" s="179"/>
      <c r="O2091" s="179"/>
      <c r="P2091" s="179"/>
    </row>
    <row r="2092" spans="1:16" s="63" customFormat="1" x14ac:dyDescent="0.2">
      <c r="A2092" s="59"/>
      <c r="K2092" s="179"/>
      <c r="L2092" s="179"/>
      <c r="O2092" s="179"/>
      <c r="P2092" s="179"/>
    </row>
    <row r="2093" spans="1:16" s="63" customFormat="1" x14ac:dyDescent="0.2">
      <c r="A2093" s="59"/>
      <c r="K2093" s="179"/>
      <c r="L2093" s="179"/>
      <c r="O2093" s="179"/>
      <c r="P2093" s="179"/>
    </row>
    <row r="2094" spans="1:16" s="63" customFormat="1" x14ac:dyDescent="0.2">
      <c r="A2094" s="59"/>
      <c r="K2094" s="179"/>
      <c r="L2094" s="179"/>
      <c r="O2094" s="179"/>
      <c r="P2094" s="179"/>
    </row>
    <row r="2095" spans="1:16" s="63" customFormat="1" x14ac:dyDescent="0.2">
      <c r="A2095" s="59"/>
      <c r="K2095" s="179"/>
      <c r="L2095" s="179"/>
      <c r="O2095" s="179"/>
      <c r="P2095" s="179"/>
    </row>
    <row r="2096" spans="1:16" s="63" customFormat="1" x14ac:dyDescent="0.2">
      <c r="A2096" s="59"/>
      <c r="K2096" s="179"/>
      <c r="L2096" s="179"/>
      <c r="O2096" s="179"/>
      <c r="P2096" s="179"/>
    </row>
    <row r="2097" spans="1:19" s="63" customFormat="1" x14ac:dyDescent="0.2">
      <c r="A2097" s="59"/>
      <c r="K2097" s="179"/>
      <c r="L2097" s="179"/>
      <c r="O2097" s="179"/>
      <c r="P2097" s="179"/>
    </row>
    <row r="2098" spans="1:19" s="63" customFormat="1" x14ac:dyDescent="0.2">
      <c r="A2098" s="59"/>
      <c r="K2098" s="179"/>
      <c r="L2098" s="179"/>
      <c r="O2098" s="179"/>
      <c r="P2098" s="179"/>
    </row>
    <row r="2099" spans="1:19" s="63" customFormat="1" x14ac:dyDescent="0.2">
      <c r="A2099" s="59"/>
      <c r="K2099" s="179"/>
      <c r="L2099" s="179"/>
      <c r="O2099" s="179"/>
      <c r="P2099" s="179"/>
    </row>
    <row r="2100" spans="1:19" s="63" customFormat="1" x14ac:dyDescent="0.2">
      <c r="A2100" s="59"/>
      <c r="K2100" s="179"/>
      <c r="L2100" s="179"/>
      <c r="O2100" s="179"/>
      <c r="P2100" s="179"/>
    </row>
    <row r="2101" spans="1:19" s="63" customFormat="1" x14ac:dyDescent="0.2">
      <c r="A2101" s="59"/>
      <c r="K2101" s="179"/>
      <c r="L2101" s="179"/>
      <c r="O2101" s="179"/>
      <c r="P2101" s="179"/>
    </row>
    <row r="2102" spans="1:19" s="63" customFormat="1" x14ac:dyDescent="0.2">
      <c r="A2102" s="59"/>
      <c r="K2102" s="179"/>
      <c r="L2102" s="179"/>
      <c r="O2102" s="179"/>
      <c r="P2102" s="179"/>
    </row>
    <row r="2103" spans="1:19" s="63" customFormat="1" x14ac:dyDescent="0.2">
      <c r="A2103" s="59"/>
      <c r="K2103" s="179"/>
      <c r="L2103" s="179"/>
      <c r="O2103" s="179"/>
      <c r="P2103" s="179"/>
    </row>
    <row r="2104" spans="1:19" s="63" customFormat="1" x14ac:dyDescent="0.2">
      <c r="A2104" s="59"/>
      <c r="K2104" s="179"/>
      <c r="L2104" s="179"/>
      <c r="O2104" s="179"/>
      <c r="P2104" s="179"/>
    </row>
    <row r="2105" spans="1:19" s="63" customFormat="1" x14ac:dyDescent="0.2">
      <c r="A2105" s="59"/>
      <c r="K2105" s="179"/>
      <c r="L2105" s="179"/>
      <c r="O2105" s="179"/>
      <c r="P2105" s="179"/>
    </row>
    <row r="2106" spans="1:19" s="63" customFormat="1" x14ac:dyDescent="0.2">
      <c r="A2106" s="59"/>
      <c r="K2106" s="179"/>
      <c r="L2106" s="179"/>
      <c r="O2106" s="179"/>
      <c r="P2106" s="179"/>
    </row>
    <row r="2107" spans="1:19" s="63" customFormat="1" x14ac:dyDescent="0.2">
      <c r="A2107" s="59"/>
      <c r="K2107" s="179"/>
      <c r="L2107" s="179"/>
      <c r="O2107" s="179"/>
      <c r="P2107" s="179"/>
    </row>
    <row r="2108" spans="1:19" s="63" customFormat="1" x14ac:dyDescent="0.2">
      <c r="A2108" s="59"/>
      <c r="K2108" s="179"/>
      <c r="L2108" s="179"/>
      <c r="O2108" s="179"/>
      <c r="P2108" s="179"/>
    </row>
    <row r="2109" spans="1:19" s="63" customFormat="1" x14ac:dyDescent="0.2">
      <c r="A2109" s="59"/>
      <c r="K2109" s="179"/>
      <c r="L2109" s="179"/>
      <c r="O2109" s="179"/>
      <c r="P2109" s="179"/>
    </row>
    <row r="2110" spans="1:19" s="63" customFormat="1" ht="36.75" customHeight="1" x14ac:dyDescent="0.2">
      <c r="A2110" s="59"/>
      <c r="K2110" s="179"/>
      <c r="L2110" s="179"/>
      <c r="O2110" s="179"/>
      <c r="P2110" s="179"/>
    </row>
    <row r="2111" spans="1:19" ht="27" x14ac:dyDescent="0.35">
      <c r="B2111" s="306" t="s">
        <v>310</v>
      </c>
      <c r="C2111" s="307"/>
      <c r="D2111" s="307"/>
      <c r="E2111" s="307"/>
      <c r="F2111" s="307"/>
      <c r="G2111" s="307"/>
      <c r="H2111" s="307"/>
      <c r="I2111" s="307"/>
      <c r="J2111" s="307"/>
      <c r="K2111" s="307"/>
      <c r="L2111" s="307"/>
      <c r="M2111" s="307"/>
      <c r="N2111" s="307"/>
      <c r="O2111" s="307"/>
      <c r="P2111" s="307"/>
      <c r="Q2111" s="307"/>
    </row>
    <row r="2112" spans="1:19" ht="12.75" customHeight="1" x14ac:dyDescent="0.2">
      <c r="B2112" s="308" t="s">
        <v>279</v>
      </c>
      <c r="C2112" s="309"/>
      <c r="D2112" s="309"/>
      <c r="E2112" s="309"/>
      <c r="F2112" s="309"/>
      <c r="G2112" s="309"/>
      <c r="H2112" s="309"/>
      <c r="I2112" s="309"/>
      <c r="J2112" s="309"/>
      <c r="K2112" s="309"/>
      <c r="L2112" s="309"/>
      <c r="M2112" s="309"/>
      <c r="N2112" s="181"/>
      <c r="O2112" s="182"/>
      <c r="P2112" s="182"/>
      <c r="Q2112" s="310" t="s">
        <v>590</v>
      </c>
      <c r="R2112" s="310" t="s">
        <v>693</v>
      </c>
      <c r="S2112" s="337" t="s">
        <v>691</v>
      </c>
    </row>
    <row r="2113" spans="2:19" ht="12.75" customHeight="1" x14ac:dyDescent="0.2">
      <c r="B2113" s="313" t="s">
        <v>111</v>
      </c>
      <c r="C2113" s="315" t="s">
        <v>119</v>
      </c>
      <c r="D2113" s="315" t="s">
        <v>120</v>
      </c>
      <c r="E2113" s="317" t="s">
        <v>124</v>
      </c>
      <c r="F2113" s="315" t="s">
        <v>121</v>
      </c>
      <c r="G2113" s="315" t="s">
        <v>122</v>
      </c>
      <c r="H2113" s="320" t="s">
        <v>123</v>
      </c>
      <c r="I2113" s="310" t="s">
        <v>587</v>
      </c>
      <c r="J2113" s="310" t="s">
        <v>690</v>
      </c>
      <c r="K2113" s="337" t="s">
        <v>691</v>
      </c>
      <c r="L2113" s="169"/>
      <c r="M2113" s="310" t="s">
        <v>588</v>
      </c>
      <c r="N2113" s="311" t="s">
        <v>692</v>
      </c>
      <c r="O2113" s="337" t="s">
        <v>691</v>
      </c>
      <c r="P2113" s="170"/>
      <c r="Q2113" s="311"/>
      <c r="R2113" s="311"/>
      <c r="S2113" s="338"/>
    </row>
    <row r="2114" spans="2:19" x14ac:dyDescent="0.2">
      <c r="B2114" s="313"/>
      <c r="C2114" s="315"/>
      <c r="D2114" s="315"/>
      <c r="E2114" s="318"/>
      <c r="F2114" s="315"/>
      <c r="G2114" s="315"/>
      <c r="H2114" s="320"/>
      <c r="I2114" s="311"/>
      <c r="J2114" s="311"/>
      <c r="K2114" s="338"/>
      <c r="L2114" s="170"/>
      <c r="M2114" s="311"/>
      <c r="N2114" s="311"/>
      <c r="O2114" s="338"/>
      <c r="P2114" s="170"/>
      <c r="Q2114" s="311"/>
      <c r="R2114" s="311"/>
      <c r="S2114" s="338"/>
    </row>
    <row r="2115" spans="2:19" x14ac:dyDescent="0.2">
      <c r="B2115" s="313"/>
      <c r="C2115" s="315"/>
      <c r="D2115" s="315"/>
      <c r="E2115" s="318"/>
      <c r="F2115" s="315"/>
      <c r="G2115" s="315"/>
      <c r="H2115" s="320"/>
      <c r="I2115" s="311"/>
      <c r="J2115" s="311"/>
      <c r="K2115" s="338"/>
      <c r="L2115" s="170"/>
      <c r="M2115" s="311"/>
      <c r="N2115" s="311"/>
      <c r="O2115" s="338"/>
      <c r="P2115" s="170"/>
      <c r="Q2115" s="311"/>
      <c r="R2115" s="311"/>
      <c r="S2115" s="338"/>
    </row>
    <row r="2116" spans="2:19" ht="13.5" thickBot="1" x14ac:dyDescent="0.25">
      <c r="B2116" s="314"/>
      <c r="C2116" s="316"/>
      <c r="D2116" s="316"/>
      <c r="E2116" s="319"/>
      <c r="F2116" s="316"/>
      <c r="G2116" s="316"/>
      <c r="H2116" s="321"/>
      <c r="I2116" s="312"/>
      <c r="J2116" s="312"/>
      <c r="K2116" s="339"/>
      <c r="L2116" s="171"/>
      <c r="M2116" s="312"/>
      <c r="N2116" s="312"/>
      <c r="O2116" s="339"/>
      <c r="P2116" s="171"/>
      <c r="Q2116" s="312"/>
      <c r="R2116" s="312"/>
      <c r="S2116" s="339"/>
    </row>
    <row r="2117" spans="2:19" ht="16.5" thickTop="1" x14ac:dyDescent="0.2">
      <c r="B2117" s="67">
        <f t="shared" ref="B2117:B2130" si="300">B2116+1</f>
        <v>1</v>
      </c>
      <c r="C2117" s="322" t="s">
        <v>310</v>
      </c>
      <c r="D2117" s="323"/>
      <c r="E2117" s="323"/>
      <c r="F2117" s="323"/>
      <c r="G2117" s="323"/>
      <c r="H2117" s="324"/>
      <c r="I2117" s="37">
        <f>I2118</f>
        <v>158700</v>
      </c>
      <c r="J2117" s="37">
        <f>J2118</f>
        <v>65648</v>
      </c>
      <c r="K2117" s="225">
        <f t="shared" ref="K2117:K2131" si="301">J2117/I2117*100</f>
        <v>41.36609955891619</v>
      </c>
      <c r="L2117" s="172"/>
      <c r="M2117" s="37">
        <f>M2118</f>
        <v>0</v>
      </c>
      <c r="N2117" s="37">
        <f>N2118</f>
        <v>0</v>
      </c>
      <c r="O2117" s="172"/>
      <c r="P2117" s="172"/>
      <c r="Q2117" s="37">
        <f>I2117+M2117</f>
        <v>158700</v>
      </c>
      <c r="R2117" s="37">
        <f t="shared" ref="R2117" si="302">J2117+N2117</f>
        <v>65648</v>
      </c>
      <c r="S2117" s="244">
        <f t="shared" ref="S2117:S2130" si="303">R2117/Q2117*100</f>
        <v>41.36609955891619</v>
      </c>
    </row>
    <row r="2118" spans="2:19" ht="15" x14ac:dyDescent="0.2">
      <c r="B2118" s="67">
        <f t="shared" si="300"/>
        <v>2</v>
      </c>
      <c r="C2118" s="166">
        <v>1</v>
      </c>
      <c r="D2118" s="325" t="s">
        <v>160</v>
      </c>
      <c r="E2118" s="326"/>
      <c r="F2118" s="326"/>
      <c r="G2118" s="326"/>
      <c r="H2118" s="327"/>
      <c r="I2118" s="38">
        <f>I2124+I2119</f>
        <v>158700</v>
      </c>
      <c r="J2118" s="38">
        <f>J2124+J2119</f>
        <v>65648</v>
      </c>
      <c r="K2118" s="225">
        <f t="shared" si="301"/>
        <v>41.36609955891619</v>
      </c>
      <c r="L2118" s="173"/>
      <c r="M2118" s="38">
        <f>M2124+M2119</f>
        <v>0</v>
      </c>
      <c r="N2118" s="38">
        <f>N2124+N2119</f>
        <v>0</v>
      </c>
      <c r="O2118" s="173"/>
      <c r="P2118" s="173"/>
      <c r="Q2118" s="38">
        <f>Q2124+Q2119</f>
        <v>158700</v>
      </c>
      <c r="R2118" s="38">
        <f t="shared" ref="R2118" si="304">R2124+R2119</f>
        <v>65648</v>
      </c>
      <c r="S2118" s="244">
        <f t="shared" si="303"/>
        <v>41.36609955891619</v>
      </c>
    </row>
    <row r="2119" spans="2:19" ht="15" x14ac:dyDescent="0.25">
      <c r="B2119" s="67">
        <f t="shared" si="300"/>
        <v>3</v>
      </c>
      <c r="C2119" s="165"/>
      <c r="D2119" s="165">
        <v>1</v>
      </c>
      <c r="E2119" s="341" t="s">
        <v>159</v>
      </c>
      <c r="F2119" s="326"/>
      <c r="G2119" s="326"/>
      <c r="H2119" s="327"/>
      <c r="I2119" s="39">
        <f>I2120+I2122</f>
        <v>125000</v>
      </c>
      <c r="J2119" s="39">
        <f>J2120+J2122</f>
        <v>57130</v>
      </c>
      <c r="K2119" s="225">
        <f t="shared" si="301"/>
        <v>45.704000000000001</v>
      </c>
      <c r="L2119" s="174"/>
      <c r="M2119" s="39">
        <f>M2120+M2122</f>
        <v>0</v>
      </c>
      <c r="N2119" s="39">
        <f>N2120+N2122</f>
        <v>0</v>
      </c>
      <c r="O2119" s="174"/>
      <c r="P2119" s="174"/>
      <c r="Q2119" s="39">
        <f t="shared" ref="Q2119:Q2130" si="305">I2119+M2119</f>
        <v>125000</v>
      </c>
      <c r="R2119" s="39">
        <f t="shared" ref="R2119:R2130" si="306">J2119+N2119</f>
        <v>57130</v>
      </c>
      <c r="S2119" s="244">
        <f t="shared" si="303"/>
        <v>45.704000000000001</v>
      </c>
    </row>
    <row r="2120" spans="2:19" x14ac:dyDescent="0.2">
      <c r="B2120" s="67">
        <f t="shared" si="300"/>
        <v>4</v>
      </c>
      <c r="C2120" s="11"/>
      <c r="D2120" s="11"/>
      <c r="E2120" s="11"/>
      <c r="F2120" s="45" t="s">
        <v>158</v>
      </c>
      <c r="G2120" s="11">
        <v>630</v>
      </c>
      <c r="H2120" s="11" t="s">
        <v>127</v>
      </c>
      <c r="I2120" s="42">
        <f>I2121</f>
        <v>95000</v>
      </c>
      <c r="J2120" s="42">
        <f>J2121</f>
        <v>44791</v>
      </c>
      <c r="K2120" s="225">
        <f t="shared" si="301"/>
        <v>47.148421052631576</v>
      </c>
      <c r="L2120" s="114"/>
      <c r="M2120" s="42">
        <f>M2121</f>
        <v>0</v>
      </c>
      <c r="N2120" s="42">
        <f>N2121</f>
        <v>0</v>
      </c>
      <c r="O2120" s="114"/>
      <c r="P2120" s="114"/>
      <c r="Q2120" s="42">
        <f t="shared" si="305"/>
        <v>95000</v>
      </c>
      <c r="R2120" s="42">
        <f t="shared" si="306"/>
        <v>44791</v>
      </c>
      <c r="S2120" s="244">
        <f t="shared" si="303"/>
        <v>47.148421052631576</v>
      </c>
    </row>
    <row r="2121" spans="2:19" x14ac:dyDescent="0.2">
      <c r="B2121" s="67">
        <f t="shared" si="300"/>
        <v>5</v>
      </c>
      <c r="C2121" s="2"/>
      <c r="D2121" s="2"/>
      <c r="E2121" s="2"/>
      <c r="F2121" s="46" t="s">
        <v>158</v>
      </c>
      <c r="G2121" s="2">
        <v>637</v>
      </c>
      <c r="H2121" s="2" t="s">
        <v>128</v>
      </c>
      <c r="I2121" s="22">
        <v>95000</v>
      </c>
      <c r="J2121" s="22">
        <v>44791</v>
      </c>
      <c r="K2121" s="225">
        <f t="shared" si="301"/>
        <v>47.148421052631576</v>
      </c>
      <c r="L2121" s="68"/>
      <c r="M2121" s="22"/>
      <c r="N2121" s="22"/>
      <c r="O2121" s="68"/>
      <c r="P2121" s="68"/>
      <c r="Q2121" s="22">
        <f t="shared" si="305"/>
        <v>95000</v>
      </c>
      <c r="R2121" s="22">
        <f t="shared" si="306"/>
        <v>44791</v>
      </c>
      <c r="S2121" s="244">
        <f t="shared" si="303"/>
        <v>47.148421052631576</v>
      </c>
    </row>
    <row r="2122" spans="2:19" x14ac:dyDescent="0.2">
      <c r="B2122" s="67">
        <f t="shared" si="300"/>
        <v>6</v>
      </c>
      <c r="C2122" s="11"/>
      <c r="D2122" s="11"/>
      <c r="E2122" s="11"/>
      <c r="F2122" s="45" t="s">
        <v>158</v>
      </c>
      <c r="G2122" s="11">
        <v>640</v>
      </c>
      <c r="H2122" s="11" t="s">
        <v>134</v>
      </c>
      <c r="I2122" s="42">
        <v>30000</v>
      </c>
      <c r="J2122" s="42">
        <v>12339</v>
      </c>
      <c r="K2122" s="225">
        <f t="shared" si="301"/>
        <v>41.13</v>
      </c>
      <c r="L2122" s="114"/>
      <c r="M2122" s="42"/>
      <c r="N2122" s="42"/>
      <c r="O2122" s="114"/>
      <c r="P2122" s="114"/>
      <c r="Q2122" s="42">
        <f t="shared" si="305"/>
        <v>30000</v>
      </c>
      <c r="R2122" s="42">
        <f t="shared" si="306"/>
        <v>12339</v>
      </c>
      <c r="S2122" s="244">
        <f t="shared" si="303"/>
        <v>41.13</v>
      </c>
    </row>
    <row r="2123" spans="2:19" ht="15" x14ac:dyDescent="0.25">
      <c r="B2123" s="67">
        <f t="shared" si="300"/>
        <v>7</v>
      </c>
      <c r="C2123" s="165"/>
      <c r="D2123" s="165">
        <v>2</v>
      </c>
      <c r="E2123" s="341" t="s">
        <v>430</v>
      </c>
      <c r="F2123" s="326"/>
      <c r="G2123" s="326"/>
      <c r="H2123" s="327"/>
      <c r="I2123" s="39">
        <v>0</v>
      </c>
      <c r="J2123" s="39">
        <v>0</v>
      </c>
      <c r="K2123" s="225"/>
      <c r="L2123" s="174"/>
      <c r="M2123" s="39">
        <f>M2124+M2125+M2126+M2131</f>
        <v>0</v>
      </c>
      <c r="N2123" s="39">
        <f>N2124+N2125+N2126+N2131</f>
        <v>0</v>
      </c>
      <c r="O2123" s="174"/>
      <c r="P2123" s="174"/>
      <c r="Q2123" s="39">
        <f t="shared" si="305"/>
        <v>0</v>
      </c>
      <c r="R2123" s="39">
        <f t="shared" si="306"/>
        <v>0</v>
      </c>
      <c r="S2123" s="244"/>
    </row>
    <row r="2124" spans="2:19" ht="15" x14ac:dyDescent="0.25">
      <c r="B2124" s="67">
        <f t="shared" si="300"/>
        <v>8</v>
      </c>
      <c r="C2124" s="165"/>
      <c r="D2124" s="165">
        <v>3</v>
      </c>
      <c r="E2124" s="341" t="s">
        <v>197</v>
      </c>
      <c r="F2124" s="326"/>
      <c r="G2124" s="326"/>
      <c r="H2124" s="327"/>
      <c r="I2124" s="39">
        <f>I2125+I2126+I2127+I2132</f>
        <v>33700</v>
      </c>
      <c r="J2124" s="39">
        <f>J2125+J2126+J2127+J2132</f>
        <v>8518</v>
      </c>
      <c r="K2124" s="225">
        <f t="shared" si="301"/>
        <v>25.275964391691396</v>
      </c>
      <c r="L2124" s="174"/>
      <c r="M2124" s="39">
        <f>M2125+M2126+M2127</f>
        <v>0</v>
      </c>
      <c r="N2124" s="39">
        <f>N2125+N2126+N2127</f>
        <v>0</v>
      </c>
      <c r="O2124" s="174"/>
      <c r="P2124" s="174"/>
      <c r="Q2124" s="39">
        <f t="shared" si="305"/>
        <v>33700</v>
      </c>
      <c r="R2124" s="39">
        <f t="shared" si="306"/>
        <v>8518</v>
      </c>
      <c r="S2124" s="244">
        <f t="shared" si="303"/>
        <v>25.275964391691396</v>
      </c>
    </row>
    <row r="2125" spans="2:19" x14ac:dyDescent="0.2">
      <c r="B2125" s="67">
        <f t="shared" si="300"/>
        <v>9</v>
      </c>
      <c r="C2125" s="11"/>
      <c r="D2125" s="11"/>
      <c r="E2125" s="11"/>
      <c r="F2125" s="45" t="s">
        <v>196</v>
      </c>
      <c r="G2125" s="11">
        <v>610</v>
      </c>
      <c r="H2125" s="11" t="s">
        <v>135</v>
      </c>
      <c r="I2125" s="42">
        <v>23000</v>
      </c>
      <c r="J2125" s="42">
        <v>5631</v>
      </c>
      <c r="K2125" s="225">
        <f t="shared" si="301"/>
        <v>24.482608695652175</v>
      </c>
      <c r="L2125" s="114"/>
      <c r="M2125" s="42"/>
      <c r="N2125" s="42"/>
      <c r="O2125" s="114"/>
      <c r="P2125" s="114"/>
      <c r="Q2125" s="42">
        <f t="shared" si="305"/>
        <v>23000</v>
      </c>
      <c r="R2125" s="42">
        <f t="shared" si="306"/>
        <v>5631</v>
      </c>
      <c r="S2125" s="244">
        <f t="shared" si="303"/>
        <v>24.482608695652175</v>
      </c>
    </row>
    <row r="2126" spans="2:19" x14ac:dyDescent="0.2">
      <c r="B2126" s="67">
        <f t="shared" si="300"/>
        <v>10</v>
      </c>
      <c r="C2126" s="11"/>
      <c r="D2126" s="11"/>
      <c r="E2126" s="11"/>
      <c r="F2126" s="45" t="s">
        <v>196</v>
      </c>
      <c r="G2126" s="11">
        <v>620</v>
      </c>
      <c r="H2126" s="11" t="s">
        <v>130</v>
      </c>
      <c r="I2126" s="42">
        <v>8750</v>
      </c>
      <c r="J2126" s="42">
        <v>2108</v>
      </c>
      <c r="K2126" s="225">
        <f t="shared" si="301"/>
        <v>24.091428571428573</v>
      </c>
      <c r="L2126" s="114"/>
      <c r="M2126" s="42"/>
      <c r="N2126" s="42"/>
      <c r="O2126" s="114"/>
      <c r="P2126" s="114"/>
      <c r="Q2126" s="42">
        <f t="shared" si="305"/>
        <v>8750</v>
      </c>
      <c r="R2126" s="42">
        <f t="shared" si="306"/>
        <v>2108</v>
      </c>
      <c r="S2126" s="244">
        <f t="shared" si="303"/>
        <v>24.091428571428573</v>
      </c>
    </row>
    <row r="2127" spans="2:19" x14ac:dyDescent="0.2">
      <c r="B2127" s="67">
        <f t="shared" si="300"/>
        <v>11</v>
      </c>
      <c r="C2127" s="11"/>
      <c r="D2127" s="11"/>
      <c r="E2127" s="11"/>
      <c r="F2127" s="45" t="s">
        <v>196</v>
      </c>
      <c r="G2127" s="11">
        <v>630</v>
      </c>
      <c r="H2127" s="11" t="s">
        <v>127</v>
      </c>
      <c r="I2127" s="42">
        <f>I2131+I2130+I2129+I2128</f>
        <v>1950</v>
      </c>
      <c r="J2127" s="42">
        <f>J2131+J2130+J2129+J2128</f>
        <v>565</v>
      </c>
      <c r="K2127" s="225">
        <f t="shared" si="301"/>
        <v>28.974358974358978</v>
      </c>
      <c r="L2127" s="114"/>
      <c r="M2127" s="42">
        <v>0</v>
      </c>
      <c r="N2127" s="42"/>
      <c r="O2127" s="114"/>
      <c r="P2127" s="114"/>
      <c r="Q2127" s="42">
        <f t="shared" si="305"/>
        <v>1950</v>
      </c>
      <c r="R2127" s="42">
        <f t="shared" si="306"/>
        <v>565</v>
      </c>
      <c r="S2127" s="244">
        <f t="shared" si="303"/>
        <v>28.974358974358978</v>
      </c>
    </row>
    <row r="2128" spans="2:19" x14ac:dyDescent="0.2">
      <c r="B2128" s="67">
        <f t="shared" si="300"/>
        <v>12</v>
      </c>
      <c r="C2128" s="2"/>
      <c r="D2128" s="2"/>
      <c r="E2128" s="2"/>
      <c r="F2128" s="46" t="s">
        <v>196</v>
      </c>
      <c r="G2128" s="2">
        <v>632</v>
      </c>
      <c r="H2128" s="2" t="s">
        <v>138</v>
      </c>
      <c r="I2128" s="51">
        <v>150</v>
      </c>
      <c r="J2128" s="51">
        <v>86</v>
      </c>
      <c r="K2128" s="225">
        <f t="shared" si="301"/>
        <v>57.333333333333336</v>
      </c>
      <c r="L2128" s="68"/>
      <c r="M2128" s="22"/>
      <c r="N2128" s="22"/>
      <c r="O2128" s="68"/>
      <c r="P2128" s="68"/>
      <c r="Q2128" s="22">
        <f t="shared" si="305"/>
        <v>150</v>
      </c>
      <c r="R2128" s="22">
        <f t="shared" si="306"/>
        <v>86</v>
      </c>
      <c r="S2128" s="244">
        <f t="shared" si="303"/>
        <v>57.333333333333336</v>
      </c>
    </row>
    <row r="2129" spans="2:19" x14ac:dyDescent="0.2">
      <c r="B2129" s="67">
        <f t="shared" si="300"/>
        <v>13</v>
      </c>
      <c r="C2129" s="2"/>
      <c r="D2129" s="2"/>
      <c r="E2129" s="2"/>
      <c r="F2129" s="46" t="s">
        <v>196</v>
      </c>
      <c r="G2129" s="2">
        <v>633</v>
      </c>
      <c r="H2129" s="2" t="s">
        <v>131</v>
      </c>
      <c r="I2129" s="51">
        <v>500</v>
      </c>
      <c r="J2129" s="51">
        <v>0</v>
      </c>
      <c r="K2129" s="225">
        <f t="shared" si="301"/>
        <v>0</v>
      </c>
      <c r="L2129" s="68"/>
      <c r="M2129" s="22"/>
      <c r="N2129" s="22"/>
      <c r="O2129" s="68"/>
      <c r="P2129" s="68"/>
      <c r="Q2129" s="22">
        <f t="shared" si="305"/>
        <v>500</v>
      </c>
      <c r="R2129" s="22">
        <f t="shared" si="306"/>
        <v>0</v>
      </c>
      <c r="S2129" s="244">
        <f t="shared" si="303"/>
        <v>0</v>
      </c>
    </row>
    <row r="2130" spans="2:19" x14ac:dyDescent="0.2">
      <c r="B2130" s="67">
        <f t="shared" si="300"/>
        <v>14</v>
      </c>
      <c r="C2130" s="2"/>
      <c r="D2130" s="2"/>
      <c r="E2130" s="2"/>
      <c r="F2130" s="46" t="s">
        <v>196</v>
      </c>
      <c r="G2130" s="2">
        <v>635</v>
      </c>
      <c r="H2130" s="2" t="s">
        <v>137</v>
      </c>
      <c r="I2130" s="51">
        <v>200</v>
      </c>
      <c r="J2130" s="51">
        <v>0</v>
      </c>
      <c r="K2130" s="225">
        <f t="shared" si="301"/>
        <v>0</v>
      </c>
      <c r="L2130" s="68"/>
      <c r="M2130" s="22"/>
      <c r="N2130" s="22"/>
      <c r="O2130" s="68"/>
      <c r="P2130" s="68"/>
      <c r="Q2130" s="22">
        <f t="shared" si="305"/>
        <v>200</v>
      </c>
      <c r="R2130" s="22">
        <f t="shared" si="306"/>
        <v>0</v>
      </c>
      <c r="S2130" s="244">
        <f t="shared" si="303"/>
        <v>0</v>
      </c>
    </row>
    <row r="2131" spans="2:19" x14ac:dyDescent="0.2">
      <c r="B2131" s="67">
        <f>B2130+1</f>
        <v>15</v>
      </c>
      <c r="C2131" s="2"/>
      <c r="D2131" s="2"/>
      <c r="E2131" s="2"/>
      <c r="F2131" s="46" t="s">
        <v>196</v>
      </c>
      <c r="G2131" s="2">
        <v>637</v>
      </c>
      <c r="H2131" s="2" t="s">
        <v>128</v>
      </c>
      <c r="I2131" s="51">
        <v>1100</v>
      </c>
      <c r="J2131" s="51">
        <v>479</v>
      </c>
      <c r="K2131" s="225">
        <f t="shared" si="301"/>
        <v>43.54545454545454</v>
      </c>
      <c r="L2131" s="68"/>
      <c r="M2131" s="22"/>
      <c r="N2131" s="22"/>
      <c r="O2131" s="68"/>
      <c r="P2131" s="68"/>
      <c r="Q2131" s="22">
        <f>I2131+M2131</f>
        <v>1100</v>
      </c>
      <c r="R2131" s="22">
        <f>J2131+N2131</f>
        <v>479</v>
      </c>
      <c r="S2131" s="244">
        <f>R2131/Q2131*100</f>
        <v>43.54545454545454</v>
      </c>
    </row>
    <row r="2132" spans="2:19" x14ac:dyDescent="0.2">
      <c r="B2132" s="67">
        <f>B2131+1</f>
        <v>16</v>
      </c>
      <c r="C2132" s="2"/>
      <c r="D2132" s="2"/>
      <c r="E2132" s="2"/>
      <c r="F2132" s="94" t="s">
        <v>196</v>
      </c>
      <c r="G2132" s="1">
        <v>640</v>
      </c>
      <c r="H2132" s="1" t="s">
        <v>134</v>
      </c>
      <c r="I2132" s="42">
        <v>0</v>
      </c>
      <c r="J2132" s="42">
        <v>214</v>
      </c>
      <c r="K2132" s="225"/>
      <c r="L2132" s="114"/>
      <c r="M2132" s="21"/>
      <c r="N2132" s="21"/>
      <c r="O2132" s="114"/>
      <c r="P2132" s="114"/>
      <c r="Q2132" s="21">
        <f>I2132+M2132</f>
        <v>0</v>
      </c>
      <c r="R2132" s="21">
        <f>J2132+N2132</f>
        <v>214</v>
      </c>
      <c r="S2132" s="251"/>
    </row>
    <row r="2159" spans="1:16" s="63" customFormat="1" ht="13.5" customHeight="1" x14ac:dyDescent="0.2">
      <c r="A2159" s="59"/>
      <c r="K2159" s="179"/>
      <c r="L2159" s="179"/>
      <c r="O2159" s="179"/>
      <c r="P2159" s="179"/>
    </row>
    <row r="2191" spans="1:16" s="93" customFormat="1" x14ac:dyDescent="0.2">
      <c r="A2191" s="91"/>
      <c r="K2191" s="180"/>
      <c r="L2191" s="180"/>
      <c r="O2191" s="180"/>
      <c r="P2191" s="180"/>
    </row>
    <row r="2246" ht="12.75" customHeight="1" x14ac:dyDescent="0.2"/>
    <row r="2247" ht="17.25" customHeight="1" x14ac:dyDescent="0.2"/>
    <row r="2249" ht="18" customHeight="1" x14ac:dyDescent="0.2"/>
    <row r="2250" ht="19.5" customHeight="1" x14ac:dyDescent="0.2"/>
  </sheetData>
  <mergeCells count="316">
    <mergeCell ref="R2112:R2116"/>
    <mergeCell ref="S2112:S2116"/>
    <mergeCell ref="R1734:R1738"/>
    <mergeCell ref="S1734:S1738"/>
    <mergeCell ref="R1796:R1800"/>
    <mergeCell ref="S1796:S1800"/>
    <mergeCell ref="R1924:R1928"/>
    <mergeCell ref="S1924:S1928"/>
    <mergeCell ref="R582:R586"/>
    <mergeCell ref="S582:S586"/>
    <mergeCell ref="R757:R761"/>
    <mergeCell ref="S757:S761"/>
    <mergeCell ref="R1614:R1618"/>
    <mergeCell ref="S1614:S1618"/>
    <mergeCell ref="R323:R327"/>
    <mergeCell ref="S323:S327"/>
    <mergeCell ref="R451:R455"/>
    <mergeCell ref="S451:S455"/>
    <mergeCell ref="O1615:O1618"/>
    <mergeCell ref="J1735:J1738"/>
    <mergeCell ref="K1735:K1738"/>
    <mergeCell ref="N1735:N1738"/>
    <mergeCell ref="O1735:O1738"/>
    <mergeCell ref="O583:O586"/>
    <mergeCell ref="J758:J761"/>
    <mergeCell ref="K758:K761"/>
    <mergeCell ref="N758:N761"/>
    <mergeCell ref="O758:O761"/>
    <mergeCell ref="J324:J327"/>
    <mergeCell ref="K324:K327"/>
    <mergeCell ref="N324:N327"/>
    <mergeCell ref="O324:O327"/>
    <mergeCell ref="R2:R6"/>
    <mergeCell ref="S2:S6"/>
    <mergeCell ref="J130:J133"/>
    <mergeCell ref="K130:K133"/>
    <mergeCell ref="N130:N133"/>
    <mergeCell ref="O130:O133"/>
    <mergeCell ref="R129:R133"/>
    <mergeCell ref="S129:S133"/>
    <mergeCell ref="R194:R198"/>
    <mergeCell ref="S194:S198"/>
    <mergeCell ref="N195:N198"/>
    <mergeCell ref="O195:O198"/>
    <mergeCell ref="B194:M194"/>
    <mergeCell ref="Q194:Q198"/>
    <mergeCell ref="B195:B198"/>
    <mergeCell ref="C195:C198"/>
    <mergeCell ref="D195:D198"/>
    <mergeCell ref="E195:E198"/>
    <mergeCell ref="F195:F198"/>
    <mergeCell ref="G195:G198"/>
    <mergeCell ref="H195:H198"/>
    <mergeCell ref="I195:I198"/>
    <mergeCell ref="M195:M198"/>
    <mergeCell ref="J195:J198"/>
    <mergeCell ref="C2117:H2117"/>
    <mergeCell ref="D2118:H2118"/>
    <mergeCell ref="E2119:H2119"/>
    <mergeCell ref="E2123:H2123"/>
    <mergeCell ref="E2124:H2124"/>
    <mergeCell ref="B2111:Q2111"/>
    <mergeCell ref="B2112:M2112"/>
    <mergeCell ref="Q2112:Q2116"/>
    <mergeCell ref="B2113:B2116"/>
    <mergeCell ref="C2113:C2116"/>
    <mergeCell ref="D2113:D2116"/>
    <mergeCell ref="E2113:E2116"/>
    <mergeCell ref="F2113:F2116"/>
    <mergeCell ref="G2113:G2116"/>
    <mergeCell ref="H2113:H2116"/>
    <mergeCell ref="I2113:I2116"/>
    <mergeCell ref="M2113:M2116"/>
    <mergeCell ref="J2113:J2116"/>
    <mergeCell ref="K2113:K2116"/>
    <mergeCell ref="N2113:N2116"/>
    <mergeCell ref="O2113:O2116"/>
    <mergeCell ref="D2030:H2030"/>
    <mergeCell ref="D2040:H2040"/>
    <mergeCell ref="D2043:H2043"/>
    <mergeCell ref="D2049:H2049"/>
    <mergeCell ref="D2058:H2058"/>
    <mergeCell ref="D1965:H1965"/>
    <mergeCell ref="E1966:H1966"/>
    <mergeCell ref="E1984:H1984"/>
    <mergeCell ref="E1998:H1998"/>
    <mergeCell ref="D2009:H2009"/>
    <mergeCell ref="C1929:H1929"/>
    <mergeCell ref="D1930:H1930"/>
    <mergeCell ref="D1940:H1940"/>
    <mergeCell ref="D1942:H1942"/>
    <mergeCell ref="D1956:H1956"/>
    <mergeCell ref="B1924:M1924"/>
    <mergeCell ref="Q1924:Q1928"/>
    <mergeCell ref="B1925:B1928"/>
    <mergeCell ref="C1925:C1928"/>
    <mergeCell ref="D1925:D1928"/>
    <mergeCell ref="E1925:E1928"/>
    <mergeCell ref="F1925:F1928"/>
    <mergeCell ref="G1925:G1928"/>
    <mergeCell ref="H1925:H1928"/>
    <mergeCell ref="I1925:I1928"/>
    <mergeCell ref="M1925:M1928"/>
    <mergeCell ref="J1925:J1928"/>
    <mergeCell ref="K1925:K1928"/>
    <mergeCell ref="N1925:N1928"/>
    <mergeCell ref="O1925:O1928"/>
    <mergeCell ref="D1855:H1855"/>
    <mergeCell ref="D1864:H1864"/>
    <mergeCell ref="D1867:H1867"/>
    <mergeCell ref="D1878:H1878"/>
    <mergeCell ref="B1923:Q1923"/>
    <mergeCell ref="C1801:H1801"/>
    <mergeCell ref="D1802:H1802"/>
    <mergeCell ref="D1844:H1844"/>
    <mergeCell ref="E1845:H1845"/>
    <mergeCell ref="E1849:H1849"/>
    <mergeCell ref="B1795:Q1795"/>
    <mergeCell ref="B1796:M1796"/>
    <mergeCell ref="Q1796:Q1800"/>
    <mergeCell ref="B1797:B1800"/>
    <mergeCell ref="C1797:C1800"/>
    <mergeCell ref="D1797:D1800"/>
    <mergeCell ref="E1797:E1800"/>
    <mergeCell ref="F1797:F1800"/>
    <mergeCell ref="G1797:G1800"/>
    <mergeCell ref="H1797:H1800"/>
    <mergeCell ref="I1797:I1800"/>
    <mergeCell ref="M1797:M1800"/>
    <mergeCell ref="J1797:J1800"/>
    <mergeCell ref="K1797:K1800"/>
    <mergeCell ref="N1797:N1800"/>
    <mergeCell ref="O1797:O1800"/>
    <mergeCell ref="C1739:H1739"/>
    <mergeCell ref="D1740:H1740"/>
    <mergeCell ref="D1748:H1748"/>
    <mergeCell ref="D1764:H1764"/>
    <mergeCell ref="D1783:H1783"/>
    <mergeCell ref="B1733:Q1733"/>
    <mergeCell ref="B1734:M1734"/>
    <mergeCell ref="Q1734:Q1738"/>
    <mergeCell ref="B1735:B1738"/>
    <mergeCell ref="C1735:C1738"/>
    <mergeCell ref="D1735:D1738"/>
    <mergeCell ref="E1735:E1738"/>
    <mergeCell ref="F1735:F1738"/>
    <mergeCell ref="G1735:G1738"/>
    <mergeCell ref="H1735:H1738"/>
    <mergeCell ref="I1735:I1738"/>
    <mergeCell ref="M1735:M1738"/>
    <mergeCell ref="E1642:H1642"/>
    <mergeCell ref="E1653:H1653"/>
    <mergeCell ref="E1673:H1673"/>
    <mergeCell ref="E1692:H1692"/>
    <mergeCell ref="D1693:H1693"/>
    <mergeCell ref="C1619:H1619"/>
    <mergeCell ref="D1620:H1620"/>
    <mergeCell ref="D1623:H1623"/>
    <mergeCell ref="D1637:H1637"/>
    <mergeCell ref="E1638:H1638"/>
    <mergeCell ref="D1563:H1563"/>
    <mergeCell ref="B1613:Q1613"/>
    <mergeCell ref="B1614:M1614"/>
    <mergeCell ref="Q1614:Q1618"/>
    <mergeCell ref="B1615:B1618"/>
    <mergeCell ref="C1615:C1618"/>
    <mergeCell ref="D1615:D1618"/>
    <mergeCell ref="E1615:E1618"/>
    <mergeCell ref="F1615:F1618"/>
    <mergeCell ref="G1615:G1618"/>
    <mergeCell ref="H1615:H1618"/>
    <mergeCell ref="I1615:I1618"/>
    <mergeCell ref="M1615:M1618"/>
    <mergeCell ref="J1615:J1618"/>
    <mergeCell ref="K1615:K1618"/>
    <mergeCell ref="N1615:N1618"/>
    <mergeCell ref="C762:H762"/>
    <mergeCell ref="D763:H763"/>
    <mergeCell ref="D966:H966"/>
    <mergeCell ref="D1211:H1211"/>
    <mergeCell ref="D1314:H1314"/>
    <mergeCell ref="B757:M757"/>
    <mergeCell ref="Q757:Q761"/>
    <mergeCell ref="B758:B761"/>
    <mergeCell ref="C758:C761"/>
    <mergeCell ref="D758:D761"/>
    <mergeCell ref="E758:E761"/>
    <mergeCell ref="F758:F761"/>
    <mergeCell ref="G758:G761"/>
    <mergeCell ref="H758:H761"/>
    <mergeCell ref="I758:I761"/>
    <mergeCell ref="M758:M761"/>
    <mergeCell ref="C587:H587"/>
    <mergeCell ref="D588:H588"/>
    <mergeCell ref="D591:H591"/>
    <mergeCell ref="D616:H616"/>
    <mergeCell ref="B756:Q756"/>
    <mergeCell ref="D511:H511"/>
    <mergeCell ref="B581:Q581"/>
    <mergeCell ref="B582:M582"/>
    <mergeCell ref="Q582:Q586"/>
    <mergeCell ref="B583:B586"/>
    <mergeCell ref="C583:C586"/>
    <mergeCell ref="D583:D586"/>
    <mergeCell ref="E583:E586"/>
    <mergeCell ref="F583:F586"/>
    <mergeCell ref="G583:G586"/>
    <mergeCell ref="H583:H586"/>
    <mergeCell ref="I583:I586"/>
    <mergeCell ref="M583:M586"/>
    <mergeCell ref="J583:J586"/>
    <mergeCell ref="K583:K586"/>
    <mergeCell ref="N583:N586"/>
    <mergeCell ref="C456:H456"/>
    <mergeCell ref="D457:H457"/>
    <mergeCell ref="D475:H475"/>
    <mergeCell ref="D500:H500"/>
    <mergeCell ref="D508:H508"/>
    <mergeCell ref="B451:M451"/>
    <mergeCell ref="Q451:Q455"/>
    <mergeCell ref="B452:B455"/>
    <mergeCell ref="C452:C455"/>
    <mergeCell ref="D452:D455"/>
    <mergeCell ref="E452:E455"/>
    <mergeCell ref="F452:F455"/>
    <mergeCell ref="G452:G455"/>
    <mergeCell ref="H452:H455"/>
    <mergeCell ref="I452:I455"/>
    <mergeCell ref="M452:M455"/>
    <mergeCell ref="J452:J455"/>
    <mergeCell ref="K452:K455"/>
    <mergeCell ref="N452:N455"/>
    <mergeCell ref="O452:O455"/>
    <mergeCell ref="D365:H365"/>
    <mergeCell ref="D377:H377"/>
    <mergeCell ref="D391:H391"/>
    <mergeCell ref="D400:H400"/>
    <mergeCell ref="B450:Q450"/>
    <mergeCell ref="C328:H328"/>
    <mergeCell ref="D329:H329"/>
    <mergeCell ref="D334:H334"/>
    <mergeCell ref="D345:H345"/>
    <mergeCell ref="D355:H355"/>
    <mergeCell ref="D265:H265"/>
    <mergeCell ref="D275:H275"/>
    <mergeCell ref="B322:Q322"/>
    <mergeCell ref="B323:M323"/>
    <mergeCell ref="Q323:Q327"/>
    <mergeCell ref="B324:B327"/>
    <mergeCell ref="C324:C327"/>
    <mergeCell ref="D324:D327"/>
    <mergeCell ref="E324:E327"/>
    <mergeCell ref="F324:F327"/>
    <mergeCell ref="G324:G327"/>
    <mergeCell ref="H324:H327"/>
    <mergeCell ref="I324:I327"/>
    <mergeCell ref="M324:M327"/>
    <mergeCell ref="E214:H214"/>
    <mergeCell ref="D220:H220"/>
    <mergeCell ref="D224:H224"/>
    <mergeCell ref="D246:H246"/>
    <mergeCell ref="D261:H261"/>
    <mergeCell ref="C199:H199"/>
    <mergeCell ref="D200:H200"/>
    <mergeCell ref="D203:H203"/>
    <mergeCell ref="E204:H204"/>
    <mergeCell ref="E207:H207"/>
    <mergeCell ref="K195:K198"/>
    <mergeCell ref="E19:H19"/>
    <mergeCell ref="E22:H22"/>
    <mergeCell ref="E27:H27"/>
    <mergeCell ref="D32:H32"/>
    <mergeCell ref="M3:M6"/>
    <mergeCell ref="I3:I6"/>
    <mergeCell ref="D3:D6"/>
    <mergeCell ref="E16:H16"/>
    <mergeCell ref="E9:H9"/>
    <mergeCell ref="D8:H8"/>
    <mergeCell ref="B1:Q1"/>
    <mergeCell ref="B3:B6"/>
    <mergeCell ref="C3:C6"/>
    <mergeCell ref="C7:H7"/>
    <mergeCell ref="Q2:Q6"/>
    <mergeCell ref="B2:M2"/>
    <mergeCell ref="G3:G6"/>
    <mergeCell ref="H3:H6"/>
    <mergeCell ref="J3:J6"/>
    <mergeCell ref="K3:K6"/>
    <mergeCell ref="N3:N6"/>
    <mergeCell ref="O3:O6"/>
    <mergeCell ref="F3:F6"/>
    <mergeCell ref="E3:E6"/>
    <mergeCell ref="A250:A252"/>
    <mergeCell ref="D47:H47"/>
    <mergeCell ref="D68:H68"/>
    <mergeCell ref="D74:H74"/>
    <mergeCell ref="D76:H76"/>
    <mergeCell ref="D65:H65"/>
    <mergeCell ref="D66:H66"/>
    <mergeCell ref="D67:H67"/>
    <mergeCell ref="B128:Q128"/>
    <mergeCell ref="B129:M129"/>
    <mergeCell ref="Q129:Q133"/>
    <mergeCell ref="B130:B133"/>
    <mergeCell ref="C130:C133"/>
    <mergeCell ref="D130:D133"/>
    <mergeCell ref="E130:E133"/>
    <mergeCell ref="F130:F133"/>
    <mergeCell ref="G130:G133"/>
    <mergeCell ref="H130:H133"/>
    <mergeCell ref="I130:I133"/>
    <mergeCell ref="M130:M133"/>
    <mergeCell ref="C134:H134"/>
    <mergeCell ref="D135:H135"/>
    <mergeCell ref="D140:H140"/>
    <mergeCell ref="B193:Q193"/>
  </mergeCells>
  <phoneticPr fontId="1" type="noConversion"/>
  <pageMargins left="0.59055118110236227" right="0.59055118110236227" top="0.19685039370078741" bottom="0.19685039370078741" header="0.19685039370078741" footer="0.19685039370078741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L41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5" width="16.140625" style="17" customWidth="1"/>
    <col min="6" max="6" width="6.5703125" style="17" customWidth="1"/>
    <col min="7" max="8" width="14" style="17" customWidth="1"/>
    <col min="9" max="9" width="7" style="17" customWidth="1"/>
    <col min="10" max="10" width="15.5703125" style="17" customWidth="1"/>
    <col min="11" max="11" width="11.7109375" style="17" customWidth="1"/>
    <col min="12" max="12" width="7.7109375" customWidth="1"/>
    <col min="13" max="13" width="12.5703125" bestFit="1" customWidth="1"/>
  </cols>
  <sheetData>
    <row r="1" spans="2:12" ht="25.5" customHeight="1" x14ac:dyDescent="0.2"/>
    <row r="2" spans="2:12" ht="57" customHeight="1" x14ac:dyDescent="0.2">
      <c r="B2" s="347"/>
      <c r="C2" s="348"/>
      <c r="D2" s="32" t="s">
        <v>587</v>
      </c>
      <c r="E2" s="32" t="s">
        <v>690</v>
      </c>
      <c r="F2" s="186" t="s">
        <v>688</v>
      </c>
      <c r="G2" s="32" t="s">
        <v>588</v>
      </c>
      <c r="H2" s="32" t="s">
        <v>692</v>
      </c>
      <c r="I2" s="186" t="s">
        <v>688</v>
      </c>
      <c r="J2" s="32" t="s">
        <v>589</v>
      </c>
      <c r="K2" s="32" t="s">
        <v>693</v>
      </c>
      <c r="L2" s="186" t="s">
        <v>688</v>
      </c>
    </row>
    <row r="3" spans="2:12" ht="15.75" x14ac:dyDescent="0.25">
      <c r="B3" s="4">
        <v>1</v>
      </c>
      <c r="C3" s="31" t="s">
        <v>109</v>
      </c>
      <c r="D3" s="33">
        <f>Príjmy!H439</f>
        <v>34627690</v>
      </c>
      <c r="E3" s="33">
        <f>Príjmy!I439</f>
        <v>19564903</v>
      </c>
      <c r="F3" s="252">
        <f>E3/D3*100</f>
        <v>56.500745501649121</v>
      </c>
      <c r="G3" s="33">
        <f>Príjmy!H433</f>
        <v>784000</v>
      </c>
      <c r="H3" s="33">
        <f>Príjmy!I440</f>
        <v>791788</v>
      </c>
      <c r="I3" s="252">
        <f>H3/G3*100</f>
        <v>100.99336734693878</v>
      </c>
      <c r="J3" s="33">
        <f>G3+D3</f>
        <v>35411690</v>
      </c>
      <c r="K3" s="33">
        <f t="shared" ref="K3" si="0">H3+E3</f>
        <v>20356691</v>
      </c>
      <c r="L3" s="252">
        <f>K3/J3*100</f>
        <v>57.485793533152474</v>
      </c>
    </row>
    <row r="4" spans="2:12" ht="15.75" x14ac:dyDescent="0.25">
      <c r="B4" s="4">
        <v>2</v>
      </c>
      <c r="C4" s="31" t="s">
        <v>112</v>
      </c>
      <c r="D4" s="33">
        <f>SUM(D5:D16)</f>
        <v>31759780</v>
      </c>
      <c r="E4" s="33">
        <f>SUM(E5:E16)</f>
        <v>13926548</v>
      </c>
      <c r="F4" s="252">
        <f t="shared" ref="F4:F17" si="1">E4/D4*100</f>
        <v>43.849636238034392</v>
      </c>
      <c r="G4" s="33">
        <f>SUM(G5:G16)</f>
        <v>6408367</v>
      </c>
      <c r="H4" s="33">
        <f>SUM(H5:H16)</f>
        <v>799468</v>
      </c>
      <c r="I4" s="252">
        <f t="shared" ref="I4:I18" si="2">H4/G4*100</f>
        <v>12.475377892683111</v>
      </c>
      <c r="J4" s="33">
        <f>D4+G4</f>
        <v>38168147</v>
      </c>
      <c r="K4" s="33">
        <f t="shared" ref="K4" si="3">E4+H4</f>
        <v>14726016</v>
      </c>
      <c r="L4" s="252">
        <f t="shared" ref="L4:L16" si="4">K4/J4*100</f>
        <v>38.581951594349079</v>
      </c>
    </row>
    <row r="5" spans="2:12" ht="14.25" x14ac:dyDescent="0.2">
      <c r="B5" s="6">
        <v>3</v>
      </c>
      <c r="C5" s="30" t="s">
        <v>292</v>
      </c>
      <c r="D5" s="47">
        <f>Výdavky!I7</f>
        <v>510373</v>
      </c>
      <c r="E5" s="47">
        <f>Výdavky!J7</f>
        <v>166342</v>
      </c>
      <c r="F5" s="252">
        <f t="shared" si="1"/>
        <v>32.592241360730291</v>
      </c>
      <c r="G5" s="47">
        <f>Výdavky!M7</f>
        <v>299470</v>
      </c>
      <c r="H5" s="47">
        <f>Výdavky!N7</f>
        <v>0</v>
      </c>
      <c r="I5" s="252">
        <f t="shared" si="2"/>
        <v>0</v>
      </c>
      <c r="J5" s="47">
        <f t="shared" ref="J5:J16" si="5">G5+D5</f>
        <v>809843</v>
      </c>
      <c r="K5" s="47">
        <f t="shared" ref="K5:K16" si="6">H5+E5</f>
        <v>166342</v>
      </c>
      <c r="L5" s="252">
        <f t="shared" si="4"/>
        <v>20.540030598523419</v>
      </c>
    </row>
    <row r="6" spans="2:12" ht="14.25" x14ac:dyDescent="0.2">
      <c r="B6" s="6">
        <v>4</v>
      </c>
      <c r="C6" s="30" t="s">
        <v>293</v>
      </c>
      <c r="D6" s="47">
        <f>Výdavky!I134</f>
        <v>92018</v>
      </c>
      <c r="E6" s="47">
        <f>Výdavky!J134</f>
        <v>36519</v>
      </c>
      <c r="F6" s="252">
        <f t="shared" si="1"/>
        <v>39.68680040861571</v>
      </c>
      <c r="G6" s="47">
        <f>Výdavky!M134</f>
        <v>0</v>
      </c>
      <c r="H6" s="47">
        <f>Výdavky!N134</f>
        <v>0</v>
      </c>
      <c r="I6" s="252">
        <v>0</v>
      </c>
      <c r="J6" s="47">
        <f t="shared" si="5"/>
        <v>92018</v>
      </c>
      <c r="K6" s="47">
        <f t="shared" si="6"/>
        <v>36519</v>
      </c>
      <c r="L6" s="252">
        <f t="shared" si="4"/>
        <v>39.68680040861571</v>
      </c>
    </row>
    <row r="7" spans="2:12" ht="14.25" x14ac:dyDescent="0.2">
      <c r="B7" s="6">
        <v>5</v>
      </c>
      <c r="C7" s="30" t="s">
        <v>294</v>
      </c>
      <c r="D7" s="47">
        <f>Výdavky!I199</f>
        <v>3820325</v>
      </c>
      <c r="E7" s="47">
        <f>Výdavky!J199</f>
        <v>1647700</v>
      </c>
      <c r="F7" s="252">
        <f t="shared" si="1"/>
        <v>43.129838429976509</v>
      </c>
      <c r="G7" s="47">
        <f>Výdavky!M199</f>
        <v>525030</v>
      </c>
      <c r="H7" s="47">
        <f>Výdavky!N199</f>
        <v>18602</v>
      </c>
      <c r="I7" s="252">
        <f t="shared" si="2"/>
        <v>3.5430356360588915</v>
      </c>
      <c r="J7" s="47">
        <f t="shared" si="5"/>
        <v>4345355</v>
      </c>
      <c r="K7" s="47">
        <f t="shared" si="6"/>
        <v>1666302</v>
      </c>
      <c r="L7" s="252">
        <f t="shared" si="4"/>
        <v>38.346740369889226</v>
      </c>
    </row>
    <row r="8" spans="2:12" ht="14.25" x14ac:dyDescent="0.2">
      <c r="B8" s="6">
        <v>6</v>
      </c>
      <c r="C8" s="30" t="s">
        <v>296</v>
      </c>
      <c r="D8" s="47">
        <f>Výdavky!I328</f>
        <v>518178</v>
      </c>
      <c r="E8" s="47">
        <f>Výdavky!J328</f>
        <v>219689</v>
      </c>
      <c r="F8" s="252">
        <f t="shared" si="1"/>
        <v>42.396435201803243</v>
      </c>
      <c r="G8" s="47">
        <f>Výdavky!M328</f>
        <v>38212</v>
      </c>
      <c r="H8" s="47">
        <f>Výdavky!N328</f>
        <v>1303</v>
      </c>
      <c r="I8" s="252">
        <f t="shared" si="2"/>
        <v>3.4099235842143831</v>
      </c>
      <c r="J8" s="47">
        <f t="shared" si="5"/>
        <v>556390</v>
      </c>
      <c r="K8" s="47">
        <f t="shared" si="6"/>
        <v>220992</v>
      </c>
      <c r="L8" s="252">
        <f t="shared" si="4"/>
        <v>39.718902208882255</v>
      </c>
    </row>
    <row r="9" spans="2:12" ht="14.25" x14ac:dyDescent="0.2">
      <c r="B9" s="6">
        <v>7</v>
      </c>
      <c r="C9" s="30" t="s">
        <v>298</v>
      </c>
      <c r="D9" s="47">
        <f>Výdavky!I456</f>
        <v>1544500</v>
      </c>
      <c r="E9" s="47">
        <f>Výdavky!J456</f>
        <v>714096</v>
      </c>
      <c r="F9" s="252">
        <f t="shared" si="1"/>
        <v>46.234768533505985</v>
      </c>
      <c r="G9" s="47">
        <f>Výdavky!M456</f>
        <v>172377</v>
      </c>
      <c r="H9" s="47">
        <f>Výdavky!N456</f>
        <v>39105</v>
      </c>
      <c r="I9" s="252">
        <f t="shared" si="2"/>
        <v>22.685741137158669</v>
      </c>
      <c r="J9" s="47">
        <f t="shared" si="5"/>
        <v>1716877</v>
      </c>
      <c r="K9" s="47">
        <f t="shared" si="6"/>
        <v>753201</v>
      </c>
      <c r="L9" s="252">
        <f t="shared" si="4"/>
        <v>43.870411217577029</v>
      </c>
    </row>
    <row r="10" spans="2:12" ht="14.25" x14ac:dyDescent="0.2">
      <c r="B10" s="6">
        <v>8</v>
      </c>
      <c r="C10" s="30" t="s">
        <v>300</v>
      </c>
      <c r="D10" s="47">
        <f>Výdavky!I587</f>
        <v>3197641</v>
      </c>
      <c r="E10" s="47">
        <f>Výdavky!J587</f>
        <v>1377171</v>
      </c>
      <c r="F10" s="252">
        <f t="shared" si="1"/>
        <v>43.068343194248513</v>
      </c>
      <c r="G10" s="47">
        <f>Výdavky!M587</f>
        <v>3002237</v>
      </c>
      <c r="H10" s="47">
        <f>Výdavky!N587</f>
        <v>609175</v>
      </c>
      <c r="I10" s="252">
        <f t="shared" si="2"/>
        <v>20.29070323228979</v>
      </c>
      <c r="J10" s="47">
        <f t="shared" si="5"/>
        <v>6199878</v>
      </c>
      <c r="K10" s="47">
        <f t="shared" si="6"/>
        <v>1986346</v>
      </c>
      <c r="L10" s="252">
        <f t="shared" si="4"/>
        <v>32.038469144070255</v>
      </c>
    </row>
    <row r="11" spans="2:12" ht="14.25" x14ac:dyDescent="0.2">
      <c r="B11" s="6">
        <v>9</v>
      </c>
      <c r="C11" s="30" t="s">
        <v>302</v>
      </c>
      <c r="D11" s="47">
        <f>Výdavky!I762</f>
        <v>13780315</v>
      </c>
      <c r="E11" s="47">
        <f>Výdavky!J762</f>
        <v>5856747</v>
      </c>
      <c r="F11" s="252">
        <f t="shared" si="1"/>
        <v>42.500820917373808</v>
      </c>
      <c r="G11" s="47">
        <f>Výdavky!M762</f>
        <v>1073706</v>
      </c>
      <c r="H11" s="47">
        <f>Výdavky!N762</f>
        <v>36106</v>
      </c>
      <c r="I11" s="252">
        <f t="shared" si="2"/>
        <v>3.3627454815377766</v>
      </c>
      <c r="J11" s="47">
        <f t="shared" si="5"/>
        <v>14854021</v>
      </c>
      <c r="K11" s="47">
        <f t="shared" si="6"/>
        <v>5892853</v>
      </c>
      <c r="L11" s="252">
        <f t="shared" si="4"/>
        <v>39.6717696844511</v>
      </c>
    </row>
    <row r="12" spans="2:12" ht="14.25" x14ac:dyDescent="0.2">
      <c r="B12" s="6">
        <v>10</v>
      </c>
      <c r="C12" s="30" t="s">
        <v>351</v>
      </c>
      <c r="D12" s="47">
        <f>Výdavky!I1619</f>
        <v>1603434</v>
      </c>
      <c r="E12" s="47">
        <f>Výdavky!J1619</f>
        <v>1008167</v>
      </c>
      <c r="F12" s="252">
        <f t="shared" si="1"/>
        <v>62.875490977489569</v>
      </c>
      <c r="G12" s="47">
        <f>Výdavky!M1619</f>
        <v>1112355</v>
      </c>
      <c r="H12" s="47">
        <f>Výdavky!N1619</f>
        <v>46680</v>
      </c>
      <c r="I12" s="252">
        <f t="shared" si="2"/>
        <v>4.1965020159930955</v>
      </c>
      <c r="J12" s="47">
        <f t="shared" si="5"/>
        <v>2715789</v>
      </c>
      <c r="K12" s="47">
        <f t="shared" si="6"/>
        <v>1054847</v>
      </c>
      <c r="L12" s="252">
        <f t="shared" si="4"/>
        <v>38.841272278516485</v>
      </c>
    </row>
    <row r="13" spans="2:12" ht="14.25" x14ac:dyDescent="0.2">
      <c r="B13" s="6">
        <v>11</v>
      </c>
      <c r="C13" s="30" t="s">
        <v>305</v>
      </c>
      <c r="D13" s="47">
        <f>Výdavky!I1739</f>
        <v>352950</v>
      </c>
      <c r="E13" s="47">
        <f>Výdavky!J1739</f>
        <v>136098</v>
      </c>
      <c r="F13" s="252">
        <f t="shared" si="1"/>
        <v>38.560135996600089</v>
      </c>
      <c r="G13" s="47">
        <f>Výdavky!M1739</f>
        <v>23620</v>
      </c>
      <c r="H13" s="47">
        <f>Výdavky!N1739</f>
        <v>0</v>
      </c>
      <c r="I13" s="252">
        <f t="shared" si="2"/>
        <v>0</v>
      </c>
      <c r="J13" s="47">
        <f t="shared" si="5"/>
        <v>376570</v>
      </c>
      <c r="K13" s="47">
        <f t="shared" si="6"/>
        <v>136098</v>
      </c>
      <c r="L13" s="252">
        <f t="shared" si="4"/>
        <v>36.141487638420479</v>
      </c>
    </row>
    <row r="14" spans="2:12" ht="14.25" x14ac:dyDescent="0.2">
      <c r="B14" s="6">
        <v>12</v>
      </c>
      <c r="C14" s="30" t="s">
        <v>307</v>
      </c>
      <c r="D14" s="47">
        <f>Výdavky!I1801</f>
        <v>3666110</v>
      </c>
      <c r="E14" s="47">
        <f>Výdavky!J1801</f>
        <v>1523825</v>
      </c>
      <c r="F14" s="252">
        <f t="shared" si="1"/>
        <v>41.565173985505069</v>
      </c>
      <c r="G14" s="47">
        <f>Výdavky!M1801</f>
        <v>129660</v>
      </c>
      <c r="H14" s="47">
        <f>Výdavky!N1801</f>
        <v>48497</v>
      </c>
      <c r="I14" s="252">
        <f t="shared" si="2"/>
        <v>37.403208391176925</v>
      </c>
      <c r="J14" s="47">
        <f t="shared" si="5"/>
        <v>3795770</v>
      </c>
      <c r="K14" s="47">
        <f t="shared" si="6"/>
        <v>1572322</v>
      </c>
      <c r="L14" s="252">
        <f t="shared" si="4"/>
        <v>41.423005081972832</v>
      </c>
    </row>
    <row r="15" spans="2:12" ht="14.25" x14ac:dyDescent="0.2">
      <c r="B15" s="6">
        <v>13</v>
      </c>
      <c r="C15" s="30" t="s">
        <v>309</v>
      </c>
      <c r="D15" s="47">
        <f>Výdavky!I1929</f>
        <v>2515236</v>
      </c>
      <c r="E15" s="47">
        <f>Výdavky!J1929</f>
        <v>1174546</v>
      </c>
      <c r="F15" s="252">
        <f t="shared" si="1"/>
        <v>46.697248290021292</v>
      </c>
      <c r="G15" s="47">
        <f>Výdavky!M1929</f>
        <v>31700</v>
      </c>
      <c r="H15" s="47">
        <f>Výdavky!N1929</f>
        <v>0</v>
      </c>
      <c r="I15" s="252">
        <f t="shared" si="2"/>
        <v>0</v>
      </c>
      <c r="J15" s="47">
        <f t="shared" si="5"/>
        <v>2546936</v>
      </c>
      <c r="K15" s="47">
        <f t="shared" si="6"/>
        <v>1174546</v>
      </c>
      <c r="L15" s="252">
        <f t="shared" si="4"/>
        <v>46.116039036709203</v>
      </c>
    </row>
    <row r="16" spans="2:12" ht="14.25" x14ac:dyDescent="0.2">
      <c r="B16" s="6">
        <v>14</v>
      </c>
      <c r="C16" s="30" t="s">
        <v>311</v>
      </c>
      <c r="D16" s="47">
        <f>Výdavky!I2117</f>
        <v>158700</v>
      </c>
      <c r="E16" s="47">
        <f>Výdavky!J2117</f>
        <v>65648</v>
      </c>
      <c r="F16" s="252">
        <f t="shared" si="1"/>
        <v>41.36609955891619</v>
      </c>
      <c r="G16" s="47">
        <f>Výdavky!M2117</f>
        <v>0</v>
      </c>
      <c r="H16" s="47">
        <f>Výdavky!N2117</f>
        <v>0</v>
      </c>
      <c r="I16" s="252"/>
      <c r="J16" s="47">
        <f t="shared" si="5"/>
        <v>158700</v>
      </c>
      <c r="K16" s="47">
        <f t="shared" si="6"/>
        <v>65648</v>
      </c>
      <c r="L16" s="252">
        <f t="shared" si="4"/>
        <v>41.36609955891619</v>
      </c>
    </row>
    <row r="17" spans="2:12" ht="15.75" x14ac:dyDescent="0.25">
      <c r="B17" s="4">
        <v>15</v>
      </c>
      <c r="C17" s="31" t="s">
        <v>317</v>
      </c>
      <c r="D17" s="33">
        <f>D3-D4</f>
        <v>2867910</v>
      </c>
      <c r="E17" s="33">
        <f>E3-E4</f>
        <v>5638355</v>
      </c>
      <c r="F17" s="252">
        <f t="shared" si="1"/>
        <v>196.60153212618246</v>
      </c>
      <c r="G17" s="33"/>
      <c r="H17" s="33"/>
      <c r="I17" s="252"/>
      <c r="J17" s="33"/>
      <c r="K17" s="33"/>
      <c r="L17" s="252"/>
    </row>
    <row r="18" spans="2:12" ht="15.75" x14ac:dyDescent="0.25">
      <c r="B18" s="4">
        <v>16</v>
      </c>
      <c r="C18" s="31" t="s">
        <v>327</v>
      </c>
      <c r="D18" s="33"/>
      <c r="E18" s="33"/>
      <c r="F18" s="189"/>
      <c r="G18" s="33">
        <f>G3-G4</f>
        <v>-5624367</v>
      </c>
      <c r="H18" s="33">
        <f>H3-H4</f>
        <v>-7680</v>
      </c>
      <c r="I18" s="252">
        <f t="shared" si="2"/>
        <v>0.1365486996136632</v>
      </c>
      <c r="J18" s="33"/>
      <c r="K18" s="33"/>
      <c r="L18" s="252"/>
    </row>
    <row r="19" spans="2:12" ht="15.75" x14ac:dyDescent="0.25">
      <c r="B19" s="4">
        <v>17</v>
      </c>
      <c r="C19" s="31" t="s">
        <v>328</v>
      </c>
      <c r="D19" s="33"/>
      <c r="E19" s="33"/>
      <c r="F19" s="189"/>
      <c r="G19" s="33"/>
      <c r="H19" s="34"/>
      <c r="I19" s="253"/>
      <c r="J19" s="34">
        <f>J3-J4</f>
        <v>-2756457</v>
      </c>
      <c r="K19" s="34">
        <f t="shared" ref="K19" si="7">K3-K4</f>
        <v>5630675</v>
      </c>
      <c r="L19" s="252"/>
    </row>
    <row r="20" spans="2:12" x14ac:dyDescent="0.2">
      <c r="L20" s="254"/>
    </row>
    <row r="21" spans="2:12" ht="15" x14ac:dyDescent="0.2">
      <c r="B21" s="349" t="s">
        <v>110</v>
      </c>
      <c r="C21" s="349"/>
      <c r="D21" s="349"/>
      <c r="E21" s="349"/>
      <c r="F21" s="349"/>
      <c r="G21" s="349"/>
      <c r="H21" s="349"/>
      <c r="I21" s="349"/>
      <c r="J21" s="349"/>
      <c r="K21" s="187"/>
      <c r="L21" s="255"/>
    </row>
    <row r="22" spans="2:12" ht="15.75" x14ac:dyDescent="0.25">
      <c r="B22" s="88">
        <v>1</v>
      </c>
      <c r="C22" s="350" t="s">
        <v>318</v>
      </c>
      <c r="D22" s="351"/>
      <c r="E22" s="351"/>
      <c r="F22" s="351"/>
      <c r="G22" s="351"/>
      <c r="H22" s="184"/>
      <c r="I22" s="184"/>
      <c r="J22" s="35">
        <f>SUM(J23:J28)</f>
        <v>5764632</v>
      </c>
      <c r="K22" s="35">
        <f>SUM(K23:K29)</f>
        <v>3727818</v>
      </c>
      <c r="L22" s="252">
        <f>K22/J22*100</f>
        <v>64.667059406394017</v>
      </c>
    </row>
    <row r="23" spans="2:12" x14ac:dyDescent="0.2">
      <c r="B23" s="88">
        <f>B22+1</f>
        <v>2</v>
      </c>
      <c r="C23" s="345" t="s">
        <v>454</v>
      </c>
      <c r="D23" s="346"/>
      <c r="E23" s="346"/>
      <c r="F23" s="346"/>
      <c r="G23" s="346"/>
      <c r="H23" s="183"/>
      <c r="I23" s="183"/>
      <c r="J23" s="36">
        <f>900000+1343226</f>
        <v>2243226</v>
      </c>
      <c r="K23" s="36">
        <f>2243226+2843</f>
        <v>2246069</v>
      </c>
      <c r="L23" s="252">
        <f t="shared" ref="L23:L35" si="8">K23/J23*100</f>
        <v>100.12673711877449</v>
      </c>
    </row>
    <row r="24" spans="2:12" x14ac:dyDescent="0.2">
      <c r="B24" s="88">
        <f>B23+1</f>
        <v>3</v>
      </c>
      <c r="C24" s="345" t="s">
        <v>455</v>
      </c>
      <c r="D24" s="346"/>
      <c r="E24" s="346"/>
      <c r="F24" s="346"/>
      <c r="G24" s="346"/>
      <c r="H24" s="183"/>
      <c r="I24" s="183"/>
      <c r="J24" s="36">
        <f>540255+500000</f>
        <v>1040255</v>
      </c>
      <c r="K24" s="36">
        <v>0</v>
      </c>
      <c r="L24" s="252">
        <f t="shared" si="8"/>
        <v>0</v>
      </c>
    </row>
    <row r="25" spans="2:12" x14ac:dyDescent="0.2">
      <c r="B25" s="88">
        <f t="shared" ref="B25:B33" si="9">B24+1</f>
        <v>4</v>
      </c>
      <c r="C25" s="146" t="s">
        <v>617</v>
      </c>
      <c r="D25" s="147"/>
      <c r="E25" s="183"/>
      <c r="F25" s="183"/>
      <c r="G25" s="147"/>
      <c r="H25" s="183"/>
      <c r="I25" s="183"/>
      <c r="J25" s="36">
        <v>237217</v>
      </c>
      <c r="K25" s="36">
        <v>237217</v>
      </c>
      <c r="L25" s="252">
        <f t="shared" si="8"/>
        <v>100</v>
      </c>
    </row>
    <row r="26" spans="2:12" x14ac:dyDescent="0.2">
      <c r="B26" s="88">
        <f t="shared" si="9"/>
        <v>5</v>
      </c>
      <c r="C26" s="85" t="s">
        <v>456</v>
      </c>
      <c r="D26" s="86"/>
      <c r="E26" s="183"/>
      <c r="F26" s="183"/>
      <c r="G26" s="86"/>
      <c r="H26" s="183"/>
      <c r="I26" s="183"/>
      <c r="J26" s="36">
        <f>971500+7000</f>
        <v>978500</v>
      </c>
      <c r="K26" s="36">
        <v>978500</v>
      </c>
      <c r="L26" s="252">
        <f t="shared" si="8"/>
        <v>100</v>
      </c>
    </row>
    <row r="27" spans="2:12" x14ac:dyDescent="0.2">
      <c r="B27" s="88">
        <f t="shared" si="9"/>
        <v>6</v>
      </c>
      <c r="C27" s="345" t="s">
        <v>457</v>
      </c>
      <c r="D27" s="346"/>
      <c r="E27" s="346"/>
      <c r="F27" s="346"/>
      <c r="G27" s="346"/>
      <c r="H27" s="183"/>
      <c r="I27" s="183"/>
      <c r="J27" s="36">
        <f>1500000-500000</f>
        <v>1000000</v>
      </c>
      <c r="K27" s="36">
        <v>0</v>
      </c>
      <c r="L27" s="252">
        <f t="shared" si="8"/>
        <v>0</v>
      </c>
    </row>
    <row r="28" spans="2:12" x14ac:dyDescent="0.2">
      <c r="B28" s="88">
        <f t="shared" si="9"/>
        <v>7</v>
      </c>
      <c r="C28" s="146" t="s">
        <v>618</v>
      </c>
      <c r="D28" s="147"/>
      <c r="E28" s="183"/>
      <c r="F28" s="183"/>
      <c r="G28" s="147"/>
      <c r="H28" s="183"/>
      <c r="I28" s="183"/>
      <c r="J28" s="36">
        <f>215428+50006</f>
        <v>265434</v>
      </c>
      <c r="K28" s="36">
        <v>265434</v>
      </c>
      <c r="L28" s="252">
        <f t="shared" si="8"/>
        <v>100</v>
      </c>
    </row>
    <row r="29" spans="2:12" x14ac:dyDescent="0.2">
      <c r="B29" s="88">
        <f t="shared" si="9"/>
        <v>8</v>
      </c>
      <c r="C29" s="249" t="s">
        <v>709</v>
      </c>
      <c r="D29" s="250"/>
      <c r="E29" s="250"/>
      <c r="F29" s="250"/>
      <c r="G29" s="250"/>
      <c r="H29" s="250"/>
      <c r="I29" s="250"/>
      <c r="J29" s="36"/>
      <c r="K29" s="36">
        <v>598</v>
      </c>
      <c r="L29" s="252"/>
    </row>
    <row r="30" spans="2:12" ht="15.75" x14ac:dyDescent="0.25">
      <c r="B30" s="88">
        <f t="shared" si="9"/>
        <v>9</v>
      </c>
      <c r="C30" s="350" t="s">
        <v>319</v>
      </c>
      <c r="D30" s="351"/>
      <c r="E30" s="351"/>
      <c r="F30" s="351"/>
      <c r="G30" s="351"/>
      <c r="H30" s="184"/>
      <c r="I30" s="184"/>
      <c r="J30" s="35">
        <f>SUM(J31:J35)</f>
        <v>3008175</v>
      </c>
      <c r="K30" s="35">
        <f t="shared" ref="K30" si="10">SUM(K31:K35)</f>
        <v>1537887</v>
      </c>
      <c r="L30" s="252">
        <f t="shared" si="8"/>
        <v>51.123588222094796</v>
      </c>
    </row>
    <row r="31" spans="2:12" x14ac:dyDescent="0.2">
      <c r="B31" s="88">
        <f t="shared" si="9"/>
        <v>10</v>
      </c>
      <c r="C31" s="345" t="s">
        <v>458</v>
      </c>
      <c r="D31" s="346"/>
      <c r="E31" s="346"/>
      <c r="F31" s="346"/>
      <c r="G31" s="346"/>
      <c r="H31" s="183"/>
      <c r="I31" s="183"/>
      <c r="J31" s="36">
        <f>1456675+180000</f>
        <v>1636675</v>
      </c>
      <c r="K31" s="36">
        <v>852035</v>
      </c>
      <c r="L31" s="252">
        <f t="shared" si="8"/>
        <v>52.058899903768307</v>
      </c>
    </row>
    <row r="32" spans="2:12" x14ac:dyDescent="0.2">
      <c r="B32" s="88">
        <f t="shared" si="9"/>
        <v>11</v>
      </c>
      <c r="C32" s="345" t="s">
        <v>459</v>
      </c>
      <c r="D32" s="346"/>
      <c r="E32" s="346"/>
      <c r="F32" s="346"/>
      <c r="G32" s="346"/>
      <c r="H32" s="183"/>
      <c r="I32" s="183"/>
      <c r="J32" s="36">
        <v>1162800</v>
      </c>
      <c r="K32" s="36">
        <v>581399</v>
      </c>
      <c r="L32" s="252">
        <f t="shared" si="8"/>
        <v>49.999914000687994</v>
      </c>
    </row>
    <row r="33" spans="2:12" x14ac:dyDescent="0.2">
      <c r="B33" s="88">
        <f t="shared" si="9"/>
        <v>12</v>
      </c>
      <c r="C33" s="345" t="s">
        <v>460</v>
      </c>
      <c r="D33" s="346"/>
      <c r="E33" s="346"/>
      <c r="F33" s="346"/>
      <c r="G33" s="346"/>
      <c r="H33" s="183"/>
      <c r="I33" s="183"/>
      <c r="J33" s="36">
        <v>58700</v>
      </c>
      <c r="K33" s="36">
        <v>29339</v>
      </c>
      <c r="L33" s="252">
        <f t="shared" si="8"/>
        <v>49.981260647359456</v>
      </c>
    </row>
    <row r="34" spans="2:12" x14ac:dyDescent="0.2">
      <c r="B34" s="88">
        <f t="shared" ref="B34:B36" si="11">B33+1</f>
        <v>13</v>
      </c>
      <c r="C34" s="345" t="s">
        <v>460</v>
      </c>
      <c r="D34" s="346"/>
      <c r="E34" s="346"/>
      <c r="F34" s="346"/>
      <c r="G34" s="346"/>
      <c r="H34" s="183"/>
      <c r="I34" s="183"/>
      <c r="J34" s="36">
        <v>126000</v>
      </c>
      <c r="K34" s="36">
        <v>62995</v>
      </c>
      <c r="L34" s="252">
        <f t="shared" si="8"/>
        <v>49.996031746031747</v>
      </c>
    </row>
    <row r="35" spans="2:12" ht="13.5" thickBot="1" x14ac:dyDescent="0.25">
      <c r="B35" s="88">
        <f t="shared" si="11"/>
        <v>14</v>
      </c>
      <c r="C35" s="345" t="s">
        <v>461</v>
      </c>
      <c r="D35" s="346"/>
      <c r="E35" s="346"/>
      <c r="F35" s="346"/>
      <c r="G35" s="346"/>
      <c r="H35" s="183"/>
      <c r="I35" s="183"/>
      <c r="J35" s="36">
        <v>24000</v>
      </c>
      <c r="K35" s="36">
        <v>12119</v>
      </c>
      <c r="L35" s="252">
        <f t="shared" si="8"/>
        <v>50.49583333333333</v>
      </c>
    </row>
    <row r="36" spans="2:12" ht="16.5" thickTop="1" x14ac:dyDescent="0.25">
      <c r="B36" s="88">
        <f t="shared" si="11"/>
        <v>15</v>
      </c>
      <c r="C36" s="352" t="s">
        <v>320</v>
      </c>
      <c r="D36" s="353"/>
      <c r="E36" s="353"/>
      <c r="F36" s="353"/>
      <c r="G36" s="353"/>
      <c r="H36" s="185"/>
      <c r="I36" s="185"/>
      <c r="J36" s="69">
        <f>J19+J22-J30</f>
        <v>0</v>
      </c>
      <c r="K36" s="69">
        <f t="shared" ref="K36" si="12">K19+K22-K30</f>
        <v>7820606</v>
      </c>
      <c r="L36" s="188"/>
    </row>
    <row r="37" spans="2:12" x14ac:dyDescent="0.2">
      <c r="B37" s="87"/>
    </row>
    <row r="39" spans="2:12" ht="27.75" customHeight="1" x14ac:dyDescent="0.2">
      <c r="B39" s="354" t="s">
        <v>329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</row>
    <row r="40" spans="2:12" ht="12.75" customHeight="1" x14ac:dyDescent="0.2">
      <c r="B40" s="344" t="s">
        <v>330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</row>
    <row r="41" spans="2:12" x14ac:dyDescent="0.2"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</row>
  </sheetData>
  <mergeCells count="15">
    <mergeCell ref="B40:L41"/>
    <mergeCell ref="C31:G31"/>
    <mergeCell ref="B2:C2"/>
    <mergeCell ref="B21:J21"/>
    <mergeCell ref="C24:G24"/>
    <mergeCell ref="C33:G33"/>
    <mergeCell ref="C22:G22"/>
    <mergeCell ref="C30:G30"/>
    <mergeCell ref="C23:G23"/>
    <mergeCell ref="C27:G27"/>
    <mergeCell ref="C32:G32"/>
    <mergeCell ref="C36:G36"/>
    <mergeCell ref="C35:G35"/>
    <mergeCell ref="C34:G34"/>
    <mergeCell ref="B39:L39"/>
  </mergeCells>
  <phoneticPr fontId="1" type="noConversion"/>
  <pageMargins left="0.55118110236220474" right="0.35433070866141736" top="0.98425196850393704" bottom="0.98425196850393704" header="0.51181102362204722" footer="0.51181102362204722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2016-08-26T06:47:58Z</cp:lastPrinted>
  <dcterms:created xsi:type="dcterms:W3CDTF">2014-05-27T11:25:41Z</dcterms:created>
  <dcterms:modified xsi:type="dcterms:W3CDTF">2016-08-31T07:38:01Z</dcterms:modified>
</cp:coreProperties>
</file>