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Ekomonicky utvar\- Oddelenie  financne\MFT602\Capova\ROZPOČET2015\Zmeny rozpočtu\zmena rozpočtu december 2015\"/>
    </mc:Choice>
  </mc:AlternateContent>
  <bookViews>
    <workbookView xWindow="0" yWindow="0" windowWidth="19440" windowHeight="10335" tabRatio="840"/>
  </bookViews>
  <sheets>
    <sheet name="Príjmy" sheetId="7" r:id="rId1"/>
    <sheet name="Výdavky" sheetId="21" r:id="rId2"/>
    <sheet name="Sumarizácia" sheetId="15" r:id="rId3"/>
  </sheets>
  <definedNames>
    <definedName name="_xlnm._FilterDatabase" localSheetId="0" hidden="1">Príjmy!#REF!</definedName>
    <definedName name="_xlnm.Print_Area" localSheetId="0">Príjmy!$B$2:$J$287</definedName>
    <definedName name="_xlnm.Print_Area" localSheetId="2">Sumarizácia!$B$1:$L$46</definedName>
    <definedName name="_xlnm.Print_Area" localSheetId="1">Výdavky!$B$1:$R$1806</definedName>
  </definedNames>
  <calcPr calcId="152511"/>
</workbook>
</file>

<file path=xl/calcChain.xml><?xml version="1.0" encoding="utf-8"?>
<calcChain xmlns="http://schemas.openxmlformats.org/spreadsheetml/2006/main">
  <c r="I570" i="21" l="1"/>
  <c r="I118" i="7" l="1"/>
  <c r="J145" i="7"/>
  <c r="B144" i="7"/>
  <c r="B145" i="7" s="1"/>
  <c r="I852" i="21" l="1"/>
  <c r="I1336" i="21" l="1"/>
  <c r="P1347" i="21"/>
  <c r="Q1347" i="21"/>
  <c r="J1347" i="21"/>
  <c r="R1347" i="21" s="1"/>
  <c r="H1354" i="21"/>
  <c r="H169" i="21" l="1"/>
  <c r="J87" i="21"/>
  <c r="R87" i="21" s="1"/>
  <c r="P87" i="21"/>
  <c r="Q87" i="21"/>
  <c r="H1336" i="21"/>
  <c r="H246" i="7"/>
  <c r="J1305" i="21"/>
  <c r="R1305" i="21" s="1"/>
  <c r="P1305" i="21"/>
  <c r="Q1305" i="21"/>
  <c r="H1301" i="21"/>
  <c r="H1297" i="21"/>
  <c r="H1296" i="21"/>
  <c r="H385" i="21" l="1"/>
  <c r="H305" i="21"/>
  <c r="H306" i="21"/>
  <c r="J1465" i="21" l="1"/>
  <c r="R1465" i="21" s="1"/>
  <c r="P1465" i="21"/>
  <c r="Q1465" i="21"/>
  <c r="H1463" i="21"/>
  <c r="L295" i="21"/>
  <c r="L463" i="21"/>
  <c r="L456" i="21"/>
  <c r="L455" i="21"/>
  <c r="P465" i="21"/>
  <c r="P467" i="21"/>
  <c r="N467" i="21"/>
  <c r="R467" i="21" s="1"/>
  <c r="L453" i="21"/>
  <c r="I1565" i="21" l="1"/>
  <c r="I1520" i="21"/>
  <c r="J903" i="21" l="1"/>
  <c r="I241" i="7"/>
  <c r="J202" i="7" l="1"/>
  <c r="I200" i="7"/>
  <c r="Q843" i="21"/>
  <c r="Q844" i="21"/>
  <c r="Q845" i="21"/>
  <c r="P844" i="21"/>
  <c r="J844" i="21"/>
  <c r="R844" i="21" s="1"/>
  <c r="I850" i="21"/>
  <c r="I839" i="21"/>
  <c r="I750" i="21"/>
  <c r="I740" i="21"/>
  <c r="I775" i="21"/>
  <c r="I763" i="21"/>
  <c r="Q732" i="21"/>
  <c r="P732" i="21"/>
  <c r="J732" i="21"/>
  <c r="R732" i="21" s="1"/>
  <c r="I726" i="21"/>
  <c r="I723" i="21" s="1"/>
  <c r="I715" i="21"/>
  <c r="I885" i="21"/>
  <c r="I825" i="21"/>
  <c r="I815" i="21"/>
  <c r="I873" i="21"/>
  <c r="I863" i="21"/>
  <c r="I802" i="21"/>
  <c r="I790" i="21"/>
  <c r="I996" i="21" l="1"/>
  <c r="I1258" i="21"/>
  <c r="I1248" i="21"/>
  <c r="I955" i="21"/>
  <c r="I207" i="7"/>
  <c r="J1000" i="21"/>
  <c r="R1000" i="21" s="1"/>
  <c r="Q1000" i="21"/>
  <c r="P1000" i="21"/>
  <c r="I1137" i="21"/>
  <c r="I1127" i="21"/>
  <c r="I916" i="21"/>
  <c r="I985" i="21"/>
  <c r="I924" i="21"/>
  <c r="I1198" i="21"/>
  <c r="I1189" i="21"/>
  <c r="I948" i="21"/>
  <c r="I1178" i="21"/>
  <c r="I1167" i="21"/>
  <c r="I940" i="21"/>
  <c r="I1227" i="21"/>
  <c r="I705" i="21"/>
  <c r="I686" i="21"/>
  <c r="H1804" i="21" l="1"/>
  <c r="H1802" i="21"/>
  <c r="H1756" i="21"/>
  <c r="H1754" i="21"/>
  <c r="H1745" i="21"/>
  <c r="H1743" i="21"/>
  <c r="H1721" i="21"/>
  <c r="H1720" i="21"/>
  <c r="H1709" i="21"/>
  <c r="H1707" i="21"/>
  <c r="H1702" i="21"/>
  <c r="H1693" i="21"/>
  <c r="H1673" i="21"/>
  <c r="H1672" i="21"/>
  <c r="H1629" i="21"/>
  <c r="H1628" i="21"/>
  <c r="H1625" i="21"/>
  <c r="H1579" i="21"/>
  <c r="H1534" i="21"/>
  <c r="H1531" i="21"/>
  <c r="H1530" i="21"/>
  <c r="H1513" i="21"/>
  <c r="H1475" i="21"/>
  <c r="H1474" i="21"/>
  <c r="H1472" i="21"/>
  <c r="H1470" i="21"/>
  <c r="H1468" i="21"/>
  <c r="H1390" i="21"/>
  <c r="H1385" i="21"/>
  <c r="H1384" i="21"/>
  <c r="H1371" i="21"/>
  <c r="H1366" i="21"/>
  <c r="H1359" i="21"/>
  <c r="H1356" i="21"/>
  <c r="H1094" i="21"/>
  <c r="H1086" i="21"/>
  <c r="H1084" i="21"/>
  <c r="H1083" i="21"/>
  <c r="H1078" i="21"/>
  <c r="H1076" i="21"/>
  <c r="H1075" i="21"/>
  <c r="H1072" i="21"/>
  <c r="H1064" i="21"/>
  <c r="H1062" i="21"/>
  <c r="H1055" i="21"/>
  <c r="H1053" i="21"/>
  <c r="H1037" i="21"/>
  <c r="H1035" i="21"/>
  <c r="H1034" i="21"/>
  <c r="H1024" i="21"/>
  <c r="H1022" i="21"/>
  <c r="H1011" i="21"/>
  <c r="H672" i="21"/>
  <c r="H671" i="21"/>
  <c r="H669" i="21"/>
  <c r="H661" i="21"/>
  <c r="H659" i="21"/>
  <c r="H656" i="21"/>
  <c r="H653" i="21"/>
  <c r="H652" i="21"/>
  <c r="H651" i="21"/>
  <c r="H648" i="21"/>
  <c r="H643" i="21"/>
  <c r="H641" i="21"/>
  <c r="H638" i="21"/>
  <c r="H632" i="21"/>
  <c r="H630" i="21"/>
  <c r="H622" i="21"/>
  <c r="H621" i="21"/>
  <c r="H620" i="21"/>
  <c r="H611" i="21"/>
  <c r="H609" i="21"/>
  <c r="H601" i="21"/>
  <c r="H599" i="21"/>
  <c r="H598" i="21"/>
  <c r="H591" i="21"/>
  <c r="H581" i="21"/>
  <c r="H580" i="21"/>
  <c r="H579" i="21"/>
  <c r="H563" i="21"/>
  <c r="H557" i="21"/>
  <c r="H553" i="21"/>
  <c r="H552" i="21"/>
  <c r="H544" i="21"/>
  <c r="H543" i="21"/>
  <c r="H538" i="21"/>
  <c r="H427" i="21"/>
  <c r="H426" i="21"/>
  <c r="H382" i="21"/>
  <c r="H380" i="21"/>
  <c r="H379" i="21"/>
  <c r="H376" i="21"/>
  <c r="L361" i="21" l="1"/>
  <c r="H372" i="21"/>
  <c r="H370" i="21"/>
  <c r="H363" i="21"/>
  <c r="H362" i="21"/>
  <c r="H264" i="21"/>
  <c r="H263" i="21"/>
  <c r="H260" i="21"/>
  <c r="H158" i="21"/>
  <c r="H151" i="21"/>
  <c r="H150" i="21"/>
  <c r="H85" i="21"/>
  <c r="H84" i="21" s="1"/>
  <c r="J1645" i="21" l="1"/>
  <c r="R1645" i="21" s="1"/>
  <c r="P1645" i="21"/>
  <c r="N477" i="21"/>
  <c r="R477" i="21" s="1"/>
  <c r="P477" i="21"/>
  <c r="L478" i="21"/>
  <c r="N465" i="21"/>
  <c r="R465" i="21" s="1"/>
  <c r="L466" i="21"/>
  <c r="N466" i="21" s="1"/>
  <c r="L473" i="21"/>
  <c r="L437" i="21"/>
  <c r="H1293" i="21"/>
  <c r="H1292" i="21"/>
  <c r="H1291" i="21"/>
  <c r="L834" i="21"/>
  <c r="I1529" i="21"/>
  <c r="I1365" i="21"/>
  <c r="P610" i="21" l="1"/>
  <c r="Q610" i="21"/>
  <c r="P580" i="21"/>
  <c r="Q580" i="21"/>
  <c r="J37" i="15" l="1"/>
  <c r="J31" i="15"/>
  <c r="J1346" i="21" l="1"/>
  <c r="R1346" i="21" s="1"/>
  <c r="P1346" i="21"/>
  <c r="Q1346" i="21"/>
  <c r="H1370" i="21"/>
  <c r="H1368" i="21"/>
  <c r="H1367" i="21"/>
  <c r="H1516" i="21"/>
  <c r="H252" i="21"/>
  <c r="H247" i="21"/>
  <c r="H29" i="21"/>
  <c r="H37" i="21"/>
  <c r="L47" i="21"/>
  <c r="P1536" i="21"/>
  <c r="Q1536" i="21"/>
  <c r="N1536" i="21"/>
  <c r="R1536" i="21" s="1"/>
  <c r="I1573" i="21" l="1"/>
  <c r="I1382" i="21" l="1"/>
  <c r="J116" i="7"/>
  <c r="I1703" i="21"/>
  <c r="I1750" i="21"/>
  <c r="I1741" i="21"/>
  <c r="I1624" i="21"/>
  <c r="M361" i="21"/>
  <c r="N373" i="21"/>
  <c r="R373" i="21" s="1"/>
  <c r="P373" i="21"/>
  <c r="Q373" i="21"/>
  <c r="I1093" i="21" l="1"/>
  <c r="I1069" i="21"/>
  <c r="I1060" i="21"/>
  <c r="I1052" i="21"/>
  <c r="I1021" i="21"/>
  <c r="I1085" i="21"/>
  <c r="I1077" i="21"/>
  <c r="I1036" i="21"/>
  <c r="I1013" i="21"/>
  <c r="I667" i="21"/>
  <c r="Q663" i="21"/>
  <c r="P663" i="21"/>
  <c r="J663" i="21"/>
  <c r="R663" i="21" s="1"/>
  <c r="I658" i="21"/>
  <c r="I655" i="21" s="1"/>
  <c r="Q654" i="21"/>
  <c r="P654" i="21"/>
  <c r="J654" i="21"/>
  <c r="R654" i="21" s="1"/>
  <c r="I650" i="21"/>
  <c r="I647" i="21" s="1"/>
  <c r="Q645" i="21"/>
  <c r="P645" i="21"/>
  <c r="J645" i="21"/>
  <c r="R645" i="21" s="1"/>
  <c r="I640" i="21"/>
  <c r="I637" i="21" s="1"/>
  <c r="I619" i="21"/>
  <c r="I597" i="21"/>
  <c r="J590" i="21"/>
  <c r="R590" i="21" s="1"/>
  <c r="P590" i="21"/>
  <c r="Q590" i="21"/>
  <c r="I587" i="21"/>
  <c r="I559" i="21"/>
  <c r="I556" i="21" s="1"/>
  <c r="I577" i="21"/>
  <c r="J564" i="21"/>
  <c r="R564" i="21" s="1"/>
  <c r="P564" i="21"/>
  <c r="Q564" i="21"/>
  <c r="J562" i="21"/>
  <c r="R562" i="21" s="1"/>
  <c r="P562" i="21"/>
  <c r="Q562" i="21"/>
  <c r="J545" i="21"/>
  <c r="R545" i="21" s="1"/>
  <c r="P545" i="21"/>
  <c r="Q545" i="21"/>
  <c r="L1481" i="21" l="1"/>
  <c r="H1289" i="21"/>
  <c r="H1281" i="21"/>
  <c r="H1241" i="21"/>
  <c r="H1240" i="21"/>
  <c r="H1238" i="21"/>
  <c r="H1235" i="21"/>
  <c r="H1234" i="21"/>
  <c r="H1162" i="21"/>
  <c r="H1159" i="21"/>
  <c r="H1156" i="21"/>
  <c r="H1155" i="21"/>
  <c r="H1153" i="21"/>
  <c r="L1089" i="21"/>
  <c r="L1048" i="21"/>
  <c r="H1002" i="21"/>
  <c r="H973" i="21"/>
  <c r="H972" i="21"/>
  <c r="H936" i="21"/>
  <c r="H935" i="21"/>
  <c r="H934" i="21"/>
  <c r="H931" i="21"/>
  <c r="H930" i="21"/>
  <c r="H894" i="21"/>
  <c r="H893" i="21"/>
  <c r="H899" i="21"/>
  <c r="H898" i="21"/>
  <c r="H694" i="21"/>
  <c r="H631" i="21"/>
  <c r="H571" i="21"/>
  <c r="H143" i="21"/>
  <c r="H80" i="21"/>
  <c r="L435" i="21"/>
  <c r="L178" i="21"/>
  <c r="L391" i="21"/>
  <c r="L1254" i="21"/>
  <c r="L1268" i="21"/>
  <c r="L1243" i="21"/>
  <c r="L1232" i="21"/>
  <c r="L1174" i="21"/>
  <c r="L1121" i="21"/>
  <c r="L1105" i="21"/>
  <c r="L1097" i="21"/>
  <c r="L1081" i="21"/>
  <c r="L1073" i="21"/>
  <c r="L1065" i="21"/>
  <c r="L1056" i="21"/>
  <c r="L1025" i="21"/>
  <c r="L1017" i="21"/>
  <c r="N593" i="21"/>
  <c r="L584" i="21"/>
  <c r="N584" i="21" s="1"/>
  <c r="J593" i="21"/>
  <c r="P593" i="21"/>
  <c r="Q593" i="21"/>
  <c r="P636" i="21"/>
  <c r="Q636" i="21"/>
  <c r="R593" i="21" l="1"/>
  <c r="N636" i="21"/>
  <c r="R636" i="21" s="1"/>
  <c r="H207" i="7" l="1"/>
  <c r="H198" i="7"/>
  <c r="I240" i="7" l="1"/>
  <c r="I239" i="7" s="1"/>
  <c r="J255" i="7"/>
  <c r="P903" i="21"/>
  <c r="Q903" i="21"/>
  <c r="R903" i="21"/>
  <c r="M1481" i="21" l="1"/>
  <c r="P1494" i="21"/>
  <c r="Q1494" i="21"/>
  <c r="N1494" i="21"/>
  <c r="R1494" i="21" s="1"/>
  <c r="Q1547" i="21" l="1"/>
  <c r="Q1545" i="21"/>
  <c r="N53" i="21"/>
  <c r="N54" i="21"/>
  <c r="N55" i="21"/>
  <c r="N56" i="21"/>
  <c r="N57" i="21"/>
  <c r="N58" i="21"/>
  <c r="N59" i="21"/>
  <c r="J274" i="7"/>
  <c r="J70" i="21"/>
  <c r="J69" i="21"/>
  <c r="J68" i="21"/>
  <c r="J67" i="21"/>
  <c r="J66" i="21"/>
  <c r="J65" i="21"/>
  <c r="J64" i="21"/>
  <c r="J63" i="21"/>
  <c r="J62" i="21"/>
  <c r="J61" i="21"/>
  <c r="J58" i="21"/>
  <c r="J57" i="21"/>
  <c r="J56" i="21"/>
  <c r="J55" i="21"/>
  <c r="J54" i="21"/>
  <c r="J53" i="21"/>
  <c r="J51" i="21"/>
  <c r="J50" i="21"/>
  <c r="J49" i="21"/>
  <c r="J45" i="21"/>
  <c r="J44" i="21"/>
  <c r="J43" i="21"/>
  <c r="J42" i="21"/>
  <c r="J41" i="21"/>
  <c r="J40" i="21"/>
  <c r="J38" i="21"/>
  <c r="J32" i="21"/>
  <c r="J31" i="21"/>
  <c r="J30" i="21"/>
  <c r="J29" i="21"/>
  <c r="J28" i="21"/>
  <c r="J27" i="21"/>
  <c r="J24" i="21"/>
  <c r="J23" i="21"/>
  <c r="J21" i="21"/>
  <c r="J20" i="21"/>
  <c r="J18" i="21"/>
  <c r="J16" i="21"/>
  <c r="J14" i="21"/>
  <c r="J12" i="21"/>
  <c r="J10" i="21"/>
  <c r="J9" i="21"/>
  <c r="I1157" i="21" l="1"/>
  <c r="I273" i="7"/>
  <c r="I629" i="21"/>
  <c r="I568" i="21"/>
  <c r="I607" i="21"/>
  <c r="J610" i="21"/>
  <c r="R610" i="21" s="1"/>
  <c r="I932" i="21"/>
  <c r="I929" i="21" s="1"/>
  <c r="I1236" i="21"/>
  <c r="I1233" i="21" s="1"/>
  <c r="I971" i="21"/>
  <c r="I895" i="21"/>
  <c r="L42" i="15"/>
  <c r="L41" i="15"/>
  <c r="L40" i="15"/>
  <c r="L39" i="15"/>
  <c r="L38" i="15"/>
  <c r="L35" i="15"/>
  <c r="L34" i="15"/>
  <c r="L33" i="15"/>
  <c r="L32" i="15"/>
  <c r="L29" i="15"/>
  <c r="L28" i="15"/>
  <c r="K25" i="15"/>
  <c r="K31" i="15"/>
  <c r="K37" i="15"/>
  <c r="I21" i="15"/>
  <c r="F19" i="15"/>
  <c r="Q1795" i="21"/>
  <c r="Q1798" i="21"/>
  <c r="Q1799" i="21"/>
  <c r="Q1800" i="21"/>
  <c r="Q1802" i="21"/>
  <c r="Q1803" i="21"/>
  <c r="Q1804" i="21"/>
  <c r="Q1806" i="21"/>
  <c r="M1794" i="21"/>
  <c r="H17" i="15" s="1"/>
  <c r="J1806" i="21"/>
  <c r="R1806" i="21" s="1"/>
  <c r="J1804" i="21"/>
  <c r="R1804" i="21" s="1"/>
  <c r="J1803" i="21"/>
  <c r="J1802" i="21"/>
  <c r="R1802" i="21" s="1"/>
  <c r="J1800" i="21"/>
  <c r="R1800" i="21" s="1"/>
  <c r="J1795" i="21"/>
  <c r="R1795" i="21" s="1"/>
  <c r="I1797" i="21"/>
  <c r="Q1797" i="21" s="1"/>
  <c r="I1801" i="21"/>
  <c r="Q1801" i="21" s="1"/>
  <c r="I1805" i="21"/>
  <c r="Q1622" i="21"/>
  <c r="Q1623" i="21"/>
  <c r="Q1624" i="21"/>
  <c r="Q1625" i="21"/>
  <c r="Q1626" i="21"/>
  <c r="Q1627" i="21"/>
  <c r="Q1628" i="21"/>
  <c r="Q1629" i="21"/>
  <c r="Q1631" i="21"/>
  <c r="Q1633" i="21"/>
  <c r="Q1634" i="21"/>
  <c r="Q1635" i="21"/>
  <c r="Q1636" i="21"/>
  <c r="Q1637" i="21"/>
  <c r="Q1638" i="21"/>
  <c r="Q1639" i="21"/>
  <c r="Q1640" i="21"/>
  <c r="Q1641" i="21"/>
  <c r="Q1642" i="21"/>
  <c r="Q1643" i="21"/>
  <c r="Q1644" i="21"/>
  <c r="Q1648" i="21"/>
  <c r="Q1649" i="21"/>
  <c r="Q1650" i="21"/>
  <c r="Q1651" i="21"/>
  <c r="Q1652" i="21"/>
  <c r="Q1653" i="21"/>
  <c r="Q1654" i="21"/>
  <c r="Q1658" i="21"/>
  <c r="Q1659" i="21"/>
  <c r="Q1660" i="21"/>
  <c r="Q1661" i="21"/>
  <c r="Q1662" i="21"/>
  <c r="Q1663" i="21"/>
  <c r="Q1664" i="21"/>
  <c r="Q1665" i="21"/>
  <c r="Q1667" i="21"/>
  <c r="Q1668" i="21"/>
  <c r="Q1669" i="21"/>
  <c r="Q1671" i="21"/>
  <c r="Q1672" i="21"/>
  <c r="Q1673" i="21"/>
  <c r="Q1676" i="21"/>
  <c r="Q1677" i="21"/>
  <c r="Q1679" i="21"/>
  <c r="Q1680" i="21"/>
  <c r="Q1681" i="21"/>
  <c r="Q1682" i="21"/>
  <c r="Q1683" i="21"/>
  <c r="Q1684" i="21"/>
  <c r="Q1685" i="21"/>
  <c r="Q1687" i="21"/>
  <c r="Q1690" i="21"/>
  <c r="Q1691" i="21"/>
  <c r="Q1692" i="21"/>
  <c r="Q1693" i="21"/>
  <c r="Q1695" i="21"/>
  <c r="Q1696" i="21"/>
  <c r="Q1697" i="21"/>
  <c r="Q1698" i="21"/>
  <c r="Q1701" i="21"/>
  <c r="Q1702" i="21"/>
  <c r="Q1703" i="21"/>
  <c r="Q1704" i="21"/>
  <c r="Q1705" i="21"/>
  <c r="Q1706" i="21"/>
  <c r="Q1707" i="21"/>
  <c r="Q1708" i="21"/>
  <c r="Q1709" i="21"/>
  <c r="Q1710" i="21"/>
  <c r="Q1712" i="21"/>
  <c r="Q1713" i="21"/>
  <c r="Q1715" i="21"/>
  <c r="Q1716" i="21"/>
  <c r="Q1720" i="21"/>
  <c r="Q1721" i="21"/>
  <c r="Q1722" i="21"/>
  <c r="Q1723" i="21"/>
  <c r="Q1724" i="21"/>
  <c r="Q1725" i="21"/>
  <c r="Q1726" i="21"/>
  <c r="Q1727" i="21"/>
  <c r="Q1730" i="21"/>
  <c r="Q1732" i="21"/>
  <c r="Q1733" i="21"/>
  <c r="Q1734" i="21"/>
  <c r="Q1735" i="21"/>
  <c r="Q1736" i="21"/>
  <c r="Q1739" i="21"/>
  <c r="Q1740" i="21"/>
  <c r="Q1741" i="21"/>
  <c r="Q1742" i="21"/>
  <c r="Q1743" i="21"/>
  <c r="Q1744" i="21"/>
  <c r="Q1745" i="21"/>
  <c r="Q1748" i="21"/>
  <c r="Q1749" i="21"/>
  <c r="Q1750" i="21"/>
  <c r="Q1751" i="21"/>
  <c r="Q1752" i="21"/>
  <c r="Q1753" i="21"/>
  <c r="Q1754" i="21"/>
  <c r="Q1755" i="21"/>
  <c r="Q1756" i="21"/>
  <c r="K30" i="15" l="1"/>
  <c r="Q1805" i="21"/>
  <c r="R1803" i="21"/>
  <c r="I1796" i="21"/>
  <c r="J1756" i="21"/>
  <c r="R1756" i="21" s="1"/>
  <c r="J1755" i="21"/>
  <c r="R1755" i="21" s="1"/>
  <c r="J1754" i="21"/>
  <c r="R1754" i="21" s="1"/>
  <c r="J1753" i="21"/>
  <c r="R1753" i="21" s="1"/>
  <c r="J1752" i="21"/>
  <c r="R1752" i="21" s="1"/>
  <c r="J1751" i="21"/>
  <c r="R1751" i="21" s="1"/>
  <c r="J1749" i="21"/>
  <c r="R1749" i="21" s="1"/>
  <c r="J1748" i="21"/>
  <c r="R1748" i="21" s="1"/>
  <c r="J1745" i="21"/>
  <c r="R1745" i="21" s="1"/>
  <c r="J1744" i="21"/>
  <c r="R1744" i="21" s="1"/>
  <c r="J1742" i="21"/>
  <c r="R1742" i="21" s="1"/>
  <c r="J1740" i="21"/>
  <c r="R1740" i="21" s="1"/>
  <c r="J1739" i="21"/>
  <c r="R1739" i="21" s="1"/>
  <c r="J1736" i="21"/>
  <c r="R1736" i="21" s="1"/>
  <c r="J1733" i="21"/>
  <c r="R1733" i="21" s="1"/>
  <c r="J1732" i="21"/>
  <c r="R1732" i="21" s="1"/>
  <c r="J1730" i="21"/>
  <c r="R1730" i="21" s="1"/>
  <c r="J1728" i="21"/>
  <c r="J1727" i="21"/>
  <c r="R1727" i="21" s="1"/>
  <c r="J1726" i="21"/>
  <c r="R1726" i="21" s="1"/>
  <c r="J1725" i="21"/>
  <c r="R1725" i="21" s="1"/>
  <c r="J1724" i="21"/>
  <c r="R1724" i="21" s="1"/>
  <c r="J1723" i="21"/>
  <c r="R1723" i="21" s="1"/>
  <c r="J1721" i="21"/>
  <c r="R1721" i="21" s="1"/>
  <c r="J1720" i="21"/>
  <c r="R1720" i="21" s="1"/>
  <c r="J1717" i="21"/>
  <c r="J1716" i="21"/>
  <c r="R1716" i="21" s="1"/>
  <c r="J1715" i="21"/>
  <c r="R1715" i="21" s="1"/>
  <c r="J1714" i="21"/>
  <c r="J1713" i="21"/>
  <c r="R1713" i="21" s="1"/>
  <c r="J1712" i="21"/>
  <c r="R1712" i="21" s="1"/>
  <c r="J1711" i="21"/>
  <c r="J1710" i="21"/>
  <c r="R1710" i="21" s="1"/>
  <c r="J1709" i="21"/>
  <c r="R1709" i="21" s="1"/>
  <c r="J1707" i="21"/>
  <c r="R1707" i="21" s="1"/>
  <c r="J1705" i="21"/>
  <c r="R1705" i="21" s="1"/>
  <c r="J1704" i="21"/>
  <c r="R1704" i="21" s="1"/>
  <c r="J1702" i="21"/>
  <c r="R1702" i="21" s="1"/>
  <c r="J1701" i="21"/>
  <c r="R1701" i="21" s="1"/>
  <c r="J1698" i="21"/>
  <c r="R1698" i="21" s="1"/>
  <c r="J1697" i="21"/>
  <c r="R1697" i="21" s="1"/>
  <c r="J1696" i="21"/>
  <c r="R1696" i="21" s="1"/>
  <c r="J1695" i="21"/>
  <c r="R1695" i="21" s="1"/>
  <c r="J1693" i="21"/>
  <c r="R1693" i="21" s="1"/>
  <c r="J1690" i="21"/>
  <c r="R1690" i="21" s="1"/>
  <c r="J1687" i="21"/>
  <c r="R1687" i="21" s="1"/>
  <c r="J1686" i="21"/>
  <c r="J1685" i="21"/>
  <c r="R1685" i="21" s="1"/>
  <c r="J1684" i="21"/>
  <c r="R1684" i="21" s="1"/>
  <c r="J1683" i="21"/>
  <c r="R1683" i="21" s="1"/>
  <c r="J1682" i="21"/>
  <c r="R1682" i="21" s="1"/>
  <c r="J1681" i="21"/>
  <c r="R1681" i="21" s="1"/>
  <c r="J1680" i="21"/>
  <c r="R1680" i="21" s="1"/>
  <c r="J1679" i="21"/>
  <c r="R1679" i="21" s="1"/>
  <c r="J1677" i="21"/>
  <c r="R1677" i="21" s="1"/>
  <c r="J1676" i="21"/>
  <c r="R1676" i="21" s="1"/>
  <c r="J1673" i="21"/>
  <c r="R1673" i="21" s="1"/>
  <c r="J1672" i="21"/>
  <c r="R1672" i="21" s="1"/>
  <c r="J1671" i="21"/>
  <c r="R1671" i="21" s="1"/>
  <c r="J1669" i="21"/>
  <c r="R1669" i="21" s="1"/>
  <c r="J1668" i="21"/>
  <c r="R1668" i="21" s="1"/>
  <c r="J1665" i="21"/>
  <c r="R1665" i="21" s="1"/>
  <c r="J1664" i="21"/>
  <c r="R1664" i="21" s="1"/>
  <c r="J1663" i="21"/>
  <c r="R1663" i="21" s="1"/>
  <c r="J1662" i="21"/>
  <c r="R1662" i="21" s="1"/>
  <c r="J1661" i="21"/>
  <c r="R1661" i="21" s="1"/>
  <c r="J1660" i="21"/>
  <c r="R1660" i="21" s="1"/>
  <c r="J1659" i="21"/>
  <c r="R1659" i="21" s="1"/>
  <c r="J1658" i="21"/>
  <c r="R1658" i="21" s="1"/>
  <c r="J1654" i="21"/>
  <c r="R1654" i="21" s="1"/>
  <c r="J1653" i="21"/>
  <c r="R1653" i="21" s="1"/>
  <c r="J1652" i="21"/>
  <c r="R1652" i="21" s="1"/>
  <c r="J1651" i="21"/>
  <c r="R1651" i="21" s="1"/>
  <c r="J1649" i="21"/>
  <c r="R1649" i="21" s="1"/>
  <c r="J1648" i="21"/>
  <c r="R1648" i="21" s="1"/>
  <c r="J1644" i="21"/>
  <c r="R1644" i="21" s="1"/>
  <c r="J1643" i="21"/>
  <c r="R1643" i="21" s="1"/>
  <c r="J1642" i="21"/>
  <c r="R1642" i="21" s="1"/>
  <c r="J1641" i="21"/>
  <c r="R1641" i="21" s="1"/>
  <c r="J1640" i="21"/>
  <c r="R1640" i="21" s="1"/>
  <c r="J1639" i="21"/>
  <c r="R1639" i="21" s="1"/>
  <c r="J1638" i="21"/>
  <c r="R1638" i="21" s="1"/>
  <c r="J1637" i="21"/>
  <c r="R1637" i="21" s="1"/>
  <c r="J1635" i="21"/>
  <c r="R1635" i="21" s="1"/>
  <c r="J1634" i="21"/>
  <c r="R1634" i="21" s="1"/>
  <c r="J1633" i="21"/>
  <c r="R1633" i="21" s="1"/>
  <c r="J1631" i="21"/>
  <c r="R1631" i="21" s="1"/>
  <c r="J1629" i="21"/>
  <c r="R1629" i="21" s="1"/>
  <c r="J1628" i="21"/>
  <c r="R1628" i="21" s="1"/>
  <c r="J1627" i="21"/>
  <c r="R1627" i="21" s="1"/>
  <c r="J1626" i="21"/>
  <c r="R1626" i="21" s="1"/>
  <c r="J1625" i="21"/>
  <c r="R1625" i="21" s="1"/>
  <c r="J1623" i="21"/>
  <c r="R1623" i="21" s="1"/>
  <c r="J1622" i="21"/>
  <c r="R1622" i="21" s="1"/>
  <c r="I1621" i="21"/>
  <c r="I1630" i="21"/>
  <c r="Q1630" i="21" s="1"/>
  <c r="I1632" i="21"/>
  <c r="Q1632" i="21" s="1"/>
  <c r="I1647" i="21"/>
  <c r="I1657" i="21"/>
  <c r="I1678" i="21"/>
  <c r="I1689" i="21"/>
  <c r="I1700" i="21"/>
  <c r="I1719" i="21"/>
  <c r="I1729" i="21"/>
  <c r="Q1729" i="21" s="1"/>
  <c r="I1731" i="21"/>
  <c r="Q1731" i="21" s="1"/>
  <c r="I1738" i="21"/>
  <c r="I1747" i="21"/>
  <c r="Q1508" i="21"/>
  <c r="Q1509" i="21"/>
  <c r="Q1511" i="21"/>
  <c r="Q1512" i="21"/>
  <c r="Q1513" i="21"/>
  <c r="Q1514" i="21"/>
  <c r="Q1515" i="21"/>
  <c r="Q1516" i="21"/>
  <c r="Q1517" i="21"/>
  <c r="Q1519" i="21"/>
  <c r="Q1520" i="21"/>
  <c r="Q1521" i="21"/>
  <c r="Q1522" i="21"/>
  <c r="Q1523" i="21"/>
  <c r="Q1524" i="21"/>
  <c r="Q1525" i="21"/>
  <c r="Q1527" i="21"/>
  <c r="Q1528" i="21"/>
  <c r="Q1529" i="21"/>
  <c r="Q1530" i="21"/>
  <c r="Q1531" i="21"/>
  <c r="Q1532" i="21"/>
  <c r="Q1533" i="21"/>
  <c r="Q1534" i="21"/>
  <c r="Q1535" i="21"/>
  <c r="Q1538" i="21"/>
  <c r="Q1539" i="21"/>
  <c r="Q1543" i="21"/>
  <c r="Q1544" i="21"/>
  <c r="Q1546" i="21"/>
  <c r="Q1549" i="21"/>
  <c r="Q1550" i="21"/>
  <c r="Q1551" i="21"/>
  <c r="Q1553" i="21"/>
  <c r="Q1554" i="21"/>
  <c r="Q1555" i="21"/>
  <c r="Q1556" i="21"/>
  <c r="Q1557" i="21"/>
  <c r="Q1558" i="21"/>
  <c r="Q1560" i="21"/>
  <c r="Q1563" i="21"/>
  <c r="Q1564" i="21"/>
  <c r="Q1565" i="21"/>
  <c r="Q1566" i="21"/>
  <c r="Q1567" i="21"/>
  <c r="Q1568" i="21"/>
  <c r="Q1571" i="21"/>
  <c r="Q1572" i="21"/>
  <c r="Q1573" i="21"/>
  <c r="Q1574" i="21"/>
  <c r="Q1575" i="21"/>
  <c r="Q1576" i="21"/>
  <c r="Q1577" i="21"/>
  <c r="Q1578" i="21"/>
  <c r="Q1579" i="21"/>
  <c r="Q1580" i="21"/>
  <c r="N1561" i="21"/>
  <c r="N1559" i="21"/>
  <c r="N1551" i="21"/>
  <c r="N1550" i="21"/>
  <c r="N1547" i="21"/>
  <c r="N1539" i="21"/>
  <c r="R1539" i="21" s="1"/>
  <c r="M1506" i="21"/>
  <c r="M1541" i="21"/>
  <c r="M1552" i="21"/>
  <c r="M1569" i="21"/>
  <c r="L1506" i="21"/>
  <c r="N1506" i="21" s="1"/>
  <c r="L1542" i="21"/>
  <c r="N1542" i="21" s="1"/>
  <c r="L1548" i="21"/>
  <c r="L1552" i="21"/>
  <c r="L1569" i="21"/>
  <c r="J1568" i="21"/>
  <c r="R1568" i="21" s="1"/>
  <c r="J1566" i="21"/>
  <c r="J1564" i="21"/>
  <c r="R1564" i="21" s="1"/>
  <c r="J1563" i="21"/>
  <c r="J1560" i="21"/>
  <c r="R1560" i="21" s="1"/>
  <c r="J1558" i="21"/>
  <c r="R1558" i="21" s="1"/>
  <c r="J1557" i="21"/>
  <c r="R1557" i="21" s="1"/>
  <c r="J1556" i="21"/>
  <c r="R1556" i="21" s="1"/>
  <c r="J1555" i="21"/>
  <c r="J1554" i="21"/>
  <c r="R1554" i="21" s="1"/>
  <c r="J1553" i="21"/>
  <c r="R1553" i="21" s="1"/>
  <c r="J1551" i="21"/>
  <c r="R1551" i="21" s="1"/>
  <c r="J1550" i="21"/>
  <c r="J1549" i="21"/>
  <c r="R1549" i="21" s="1"/>
  <c r="J1539" i="21"/>
  <c r="J1538" i="21"/>
  <c r="R1538" i="21" s="1"/>
  <c r="J1535" i="21"/>
  <c r="J1533" i="21"/>
  <c r="R1533" i="21" s="1"/>
  <c r="J1523" i="21"/>
  <c r="J1522" i="21"/>
  <c r="R1522" i="21" s="1"/>
  <c r="J1521" i="21"/>
  <c r="R1521" i="21" s="1"/>
  <c r="J1519" i="21"/>
  <c r="J1515" i="21"/>
  <c r="J1514" i="21"/>
  <c r="R1514" i="21" s="1"/>
  <c r="J1512" i="21"/>
  <c r="R1512" i="21" s="1"/>
  <c r="J1511" i="21"/>
  <c r="J1509" i="21"/>
  <c r="R1509" i="21" s="1"/>
  <c r="J1508" i="21"/>
  <c r="R1508" i="21" s="1"/>
  <c r="I1510" i="21"/>
  <c r="I1507" i="21" s="1"/>
  <c r="Q1507" i="21" s="1"/>
  <c r="I1518" i="21"/>
  <c r="Q1518" i="21" s="1"/>
  <c r="I1526" i="21"/>
  <c r="Q1526" i="21" s="1"/>
  <c r="I1542" i="21"/>
  <c r="Q1542" i="21" s="1"/>
  <c r="I1548" i="21"/>
  <c r="Q1548" i="21" s="1"/>
  <c r="I1552" i="21"/>
  <c r="Q1552" i="21" s="1"/>
  <c r="I1559" i="21"/>
  <c r="Q1559" i="21" s="1"/>
  <c r="I1562" i="21"/>
  <c r="Q1452" i="21"/>
  <c r="Q1454" i="21"/>
  <c r="Q1455" i="21"/>
  <c r="Q1456" i="21"/>
  <c r="Q1457" i="21"/>
  <c r="Q1458" i="21"/>
  <c r="Q1459" i="21"/>
  <c r="Q1460" i="21"/>
  <c r="Q1461" i="21"/>
  <c r="Q1462" i="21"/>
  <c r="Q1463" i="21"/>
  <c r="Q1464" i="21"/>
  <c r="Q1468" i="21"/>
  <c r="Q1469" i="21"/>
  <c r="Q1470" i="21"/>
  <c r="Q1471" i="21"/>
  <c r="Q1472" i="21"/>
  <c r="Q1473" i="21"/>
  <c r="Q1474" i="21"/>
  <c r="Q1475" i="21"/>
  <c r="Q1476" i="21"/>
  <c r="Q1477" i="21"/>
  <c r="Q1478" i="21"/>
  <c r="Q1479" i="21"/>
  <c r="Q1480" i="21"/>
  <c r="Q1483" i="21"/>
  <c r="Q1484" i="21"/>
  <c r="Q1485" i="21"/>
  <c r="Q1486" i="21"/>
  <c r="Q1488" i="21"/>
  <c r="Q1489" i="21"/>
  <c r="Q1490" i="21"/>
  <c r="Q1491" i="21"/>
  <c r="Q1492" i="21"/>
  <c r="Q1493" i="21"/>
  <c r="Q1495" i="21"/>
  <c r="N1495" i="21"/>
  <c r="M1451" i="21"/>
  <c r="J1495" i="21"/>
  <c r="J1493" i="21"/>
  <c r="R1493" i="21" s="1"/>
  <c r="J1492" i="21"/>
  <c r="J1491" i="21"/>
  <c r="R1491" i="21" s="1"/>
  <c r="J1490" i="21"/>
  <c r="R1490" i="21" s="1"/>
  <c r="J1489" i="21"/>
  <c r="R1489" i="21" s="1"/>
  <c r="J1488" i="21"/>
  <c r="J1486" i="21"/>
  <c r="R1486" i="21" s="1"/>
  <c r="J1484" i="21"/>
  <c r="J1483" i="21"/>
  <c r="R1483" i="21" s="1"/>
  <c r="J1479" i="21"/>
  <c r="R1479" i="21" s="1"/>
  <c r="J1477" i="21"/>
  <c r="R1477" i="21" s="1"/>
  <c r="J1476" i="21"/>
  <c r="R1476" i="21" s="1"/>
  <c r="J1475" i="21"/>
  <c r="J1473" i="21"/>
  <c r="R1473" i="21" s="1"/>
  <c r="J1472" i="21"/>
  <c r="R1472" i="21" s="1"/>
  <c r="J1468" i="21"/>
  <c r="R1468" i="21" s="1"/>
  <c r="J1464" i="21"/>
  <c r="R1464" i="21" s="1"/>
  <c r="J1463" i="21"/>
  <c r="R1463" i="21" s="1"/>
  <c r="J1462" i="21"/>
  <c r="J1461" i="21"/>
  <c r="R1461" i="21" s="1"/>
  <c r="J1460" i="21"/>
  <c r="R1460" i="21" s="1"/>
  <c r="J1459" i="21"/>
  <c r="R1459" i="21" s="1"/>
  <c r="J1458" i="21"/>
  <c r="J1457" i="21"/>
  <c r="R1457" i="21" s="1"/>
  <c r="J1456" i="21"/>
  <c r="R1456" i="21" s="1"/>
  <c r="J1454" i="21"/>
  <c r="R1454" i="21" s="1"/>
  <c r="J1452" i="21"/>
  <c r="R1452" i="21" s="1"/>
  <c r="I1453" i="21"/>
  <c r="I1451" i="21" s="1"/>
  <c r="I1467" i="21"/>
  <c r="I1466" i="21" s="1"/>
  <c r="Q1466" i="21" s="1"/>
  <c r="I1482" i="21"/>
  <c r="I1481" i="21" s="1"/>
  <c r="Q1335" i="21"/>
  <c r="Q1337" i="21"/>
  <c r="Q1338" i="21"/>
  <c r="Q1339" i="21"/>
  <c r="Q1340" i="21"/>
  <c r="Q1341" i="21"/>
  <c r="Q1342" i="21"/>
  <c r="Q1343" i="21"/>
  <c r="Q1344" i="21"/>
  <c r="Q1345" i="21"/>
  <c r="Q1350" i="21"/>
  <c r="Q1351" i="21"/>
  <c r="Q1353" i="21"/>
  <c r="Q1354" i="21"/>
  <c r="Q1355" i="21"/>
  <c r="Q1356" i="21"/>
  <c r="Q1357" i="21"/>
  <c r="Q1358" i="21"/>
  <c r="Q1359" i="21"/>
  <c r="Q1360" i="21"/>
  <c r="Q1363" i="21"/>
  <c r="Q1364" i="21"/>
  <c r="Q1365" i="21"/>
  <c r="Q1366" i="21"/>
  <c r="Q1367" i="21"/>
  <c r="Q1368" i="21"/>
  <c r="Q1369" i="21"/>
  <c r="Q1370" i="21"/>
  <c r="Q1371" i="21"/>
  <c r="Q1373" i="21"/>
  <c r="Q1375" i="21"/>
  <c r="Q1378" i="21"/>
  <c r="Q1380" i="21"/>
  <c r="Q1381" i="21"/>
  <c r="Q1382" i="21"/>
  <c r="Q1383" i="21"/>
  <c r="Q1384" i="21"/>
  <c r="Q1385" i="21"/>
  <c r="Q1386" i="21"/>
  <c r="Q1387" i="21"/>
  <c r="Q1388" i="21"/>
  <c r="Q1390" i="21"/>
  <c r="Q1391" i="21"/>
  <c r="Q1393" i="21"/>
  <c r="Q1397" i="21"/>
  <c r="Q1398" i="21"/>
  <c r="Q1399" i="21"/>
  <c r="Q1400" i="21"/>
  <c r="Q1401" i="21"/>
  <c r="Q1402" i="21"/>
  <c r="Q1403" i="21"/>
  <c r="Q1404" i="21"/>
  <c r="Q1406" i="21"/>
  <c r="Q1407" i="21"/>
  <c r="N1407" i="21"/>
  <c r="N1406" i="21"/>
  <c r="N1393" i="21"/>
  <c r="N1388" i="21"/>
  <c r="N1375" i="21"/>
  <c r="R1375" i="21" s="1"/>
  <c r="N1360" i="21"/>
  <c r="N1349" i="21"/>
  <c r="N1336" i="21"/>
  <c r="N1335" i="21"/>
  <c r="M1352" i="21"/>
  <c r="M1361" i="21"/>
  <c r="M1379" i="21"/>
  <c r="M1377" i="21" s="1"/>
  <c r="M1395" i="21"/>
  <c r="J1407" i="21"/>
  <c r="J1406" i="21"/>
  <c r="J1404" i="21"/>
  <c r="R1404" i="21" s="1"/>
  <c r="J1403" i="21"/>
  <c r="R1403" i="21" s="1"/>
  <c r="J1402" i="21"/>
  <c r="R1402" i="21" s="1"/>
  <c r="J1401" i="21"/>
  <c r="R1401" i="21" s="1"/>
  <c r="J1400" i="21"/>
  <c r="R1400" i="21" s="1"/>
  <c r="J1398" i="21"/>
  <c r="J1397" i="21"/>
  <c r="R1397" i="21" s="1"/>
  <c r="J1393" i="21"/>
  <c r="J1391" i="21"/>
  <c r="J1387" i="21"/>
  <c r="R1387" i="21" s="1"/>
  <c r="J1386" i="21"/>
  <c r="R1386" i="21" s="1"/>
  <c r="J1384" i="21"/>
  <c r="J1383" i="21"/>
  <c r="R1383" i="21" s="1"/>
  <c r="J1381" i="21"/>
  <c r="R1381" i="21" s="1"/>
  <c r="J1380" i="21"/>
  <c r="R1380" i="21" s="1"/>
  <c r="J1378" i="21"/>
  <c r="R1378" i="21" s="1"/>
  <c r="J1373" i="21"/>
  <c r="R1373" i="21" s="1"/>
  <c r="J1371" i="21"/>
  <c r="R1371" i="21" s="1"/>
  <c r="J1370" i="21"/>
  <c r="R1370" i="21" s="1"/>
  <c r="J1369" i="21"/>
  <c r="R1369" i="21" s="1"/>
  <c r="J1368" i="21"/>
  <c r="R1368" i="21" s="1"/>
  <c r="J1367" i="21"/>
  <c r="R1367" i="21" s="1"/>
  <c r="J1366" i="21"/>
  <c r="R1366" i="21" s="1"/>
  <c r="J1364" i="21"/>
  <c r="R1364" i="21" s="1"/>
  <c r="J1363" i="21"/>
  <c r="R1363" i="21" s="1"/>
  <c r="J1360" i="21"/>
  <c r="J1359" i="21"/>
  <c r="R1359" i="21" s="1"/>
  <c r="J1357" i="21"/>
  <c r="R1357" i="21" s="1"/>
  <c r="J1356" i="21"/>
  <c r="R1356" i="21" s="1"/>
  <c r="J1354" i="21"/>
  <c r="R1354" i="21" s="1"/>
  <c r="J1353" i="21"/>
  <c r="R1353" i="21" s="1"/>
  <c r="J1351" i="21"/>
  <c r="R1351" i="21" s="1"/>
  <c r="J1350" i="21"/>
  <c r="R1350" i="21" s="1"/>
  <c r="J1345" i="21"/>
  <c r="R1345" i="21" s="1"/>
  <c r="J1344" i="21"/>
  <c r="R1344" i="21" s="1"/>
  <c r="J1343" i="21"/>
  <c r="R1343" i="21" s="1"/>
  <c r="J1342" i="21"/>
  <c r="R1342" i="21" s="1"/>
  <c r="J1341" i="21"/>
  <c r="R1341" i="21" s="1"/>
  <c r="J1340" i="21"/>
  <c r="R1340" i="21" s="1"/>
  <c r="J1339" i="21"/>
  <c r="R1339" i="21" s="1"/>
  <c r="J1338" i="21"/>
  <c r="R1338" i="21" s="1"/>
  <c r="J1337" i="21"/>
  <c r="R1337" i="21" s="1"/>
  <c r="J1335" i="21"/>
  <c r="Q1336" i="21"/>
  <c r="I1349" i="21"/>
  <c r="Q1349" i="21" s="1"/>
  <c r="I1352" i="21"/>
  <c r="I1362" i="21"/>
  <c r="I1361" i="21" s="1"/>
  <c r="I1379" i="21"/>
  <c r="I1377" i="21" s="1"/>
  <c r="I1396" i="21"/>
  <c r="I1395" i="21" s="1"/>
  <c r="Q538" i="21"/>
  <c r="Q539" i="21"/>
  <c r="Q541" i="21"/>
  <c r="Q542" i="21"/>
  <c r="Q543" i="21"/>
  <c r="Q544" i="21"/>
  <c r="Q547" i="21"/>
  <c r="Q548" i="21"/>
  <c r="Q550" i="21"/>
  <c r="Q551" i="21"/>
  <c r="Q552" i="21"/>
  <c r="Q553" i="21"/>
  <c r="Q554" i="21"/>
  <c r="Q555" i="21"/>
  <c r="Q557" i="21"/>
  <c r="Q558" i="21"/>
  <c r="Q559" i="21"/>
  <c r="Q560" i="21"/>
  <c r="Q561" i="21"/>
  <c r="Q563" i="21"/>
  <c r="Q566" i="21"/>
  <c r="Q567" i="21"/>
  <c r="Q568" i="21"/>
  <c r="Q569" i="21"/>
  <c r="Q570" i="21"/>
  <c r="Q571" i="21"/>
  <c r="Q572" i="21"/>
  <c r="Q573" i="21"/>
  <c r="Q575" i="21"/>
  <c r="Q576" i="21"/>
  <c r="Q577" i="21"/>
  <c r="Q578" i="21"/>
  <c r="Q579" i="21"/>
  <c r="Q581" i="21"/>
  <c r="Q582" i="21"/>
  <c r="Q583" i="21"/>
  <c r="Q585" i="21"/>
  <c r="Q586" i="21"/>
  <c r="Q587" i="21"/>
  <c r="Q588" i="21"/>
  <c r="Q589" i="21"/>
  <c r="Q591" i="21"/>
  <c r="Q592" i="21"/>
  <c r="Q595" i="21"/>
  <c r="Q596" i="21"/>
  <c r="Q597" i="21"/>
  <c r="Q598" i="21"/>
  <c r="Q599" i="21"/>
  <c r="Q600" i="21"/>
  <c r="Q601" i="21"/>
  <c r="Q602" i="21"/>
  <c r="Q603" i="21"/>
  <c r="Q605" i="21"/>
  <c r="Q606" i="21"/>
  <c r="Q607" i="21"/>
  <c r="Q608" i="21"/>
  <c r="Q609" i="21"/>
  <c r="Q611" i="21"/>
  <c r="Q612" i="21"/>
  <c r="Q613" i="21"/>
  <c r="Q614" i="21"/>
  <c r="Q615" i="21"/>
  <c r="Q617" i="21"/>
  <c r="Q618" i="21"/>
  <c r="Q619" i="21"/>
  <c r="Q620" i="21"/>
  <c r="Q621" i="21"/>
  <c r="Q622" i="21"/>
  <c r="Q623" i="21"/>
  <c r="Q624" i="21"/>
  <c r="Q625" i="21"/>
  <c r="Q627" i="21"/>
  <c r="Q628" i="21"/>
  <c r="Q629" i="21"/>
  <c r="Q630" i="21"/>
  <c r="Q631" i="21"/>
  <c r="Q632" i="21"/>
  <c r="Q633" i="21"/>
  <c r="Q634" i="21"/>
  <c r="Q635" i="21"/>
  <c r="Q638" i="21"/>
  <c r="Q639" i="21"/>
  <c r="Q640" i="21"/>
  <c r="Q641" i="21"/>
  <c r="Q642" i="21"/>
  <c r="Q643" i="21"/>
  <c r="Q644" i="21"/>
  <c r="Q646" i="21"/>
  <c r="Q648" i="21"/>
  <c r="Q649" i="21"/>
  <c r="Q650" i="21"/>
  <c r="Q651" i="21"/>
  <c r="Q652" i="21"/>
  <c r="Q653" i="21"/>
  <c r="Q656" i="21"/>
  <c r="Q657" i="21"/>
  <c r="Q658" i="21"/>
  <c r="Q659" i="21"/>
  <c r="Q660" i="21"/>
  <c r="Q661" i="21"/>
  <c r="Q662" i="21"/>
  <c r="Q665" i="21"/>
  <c r="Q666" i="21"/>
  <c r="Q667" i="21"/>
  <c r="Q668" i="21"/>
  <c r="Q669" i="21"/>
  <c r="Q670" i="21"/>
  <c r="Q671" i="21"/>
  <c r="Q672" i="21"/>
  <c r="Q673" i="21"/>
  <c r="Q675" i="21"/>
  <c r="Q676" i="21"/>
  <c r="Q678" i="21"/>
  <c r="Q679" i="21"/>
  <c r="Q680" i="21"/>
  <c r="Q681" i="21"/>
  <c r="Q682" i="21"/>
  <c r="Q684" i="21"/>
  <c r="Q685" i="21"/>
  <c r="Q686" i="21"/>
  <c r="Q687" i="21"/>
  <c r="Q688" i="21"/>
  <c r="Q689" i="21"/>
  <c r="Q690" i="21"/>
  <c r="Q691" i="21"/>
  <c r="Q692" i="21"/>
  <c r="Q694" i="21"/>
  <c r="Q696" i="21"/>
  <c r="Q697" i="21"/>
  <c r="Q698" i="21"/>
  <c r="Q703" i="21"/>
  <c r="Q704" i="21"/>
  <c r="Q705" i="21"/>
  <c r="Q706" i="21"/>
  <c r="Q707" i="21"/>
  <c r="Q708" i="21"/>
  <c r="Q709" i="21"/>
  <c r="Q710" i="21"/>
  <c r="Q713" i="21"/>
  <c r="Q714" i="21"/>
  <c r="Q715" i="21"/>
  <c r="Q716" i="21"/>
  <c r="Q717" i="21"/>
  <c r="Q718" i="21"/>
  <c r="Q719" i="21"/>
  <c r="Q720" i="21"/>
  <c r="Q721" i="21"/>
  <c r="Q722" i="21"/>
  <c r="Q724" i="21"/>
  <c r="Q725" i="21"/>
  <c r="Q726" i="21"/>
  <c r="Q727" i="21"/>
  <c r="Q728" i="21"/>
  <c r="Q729" i="21"/>
  <c r="Q730" i="21"/>
  <c r="Q731" i="21"/>
  <c r="Q733" i="21"/>
  <c r="Q734" i="21"/>
  <c r="Q735" i="21"/>
  <c r="Q738" i="21"/>
  <c r="Q739" i="21"/>
  <c r="Q740" i="21"/>
  <c r="Q741" i="21"/>
  <c r="Q742" i="21"/>
  <c r="Q743" i="21"/>
  <c r="Q744" i="21"/>
  <c r="Q745" i="21"/>
  <c r="Q746" i="21"/>
  <c r="Q748" i="21"/>
  <c r="Q749" i="21"/>
  <c r="Q750" i="21"/>
  <c r="Q751" i="21"/>
  <c r="Q752" i="21"/>
  <c r="Q753" i="21"/>
  <c r="Q754" i="21"/>
  <c r="Q755" i="21"/>
  <c r="Q756" i="21"/>
  <c r="Q757" i="21"/>
  <c r="Q758" i="21"/>
  <c r="Q761" i="21"/>
  <c r="Q762" i="21"/>
  <c r="Q763" i="21"/>
  <c r="Q764" i="21"/>
  <c r="Q765" i="21"/>
  <c r="Q766" i="21"/>
  <c r="Q767" i="21"/>
  <c r="Q768" i="21"/>
  <c r="Q769" i="21"/>
  <c r="Q770" i="21"/>
  <c r="Q771" i="21"/>
  <c r="Q773" i="21"/>
  <c r="Q774" i="21"/>
  <c r="Q775" i="21"/>
  <c r="Q776" i="21"/>
  <c r="Q777" i="21"/>
  <c r="Q778" i="21"/>
  <c r="Q779" i="21"/>
  <c r="Q780" i="21"/>
  <c r="Q781" i="21"/>
  <c r="Q782" i="21"/>
  <c r="Q783" i="21"/>
  <c r="Q784" i="21"/>
  <c r="Q785" i="21"/>
  <c r="Q788" i="21"/>
  <c r="Q789" i="21"/>
  <c r="Q790" i="21"/>
  <c r="Q791" i="21"/>
  <c r="Q792" i="21"/>
  <c r="Q793" i="21"/>
  <c r="Q794" i="21"/>
  <c r="Q795" i="21"/>
  <c r="Q796" i="21"/>
  <c r="Q797" i="21"/>
  <c r="Q798" i="21"/>
  <c r="Q800" i="21"/>
  <c r="Q801" i="21"/>
  <c r="Q802" i="21"/>
  <c r="Q803" i="21"/>
  <c r="Q804" i="21"/>
  <c r="Q805" i="21"/>
  <c r="Q806" i="21"/>
  <c r="Q807" i="21"/>
  <c r="Q808" i="21"/>
  <c r="Q809" i="21"/>
  <c r="Q810" i="21"/>
  <c r="Q813" i="21"/>
  <c r="Q814" i="21"/>
  <c r="Q815" i="21"/>
  <c r="Q816" i="21"/>
  <c r="Q817" i="21"/>
  <c r="Q818" i="21"/>
  <c r="Q819" i="21"/>
  <c r="Q820" i="21"/>
  <c r="Q821" i="21"/>
  <c r="Q823" i="21"/>
  <c r="Q824" i="21"/>
  <c r="Q825" i="21"/>
  <c r="Q826" i="21"/>
  <c r="Q827" i="21"/>
  <c r="Q828" i="21"/>
  <c r="Q829" i="21"/>
  <c r="Q830" i="21"/>
  <c r="Q831" i="21"/>
  <c r="Q832" i="21"/>
  <c r="Q834" i="21"/>
  <c r="Q837" i="21"/>
  <c r="Q838" i="21"/>
  <c r="Q839" i="21"/>
  <c r="Q840" i="21"/>
  <c r="Q841" i="21"/>
  <c r="Q842" i="21"/>
  <c r="Q846" i="21"/>
  <c r="Q848" i="21"/>
  <c r="Q849" i="21"/>
  <c r="Q850" i="21"/>
  <c r="Q851" i="21"/>
  <c r="Q852" i="21"/>
  <c r="Q853" i="21"/>
  <c r="Q854" i="21"/>
  <c r="Q855" i="21"/>
  <c r="Q856" i="21"/>
  <c r="Q857" i="21"/>
  <c r="Q858" i="21"/>
  <c r="Q861" i="21"/>
  <c r="Q862" i="21"/>
  <c r="Q863" i="21"/>
  <c r="Q864" i="21"/>
  <c r="Q865" i="21"/>
  <c r="Q866" i="21"/>
  <c r="Q867" i="21"/>
  <c r="Q868" i="21"/>
  <c r="Q869" i="21"/>
  <c r="Q871" i="21"/>
  <c r="Q872" i="21"/>
  <c r="Q873" i="21"/>
  <c r="Q874" i="21"/>
  <c r="Q875" i="21"/>
  <c r="Q876" i="21"/>
  <c r="Q877" i="21"/>
  <c r="Q878" i="21"/>
  <c r="Q879" i="21"/>
  <c r="Q880" i="21"/>
  <c r="Q883" i="21"/>
  <c r="Q884" i="21"/>
  <c r="Q885" i="21"/>
  <c r="Q886" i="21"/>
  <c r="Q887" i="21"/>
  <c r="Q888" i="21"/>
  <c r="Q889" i="21"/>
  <c r="Q890" i="21"/>
  <c r="Q891" i="21"/>
  <c r="Q893" i="21"/>
  <c r="Q894" i="21"/>
  <c r="Q895" i="21"/>
  <c r="Q896" i="21"/>
  <c r="Q897" i="21"/>
  <c r="Q898" i="21"/>
  <c r="Q899" i="21"/>
  <c r="Q900" i="21"/>
  <c r="Q901" i="21"/>
  <c r="Q907" i="21"/>
  <c r="Q908" i="21"/>
  <c r="Q909" i="21"/>
  <c r="Q910" i="21"/>
  <c r="Q911" i="21"/>
  <c r="Q912" i="21"/>
  <c r="Q914" i="21"/>
  <c r="Q915" i="21"/>
  <c r="Q916" i="21"/>
  <c r="Q917" i="21"/>
  <c r="Q918" i="21"/>
  <c r="Q919" i="21"/>
  <c r="Q920" i="21"/>
  <c r="Q922" i="21"/>
  <c r="Q923" i="21"/>
  <c r="Q924" i="21"/>
  <c r="Q925" i="21"/>
  <c r="Q926" i="21"/>
  <c r="Q927" i="21"/>
  <c r="Q928" i="21"/>
  <c r="Q930" i="21"/>
  <c r="Q931" i="21"/>
  <c r="Q932" i="21"/>
  <c r="Q933" i="21"/>
  <c r="Q934" i="21"/>
  <c r="Q935" i="21"/>
  <c r="Q936" i="21"/>
  <c r="Q938" i="21"/>
  <c r="Q939" i="21"/>
  <c r="Q940" i="21"/>
  <c r="Q941" i="21"/>
  <c r="Q942" i="21"/>
  <c r="Q943" i="21"/>
  <c r="Q944" i="21"/>
  <c r="Q946" i="21"/>
  <c r="Q947" i="21"/>
  <c r="Q948" i="21"/>
  <c r="Q949" i="21"/>
  <c r="Q950" i="21"/>
  <c r="Q951" i="21"/>
  <c r="Q953" i="21"/>
  <c r="Q954" i="21"/>
  <c r="Q955" i="21"/>
  <c r="Q956" i="21"/>
  <c r="Q957" i="21"/>
  <c r="Q958" i="21"/>
  <c r="Q959" i="21"/>
  <c r="Q961" i="21"/>
  <c r="Q962" i="21"/>
  <c r="Q963" i="21"/>
  <c r="Q964" i="21"/>
  <c r="Q965" i="21"/>
  <c r="Q966" i="21"/>
  <c r="Q967" i="21"/>
  <c r="Q969" i="21"/>
  <c r="Q970" i="21"/>
  <c r="Q971" i="21"/>
  <c r="Q972" i="21"/>
  <c r="Q973" i="21"/>
  <c r="Q974" i="21"/>
  <c r="Q975" i="21"/>
  <c r="Q977" i="21"/>
  <c r="Q978" i="21"/>
  <c r="Q979" i="21"/>
  <c r="Q980" i="21"/>
  <c r="Q983" i="21"/>
  <c r="Q984" i="21"/>
  <c r="Q985" i="21"/>
  <c r="Q986" i="21"/>
  <c r="Q987" i="21"/>
  <c r="Q988" i="21"/>
  <c r="Q989" i="21"/>
  <c r="Q990" i="21"/>
  <c r="Q991" i="21"/>
  <c r="Q992" i="21"/>
  <c r="Q994" i="21"/>
  <c r="Q995" i="21"/>
  <c r="Q996" i="21"/>
  <c r="Q997" i="21"/>
  <c r="Q998" i="21"/>
  <c r="Q999" i="21"/>
  <c r="Q1001" i="21"/>
  <c r="Q1002" i="21"/>
  <c r="Q1003" i="21"/>
  <c r="Q1005" i="21"/>
  <c r="Q1006" i="21"/>
  <c r="Q1011" i="21"/>
  <c r="Q1012" i="21"/>
  <c r="Q1013" i="21"/>
  <c r="Q1014" i="21"/>
  <c r="Q1015" i="21"/>
  <c r="Q1016" i="21"/>
  <c r="Q1017" i="21"/>
  <c r="Q1019" i="21"/>
  <c r="Q1020" i="21"/>
  <c r="Q1021" i="21"/>
  <c r="Q1022" i="21"/>
  <c r="Q1023" i="21"/>
  <c r="Q1024" i="21"/>
  <c r="Q1025" i="21"/>
  <c r="Q1027" i="21"/>
  <c r="Q1028" i="21"/>
  <c r="Q1029" i="21"/>
  <c r="Q1030" i="21"/>
  <c r="Q1031" i="21"/>
  <c r="Q1032" i="21"/>
  <c r="Q1034" i="21"/>
  <c r="Q1035" i="21"/>
  <c r="Q1036" i="21"/>
  <c r="Q1037" i="21"/>
  <c r="Q1038" i="21"/>
  <c r="Q1039" i="21"/>
  <c r="Q1041" i="21"/>
  <c r="Q1042" i="21"/>
  <c r="Q1043" i="21"/>
  <c r="Q1044" i="21"/>
  <c r="Q1045" i="21"/>
  <c r="Q1046" i="21"/>
  <c r="Q1047" i="21"/>
  <c r="Q1048" i="21"/>
  <c r="Q1050" i="21"/>
  <c r="Q1051" i="21"/>
  <c r="Q1052" i="21"/>
  <c r="Q1053" i="21"/>
  <c r="Q1054" i="21"/>
  <c r="Q1055" i="21"/>
  <c r="Q1056" i="21"/>
  <c r="Q1058" i="21"/>
  <c r="Q1059" i="21"/>
  <c r="Q1060" i="21"/>
  <c r="Q1061" i="21"/>
  <c r="Q1062" i="21"/>
  <c r="Q1063" i="21"/>
  <c r="Q1064" i="21"/>
  <c r="Q1065" i="21"/>
  <c r="Q1067" i="21"/>
  <c r="Q1068" i="21"/>
  <c r="Q1069" i="21"/>
  <c r="Q1070" i="21"/>
  <c r="Q1071" i="21"/>
  <c r="Q1072" i="21"/>
  <c r="Q1073" i="21"/>
  <c r="Q1075" i="21"/>
  <c r="Q1076" i="21"/>
  <c r="Q1077" i="21"/>
  <c r="Q1078" i="21"/>
  <c r="Q1079" i="21"/>
  <c r="Q1080" i="21"/>
  <c r="Q1081" i="21"/>
  <c r="Q1083" i="21"/>
  <c r="Q1084" i="21"/>
  <c r="Q1085" i="21"/>
  <c r="Q1086" i="21"/>
  <c r="Q1087" i="21"/>
  <c r="Q1088" i="21"/>
  <c r="Q1089" i="21"/>
  <c r="Q1091" i="21"/>
  <c r="Q1092" i="21"/>
  <c r="Q1093" i="21"/>
  <c r="Q1094" i="21"/>
  <c r="Q1095" i="21"/>
  <c r="Q1096" i="21"/>
  <c r="Q1097" i="21"/>
  <c r="Q1099" i="21"/>
  <c r="Q1100" i="21"/>
  <c r="Q1101" i="21"/>
  <c r="Q1102" i="21"/>
  <c r="Q1103" i="21"/>
  <c r="Q1104" i="21"/>
  <c r="Q1105" i="21"/>
  <c r="Q1107" i="21"/>
  <c r="Q1108" i="21"/>
  <c r="Q1109" i="21"/>
  <c r="Q1110" i="21"/>
  <c r="Q1111" i="21"/>
  <c r="Q1112" i="21"/>
  <c r="Q1113" i="21"/>
  <c r="Q1115" i="21"/>
  <c r="Q1116" i="21"/>
  <c r="Q1117" i="21"/>
  <c r="Q1118" i="21"/>
  <c r="Q1119" i="21"/>
  <c r="Q1120" i="21"/>
  <c r="Q1121" i="21"/>
  <c r="Q1125" i="21"/>
  <c r="Q1126" i="21"/>
  <c r="Q1127" i="21"/>
  <c r="Q1128" i="21"/>
  <c r="Q1129" i="21"/>
  <c r="Q1130" i="21"/>
  <c r="Q1131" i="21"/>
  <c r="Q1132" i="21"/>
  <c r="Q1133" i="21"/>
  <c r="Q1135" i="21"/>
  <c r="Q1136" i="21"/>
  <c r="Q1137" i="21"/>
  <c r="Q1138" i="21"/>
  <c r="Q1139" i="21"/>
  <c r="Q1140" i="21"/>
  <c r="Q1141" i="21"/>
  <c r="Q1142" i="21"/>
  <c r="Q1143" i="21"/>
  <c r="Q1146" i="21"/>
  <c r="Q1147" i="21"/>
  <c r="Q1148" i="21"/>
  <c r="Q1149" i="21"/>
  <c r="Q1150" i="21"/>
  <c r="Q1151" i="21"/>
  <c r="Q1152" i="21"/>
  <c r="Q1153" i="21"/>
  <c r="Q1155" i="21"/>
  <c r="Q1156" i="21"/>
  <c r="Q1157" i="21"/>
  <c r="Q1158" i="21"/>
  <c r="Q1159" i="21"/>
  <c r="Q1160" i="21"/>
  <c r="Q1161" i="21"/>
  <c r="Q1162" i="21"/>
  <c r="Q1165" i="21"/>
  <c r="Q1166" i="21"/>
  <c r="Q1167" i="21"/>
  <c r="Q1168" i="21"/>
  <c r="Q1169" i="21"/>
  <c r="Q1170" i="21"/>
  <c r="Q1171" i="21"/>
  <c r="Q1172" i="21"/>
  <c r="Q1173" i="21"/>
  <c r="Q1174" i="21"/>
  <c r="Q1176" i="21"/>
  <c r="Q1177" i="21"/>
  <c r="Q1178" i="21"/>
  <c r="Q1179" i="21"/>
  <c r="Q1180" i="21"/>
  <c r="Q1181" i="21"/>
  <c r="Q1182" i="21"/>
  <c r="Q1183" i="21"/>
  <c r="Q1184" i="21"/>
  <c r="Q1187" i="21"/>
  <c r="Q1188" i="21"/>
  <c r="Q1189" i="21"/>
  <c r="Q1190" i="21"/>
  <c r="Q1191" i="21"/>
  <c r="Q1192" i="21"/>
  <c r="Q1193" i="21"/>
  <c r="Q1194" i="21"/>
  <c r="Q1196" i="21"/>
  <c r="Q1197" i="21"/>
  <c r="Q1198" i="21"/>
  <c r="Q1199" i="21"/>
  <c r="Q1200" i="21"/>
  <c r="Q1201" i="21"/>
  <c r="Q1202" i="21"/>
  <c r="Q1203" i="21"/>
  <c r="Q1206" i="21"/>
  <c r="Q1207" i="21"/>
  <c r="Q1208" i="21"/>
  <c r="Q1209" i="21"/>
  <c r="Q1210" i="21"/>
  <c r="Q1211" i="21"/>
  <c r="Q1212" i="21"/>
  <c r="Q1213" i="21"/>
  <c r="Q1215" i="21"/>
  <c r="Q1216" i="21"/>
  <c r="Q1217" i="21"/>
  <c r="Q1218" i="21"/>
  <c r="Q1219" i="21"/>
  <c r="Q1220" i="21"/>
  <c r="Q1221" i="21"/>
  <c r="Q1222" i="21"/>
  <c r="Q1225" i="21"/>
  <c r="Q1226" i="21"/>
  <c r="Q1227" i="21"/>
  <c r="Q1228" i="21"/>
  <c r="Q1229" i="21"/>
  <c r="Q1230" i="21"/>
  <c r="Q1231" i="21"/>
  <c r="Q1232" i="21"/>
  <c r="Q1234" i="21"/>
  <c r="Q1235" i="21"/>
  <c r="Q1236" i="21"/>
  <c r="Q1237" i="21"/>
  <c r="Q1238" i="21"/>
  <c r="Q1239" i="21"/>
  <c r="Q1240" i="21"/>
  <c r="Q1241" i="21"/>
  <c r="Q1242" i="21"/>
  <c r="Q1243" i="21"/>
  <c r="Q1246" i="21"/>
  <c r="Q1247" i="21"/>
  <c r="Q1248" i="21"/>
  <c r="Q1249" i="21"/>
  <c r="Q1250" i="21"/>
  <c r="Q1251" i="21"/>
  <c r="Q1252" i="21"/>
  <c r="Q1253" i="21"/>
  <c r="Q1254" i="21"/>
  <c r="Q1256" i="21"/>
  <c r="Q1257" i="21"/>
  <c r="Q1258" i="21"/>
  <c r="Q1259" i="21"/>
  <c r="Q1260" i="21"/>
  <c r="Q1261" i="21"/>
  <c r="Q1262" i="21"/>
  <c r="Q1263" i="21"/>
  <c r="Q1267" i="21"/>
  <c r="Q1268" i="21"/>
  <c r="Q1271" i="21"/>
  <c r="Q1273" i="21"/>
  <c r="Q1274" i="21"/>
  <c r="Q1275" i="21"/>
  <c r="Q1276" i="21"/>
  <c r="Q1280" i="21"/>
  <c r="Q1281" i="21"/>
  <c r="Q1282" i="21"/>
  <c r="Q1283" i="21"/>
  <c r="Q1284" i="21"/>
  <c r="Q1285" i="21"/>
  <c r="Q1286" i="21"/>
  <c r="Q1287" i="21"/>
  <c r="Q1288" i="21"/>
  <c r="Q1289" i="21"/>
  <c r="Q1291" i="21"/>
  <c r="Q1292" i="21"/>
  <c r="Q1293" i="21"/>
  <c r="Q1294" i="21"/>
  <c r="Q1296" i="21"/>
  <c r="Q1297" i="21"/>
  <c r="Q1298" i="21"/>
  <c r="Q1299" i="21"/>
  <c r="Q1300" i="21"/>
  <c r="Q1301" i="21"/>
  <c r="Q1302" i="21"/>
  <c r="Q1303" i="21"/>
  <c r="Q1304" i="21"/>
  <c r="N1278" i="21"/>
  <c r="N1268" i="21"/>
  <c r="N1254" i="21"/>
  <c r="N1243" i="21"/>
  <c r="N1232" i="21"/>
  <c r="N1174" i="21"/>
  <c r="N1121" i="21"/>
  <c r="N1097" i="21"/>
  <c r="N1065" i="21"/>
  <c r="N1056" i="21"/>
  <c r="N1048" i="21"/>
  <c r="N1025" i="21"/>
  <c r="N1017" i="21"/>
  <c r="N834" i="21"/>
  <c r="R834" i="21" s="1"/>
  <c r="N771" i="21"/>
  <c r="R771" i="21" s="1"/>
  <c r="N625" i="21"/>
  <c r="R625" i="21" s="1"/>
  <c r="N614" i="21"/>
  <c r="R614" i="21" s="1"/>
  <c r="M604" i="21"/>
  <c r="M616" i="21"/>
  <c r="M760" i="21"/>
  <c r="M772" i="21"/>
  <c r="M822" i="21"/>
  <c r="M811" i="21" s="1"/>
  <c r="M1010" i="21"/>
  <c r="M1018" i="21"/>
  <c r="M1040" i="21"/>
  <c r="M1049" i="21"/>
  <c r="M1057" i="21"/>
  <c r="M1066" i="21"/>
  <c r="M1074" i="21"/>
  <c r="M1082" i="21"/>
  <c r="M1090" i="21"/>
  <c r="M1098" i="21"/>
  <c r="M1114" i="21"/>
  <c r="J1304" i="21"/>
  <c r="R1304" i="21" s="1"/>
  <c r="J1303" i="21"/>
  <c r="R1303" i="21" s="1"/>
  <c r="J1302" i="21"/>
  <c r="R1302" i="21" s="1"/>
  <c r="J1301" i="21"/>
  <c r="R1301" i="21" s="1"/>
  <c r="J1300" i="21"/>
  <c r="R1300" i="21" s="1"/>
  <c r="J1299" i="21"/>
  <c r="R1299" i="21" s="1"/>
  <c r="J1297" i="21"/>
  <c r="R1297" i="21" s="1"/>
  <c r="J1296" i="21"/>
  <c r="J1294" i="21"/>
  <c r="R1294" i="21" s="1"/>
  <c r="J1293" i="21"/>
  <c r="R1293" i="21" s="1"/>
  <c r="J1292" i="21"/>
  <c r="J1291" i="21"/>
  <c r="R1291" i="21" s="1"/>
  <c r="J1289" i="21"/>
  <c r="R1289" i="21" s="1"/>
  <c r="J1287" i="21"/>
  <c r="R1287" i="21" s="1"/>
  <c r="J1286" i="21"/>
  <c r="R1286" i="21" s="1"/>
  <c r="J1285" i="21"/>
  <c r="R1285" i="21" s="1"/>
  <c r="J1284" i="21"/>
  <c r="R1284" i="21" s="1"/>
  <c r="J1283" i="21"/>
  <c r="R1283" i="21" s="1"/>
  <c r="J1281" i="21"/>
  <c r="R1281" i="21" s="1"/>
  <c r="J1276" i="21"/>
  <c r="R1276" i="21" s="1"/>
  <c r="J1275" i="21"/>
  <c r="R1275" i="21" s="1"/>
  <c r="J1274" i="21"/>
  <c r="R1274" i="21" s="1"/>
  <c r="J1273" i="21"/>
  <c r="R1273" i="21" s="1"/>
  <c r="J1271" i="21"/>
  <c r="R1271" i="21" s="1"/>
  <c r="J1267" i="21"/>
  <c r="R1267" i="21" s="1"/>
  <c r="J1263" i="21"/>
  <c r="R1263" i="21" s="1"/>
  <c r="J1262" i="21"/>
  <c r="J1260" i="21"/>
  <c r="R1260" i="21" s="1"/>
  <c r="J1259" i="21"/>
  <c r="R1259" i="21" s="1"/>
  <c r="J1254" i="21"/>
  <c r="J1253" i="21"/>
  <c r="R1253" i="21" s="1"/>
  <c r="J1250" i="21"/>
  <c r="J1249" i="21"/>
  <c r="R1249" i="21" s="1"/>
  <c r="J1243" i="21"/>
  <c r="J1242" i="21"/>
  <c r="R1242" i="21" s="1"/>
  <c r="J1241" i="21"/>
  <c r="R1241" i="21" s="1"/>
  <c r="J1240" i="21"/>
  <c r="J1237" i="21"/>
  <c r="R1237" i="21" s="1"/>
  <c r="J1232" i="21"/>
  <c r="J1231" i="21"/>
  <c r="J1230" i="21"/>
  <c r="R1230" i="21" s="1"/>
  <c r="J1229" i="21"/>
  <c r="R1229" i="21" s="1"/>
  <c r="J1228" i="21"/>
  <c r="R1228" i="21" s="1"/>
  <c r="J1222" i="21"/>
  <c r="R1222" i="21" s="1"/>
  <c r="J1220" i="21"/>
  <c r="R1220" i="21" s="1"/>
  <c r="J1213" i="21"/>
  <c r="R1213" i="21" s="1"/>
  <c r="J1211" i="21"/>
  <c r="R1211" i="21" s="1"/>
  <c r="J1203" i="21"/>
  <c r="R1203" i="21" s="1"/>
  <c r="J1201" i="21"/>
  <c r="J1194" i="21"/>
  <c r="R1194" i="21" s="1"/>
  <c r="J1192" i="21"/>
  <c r="R1192" i="21" s="1"/>
  <c r="J1184" i="21"/>
  <c r="R1184" i="21" s="1"/>
  <c r="J1183" i="21"/>
  <c r="R1183" i="21" s="1"/>
  <c r="J1182" i="21"/>
  <c r="R1182" i="21" s="1"/>
  <c r="J1181" i="21"/>
  <c r="J1180" i="21"/>
  <c r="R1180" i="21" s="1"/>
  <c r="J1179" i="21"/>
  <c r="R1179" i="21" s="1"/>
  <c r="J1174" i="21"/>
  <c r="J1173" i="21"/>
  <c r="J1172" i="21"/>
  <c r="R1172" i="21" s="1"/>
  <c r="J1171" i="21"/>
  <c r="R1171" i="21" s="1"/>
  <c r="J1170" i="21"/>
  <c r="R1170" i="21" s="1"/>
  <c r="J1169" i="21"/>
  <c r="J1168" i="21"/>
  <c r="R1168" i="21" s="1"/>
  <c r="J1162" i="21"/>
  <c r="R1162" i="21" s="1"/>
  <c r="J1161" i="21"/>
  <c r="R1161" i="21" s="1"/>
  <c r="J1160" i="21"/>
  <c r="J1159" i="21"/>
  <c r="R1159" i="21" s="1"/>
  <c r="J1158" i="21"/>
  <c r="R1158" i="21" s="1"/>
  <c r="J1153" i="21"/>
  <c r="R1153" i="21" s="1"/>
  <c r="J1152" i="21"/>
  <c r="J1151" i="21"/>
  <c r="R1151" i="21" s="1"/>
  <c r="J1150" i="21"/>
  <c r="R1150" i="21" s="1"/>
  <c r="J1149" i="21"/>
  <c r="R1149" i="21" s="1"/>
  <c r="J1143" i="21"/>
  <c r="R1143" i="21" s="1"/>
  <c r="J1142" i="21"/>
  <c r="R1142" i="21" s="1"/>
  <c r="J1141" i="21"/>
  <c r="R1141" i="21" s="1"/>
  <c r="J1140" i="21"/>
  <c r="R1140" i="21" s="1"/>
  <c r="J1139" i="21"/>
  <c r="R1139" i="21" s="1"/>
  <c r="J1138" i="21"/>
  <c r="R1138" i="21" s="1"/>
  <c r="J1133" i="21"/>
  <c r="R1133" i="21" s="1"/>
  <c r="J1132" i="21"/>
  <c r="R1132" i="21" s="1"/>
  <c r="J1131" i="21"/>
  <c r="R1131" i="21" s="1"/>
  <c r="J1130" i="21"/>
  <c r="R1130" i="21" s="1"/>
  <c r="J1129" i="21"/>
  <c r="R1129" i="21" s="1"/>
  <c r="J1128" i="21"/>
  <c r="R1128" i="21" s="1"/>
  <c r="J1121" i="21"/>
  <c r="J1120" i="21"/>
  <c r="R1120" i="21" s="1"/>
  <c r="J1119" i="21"/>
  <c r="J1118" i="21"/>
  <c r="R1118" i="21" s="1"/>
  <c r="J1113" i="21"/>
  <c r="R1113" i="21" s="1"/>
  <c r="J1112" i="21"/>
  <c r="R1112" i="21" s="1"/>
  <c r="J1111" i="21"/>
  <c r="R1111" i="21" s="1"/>
  <c r="J1110" i="21"/>
  <c r="R1110" i="21" s="1"/>
  <c r="J1105" i="21"/>
  <c r="J1104" i="21"/>
  <c r="R1104" i="21" s="1"/>
  <c r="J1103" i="21"/>
  <c r="R1103" i="21" s="1"/>
  <c r="J1102" i="21"/>
  <c r="R1102" i="21" s="1"/>
  <c r="J1097" i="21"/>
  <c r="J1096" i="21"/>
  <c r="J1095" i="21"/>
  <c r="R1095" i="21" s="1"/>
  <c r="J1094" i="21"/>
  <c r="R1094" i="21" s="1"/>
  <c r="J1089" i="21"/>
  <c r="J1088" i="21"/>
  <c r="R1088" i="21" s="1"/>
  <c r="J1087" i="21"/>
  <c r="R1087" i="21" s="1"/>
  <c r="J1086" i="21"/>
  <c r="R1086" i="21" s="1"/>
  <c r="J1080" i="21"/>
  <c r="J1079" i="21"/>
  <c r="R1079" i="21" s="1"/>
  <c r="J1072" i="21"/>
  <c r="R1072" i="21" s="1"/>
  <c r="J1071" i="21"/>
  <c r="R1071" i="21" s="1"/>
  <c r="J1070" i="21"/>
  <c r="J1065" i="21"/>
  <c r="J1064" i="21"/>
  <c r="J1063" i="21"/>
  <c r="J1062" i="21"/>
  <c r="R1062" i="21" s="1"/>
  <c r="J1061" i="21"/>
  <c r="J1056" i="21"/>
  <c r="J1055" i="21"/>
  <c r="R1055" i="21" s="1"/>
  <c r="J1054" i="21"/>
  <c r="R1054" i="21" s="1"/>
  <c r="J1053" i="21"/>
  <c r="R1053" i="21" s="1"/>
  <c r="J1048" i="21"/>
  <c r="J1046" i="21"/>
  <c r="R1046" i="21" s="1"/>
  <c r="J1045" i="21"/>
  <c r="R1045" i="21" s="1"/>
  <c r="J1044" i="21"/>
  <c r="R1044" i="21" s="1"/>
  <c r="J1039" i="21"/>
  <c r="R1039" i="21" s="1"/>
  <c r="J1038" i="21"/>
  <c r="J1037" i="21"/>
  <c r="R1037" i="21" s="1"/>
  <c r="J1032" i="21"/>
  <c r="R1032" i="21" s="1"/>
  <c r="J1031" i="21"/>
  <c r="R1031" i="21" s="1"/>
  <c r="J1030" i="21"/>
  <c r="J1025" i="21"/>
  <c r="J1024" i="21"/>
  <c r="R1024" i="21" s="1"/>
  <c r="J1023" i="21"/>
  <c r="R1023" i="21" s="1"/>
  <c r="J1022" i="21"/>
  <c r="J1017" i="21"/>
  <c r="J1016" i="21"/>
  <c r="R1016" i="21" s="1"/>
  <c r="J1015" i="21"/>
  <c r="R1015" i="21" s="1"/>
  <c r="J1014" i="21"/>
  <c r="R1014" i="21" s="1"/>
  <c r="J1007" i="21"/>
  <c r="J1006" i="21"/>
  <c r="R1006" i="21" s="1"/>
  <c r="J1005" i="21"/>
  <c r="R1005" i="21" s="1"/>
  <c r="J1004" i="21"/>
  <c r="J1003" i="21"/>
  <c r="R1003" i="21" s="1"/>
  <c r="J1001" i="21"/>
  <c r="R1001" i="21" s="1"/>
  <c r="J999" i="21"/>
  <c r="R999" i="21" s="1"/>
  <c r="J998" i="21"/>
  <c r="R998" i="21" s="1"/>
  <c r="J997" i="21"/>
  <c r="J992" i="21"/>
  <c r="R992" i="21" s="1"/>
  <c r="J991" i="21"/>
  <c r="R991" i="21" s="1"/>
  <c r="J990" i="21"/>
  <c r="R990" i="21" s="1"/>
  <c r="J987" i="21"/>
  <c r="R987" i="21" s="1"/>
  <c r="J986" i="21"/>
  <c r="R986" i="21" s="1"/>
  <c r="J981" i="21"/>
  <c r="J980" i="21"/>
  <c r="R980" i="21" s="1"/>
  <c r="J979" i="21"/>
  <c r="R979" i="21" s="1"/>
  <c r="J978" i="21"/>
  <c r="R978" i="21" s="1"/>
  <c r="J977" i="21"/>
  <c r="J976" i="21"/>
  <c r="J975" i="21"/>
  <c r="R975" i="21" s="1"/>
  <c r="J974" i="21"/>
  <c r="R974" i="21" s="1"/>
  <c r="J973" i="21"/>
  <c r="J972" i="21"/>
  <c r="R972" i="21" s="1"/>
  <c r="J967" i="21"/>
  <c r="R967" i="21" s="1"/>
  <c r="J965" i="21"/>
  <c r="R965" i="21" s="1"/>
  <c r="J959" i="21"/>
  <c r="R959" i="21" s="1"/>
  <c r="J958" i="21"/>
  <c r="R958" i="21" s="1"/>
  <c r="J957" i="21"/>
  <c r="J956" i="21"/>
  <c r="R956" i="21" s="1"/>
  <c r="J951" i="21"/>
  <c r="R951" i="21" s="1"/>
  <c r="J944" i="21"/>
  <c r="R944" i="21" s="1"/>
  <c r="J943" i="21"/>
  <c r="R943" i="21" s="1"/>
  <c r="J942" i="21"/>
  <c r="R942" i="21" s="1"/>
  <c r="J941" i="21"/>
  <c r="J936" i="21"/>
  <c r="R936" i="21" s="1"/>
  <c r="J935" i="21"/>
  <c r="R935" i="21" s="1"/>
  <c r="J934" i="21"/>
  <c r="R934" i="21" s="1"/>
  <c r="J933" i="21"/>
  <c r="J928" i="21"/>
  <c r="R928" i="21" s="1"/>
  <c r="J927" i="21"/>
  <c r="R927" i="21" s="1"/>
  <c r="J926" i="21"/>
  <c r="R926" i="21" s="1"/>
  <c r="J925" i="21"/>
  <c r="J920" i="21"/>
  <c r="R920" i="21" s="1"/>
  <c r="J919" i="21"/>
  <c r="R919" i="21" s="1"/>
  <c r="J918" i="21"/>
  <c r="R918" i="21" s="1"/>
  <c r="J917" i="21"/>
  <c r="J912" i="21"/>
  <c r="R912" i="21" s="1"/>
  <c r="J911" i="21"/>
  <c r="R911" i="21" s="1"/>
  <c r="J910" i="21"/>
  <c r="R910" i="21" s="1"/>
  <c r="J900" i="21"/>
  <c r="R900" i="21" s="1"/>
  <c r="J899" i="21"/>
  <c r="J896" i="21"/>
  <c r="R896" i="21" s="1"/>
  <c r="J890" i="21"/>
  <c r="R890" i="21" s="1"/>
  <c r="J889" i="21"/>
  <c r="R889" i="21" s="1"/>
  <c r="J886" i="21"/>
  <c r="R886" i="21" s="1"/>
  <c r="J880" i="21"/>
  <c r="R880" i="21" s="1"/>
  <c r="J879" i="21"/>
  <c r="J876" i="21"/>
  <c r="R876" i="21" s="1"/>
  <c r="J874" i="21"/>
  <c r="R874" i="21" s="1"/>
  <c r="J869" i="21"/>
  <c r="R869" i="21" s="1"/>
  <c r="J866" i="21"/>
  <c r="R866" i="21" s="1"/>
  <c r="J864" i="21"/>
  <c r="R864" i="21" s="1"/>
  <c r="J858" i="21"/>
  <c r="R858" i="21" s="1"/>
  <c r="J857" i="21"/>
  <c r="R857" i="21" s="1"/>
  <c r="J855" i="21"/>
  <c r="J851" i="21"/>
  <c r="J846" i="21"/>
  <c r="R846" i="21" s="1"/>
  <c r="J845" i="21"/>
  <c r="R845" i="21" s="1"/>
  <c r="J841" i="21"/>
  <c r="R841" i="21" s="1"/>
  <c r="J840" i="21"/>
  <c r="R840" i="21" s="1"/>
  <c r="J832" i="21"/>
  <c r="R832" i="21" s="1"/>
  <c r="J831" i="21"/>
  <c r="R831" i="21" s="1"/>
  <c r="J830" i="21"/>
  <c r="J828" i="21"/>
  <c r="R828" i="21" s="1"/>
  <c r="J827" i="21"/>
  <c r="R827" i="21" s="1"/>
  <c r="J826" i="21"/>
  <c r="N555" i="21"/>
  <c r="R555" i="21" s="1"/>
  <c r="N537" i="21"/>
  <c r="M546" i="21"/>
  <c r="J816" i="21"/>
  <c r="R816" i="21" s="1"/>
  <c r="J817" i="21"/>
  <c r="J818" i="21"/>
  <c r="R818" i="21" s="1"/>
  <c r="J820" i="21"/>
  <c r="R820" i="21" s="1"/>
  <c r="J821" i="21"/>
  <c r="J803" i="21"/>
  <c r="R803" i="21" s="1"/>
  <c r="J804" i="21"/>
  <c r="J805" i="21"/>
  <c r="R805" i="21" s="1"/>
  <c r="J806" i="21"/>
  <c r="R806" i="21" s="1"/>
  <c r="J808" i="21"/>
  <c r="J791" i="21"/>
  <c r="R791" i="21" s="1"/>
  <c r="J792" i="21"/>
  <c r="R792" i="21" s="1"/>
  <c r="J793" i="21"/>
  <c r="R793" i="21" s="1"/>
  <c r="J794" i="21"/>
  <c r="R794" i="21" s="1"/>
  <c r="J796" i="21"/>
  <c r="J797" i="21"/>
  <c r="R797" i="21" s="1"/>
  <c r="J776" i="21"/>
  <c r="R776" i="21" s="1"/>
  <c r="J777" i="21"/>
  <c r="R777" i="21" s="1"/>
  <c r="J779" i="21"/>
  <c r="R779" i="21" s="1"/>
  <c r="J780" i="21"/>
  <c r="R780" i="21" s="1"/>
  <c r="J781" i="21"/>
  <c r="R781" i="21" s="1"/>
  <c r="J782" i="21"/>
  <c r="J783" i="21"/>
  <c r="R783" i="21" s="1"/>
  <c r="J764" i="21"/>
  <c r="R764" i="21" s="1"/>
  <c r="J765" i="21"/>
  <c r="J767" i="21"/>
  <c r="R767" i="21" s="1"/>
  <c r="J769" i="21"/>
  <c r="J770" i="21"/>
  <c r="R770" i="21" s="1"/>
  <c r="J751" i="21"/>
  <c r="J753" i="21"/>
  <c r="R753" i="21" s="1"/>
  <c r="J754" i="21"/>
  <c r="R754" i="21" s="1"/>
  <c r="J755" i="21"/>
  <c r="R755" i="21" s="1"/>
  <c r="J756" i="21"/>
  <c r="R756" i="21" s="1"/>
  <c r="J757" i="21"/>
  <c r="R757" i="21" s="1"/>
  <c r="J741" i="21"/>
  <c r="R741" i="21" s="1"/>
  <c r="J743" i="21"/>
  <c r="R743" i="21" s="1"/>
  <c r="J744" i="21"/>
  <c r="R744" i="21" s="1"/>
  <c r="J745" i="21"/>
  <c r="R745" i="21" s="1"/>
  <c r="J727" i="21"/>
  <c r="R727" i="21" s="1"/>
  <c r="J728" i="21"/>
  <c r="R728" i="21" s="1"/>
  <c r="J729" i="21"/>
  <c r="R729" i="21" s="1"/>
  <c r="J730" i="21"/>
  <c r="J733" i="21"/>
  <c r="R733" i="21" s="1"/>
  <c r="J734" i="21"/>
  <c r="R734" i="21" s="1"/>
  <c r="J716" i="21"/>
  <c r="R716" i="21" s="1"/>
  <c r="J717" i="21"/>
  <c r="R717" i="21" s="1"/>
  <c r="J718" i="21"/>
  <c r="J719" i="21"/>
  <c r="R719" i="21" s="1"/>
  <c r="J721" i="21"/>
  <c r="R721" i="21" s="1"/>
  <c r="J707" i="21"/>
  <c r="R707" i="21" s="1"/>
  <c r="J708" i="21"/>
  <c r="R708" i="21" s="1"/>
  <c r="J709" i="21"/>
  <c r="R709" i="21" s="1"/>
  <c r="J710" i="21"/>
  <c r="J696" i="21"/>
  <c r="R696" i="21" s="1"/>
  <c r="J697" i="21"/>
  <c r="J698" i="21"/>
  <c r="R698" i="21" s="1"/>
  <c r="J687" i="21"/>
  <c r="R687" i="21" s="1"/>
  <c r="J688" i="21"/>
  <c r="R688" i="21" s="1"/>
  <c r="J689" i="21"/>
  <c r="J690" i="21"/>
  <c r="R690" i="21" s="1"/>
  <c r="J691" i="21"/>
  <c r="R691" i="21" s="1"/>
  <c r="J692" i="21"/>
  <c r="R692" i="21" s="1"/>
  <c r="J679" i="21"/>
  <c r="R679" i="21" s="1"/>
  <c r="J680" i="21"/>
  <c r="R680" i="21" s="1"/>
  <c r="J681" i="21"/>
  <c r="J682" i="21"/>
  <c r="R682" i="21" s="1"/>
  <c r="J668" i="21"/>
  <c r="R668" i="21" s="1"/>
  <c r="J670" i="21"/>
  <c r="R670" i="21" s="1"/>
  <c r="J671" i="21"/>
  <c r="R671" i="21" s="1"/>
  <c r="J672" i="21"/>
  <c r="R672" i="21" s="1"/>
  <c r="J673" i="21"/>
  <c r="J659" i="21"/>
  <c r="R659" i="21" s="1"/>
  <c r="J660" i="21"/>
  <c r="J661" i="21"/>
  <c r="R661" i="21" s="1"/>
  <c r="J662" i="21"/>
  <c r="R662" i="21" s="1"/>
  <c r="J651" i="21"/>
  <c r="R651" i="21" s="1"/>
  <c r="J652" i="21"/>
  <c r="R652" i="21" s="1"/>
  <c r="J653" i="21"/>
  <c r="R653" i="21" s="1"/>
  <c r="J641" i="21"/>
  <c r="J642" i="21"/>
  <c r="R642" i="21" s="1"/>
  <c r="J643" i="21"/>
  <c r="R643" i="21" s="1"/>
  <c r="J644" i="21"/>
  <c r="R644" i="21" s="1"/>
  <c r="J646" i="21"/>
  <c r="J630" i="21"/>
  <c r="R630" i="21" s="1"/>
  <c r="J631" i="21"/>
  <c r="R631" i="21" s="1"/>
  <c r="J632" i="21"/>
  <c r="R632" i="21" s="1"/>
  <c r="J633" i="21"/>
  <c r="R633" i="21" s="1"/>
  <c r="J634" i="21"/>
  <c r="R634" i="21" s="1"/>
  <c r="J620" i="21"/>
  <c r="R620" i="21" s="1"/>
  <c r="J622" i="21"/>
  <c r="R622" i="21" s="1"/>
  <c r="J623" i="21"/>
  <c r="R623" i="21" s="1"/>
  <c r="J624" i="21"/>
  <c r="R624" i="21" s="1"/>
  <c r="J608" i="21"/>
  <c r="R608" i="21" s="1"/>
  <c r="J611" i="21"/>
  <c r="R611" i="21" s="1"/>
  <c r="J612" i="21"/>
  <c r="R612" i="21" s="1"/>
  <c r="J602" i="21"/>
  <c r="R602" i="21" s="1"/>
  <c r="J603" i="21"/>
  <c r="R603" i="21" s="1"/>
  <c r="J601" i="21"/>
  <c r="R601" i="21" s="1"/>
  <c r="J600" i="21"/>
  <c r="J598" i="21"/>
  <c r="R598" i="21" s="1"/>
  <c r="J599" i="21"/>
  <c r="R599" i="21" s="1"/>
  <c r="J588" i="21"/>
  <c r="R588" i="21" s="1"/>
  <c r="J591" i="21"/>
  <c r="J592" i="21"/>
  <c r="R592" i="21" s="1"/>
  <c r="J583" i="21"/>
  <c r="R583" i="21" s="1"/>
  <c r="J582" i="21"/>
  <c r="J578" i="21"/>
  <c r="J579" i="21"/>
  <c r="R579" i="21" s="1"/>
  <c r="J580" i="21"/>
  <c r="R580" i="21" s="1"/>
  <c r="J581" i="21"/>
  <c r="R581" i="21" s="1"/>
  <c r="J569" i="21"/>
  <c r="R569" i="21" s="1"/>
  <c r="J570" i="21"/>
  <c r="R570" i="21" s="1"/>
  <c r="J571" i="21"/>
  <c r="R571" i="21" s="1"/>
  <c r="J572" i="21"/>
  <c r="R572" i="21" s="1"/>
  <c r="J573" i="21"/>
  <c r="R573" i="21" s="1"/>
  <c r="J560" i="21"/>
  <c r="R560" i="21" s="1"/>
  <c r="J561" i="21"/>
  <c r="R561" i="21" s="1"/>
  <c r="J563" i="21"/>
  <c r="R563" i="21" s="1"/>
  <c r="J550" i="21"/>
  <c r="J551" i="21"/>
  <c r="R551" i="21" s="1"/>
  <c r="J552" i="21"/>
  <c r="R552" i="21" s="1"/>
  <c r="J553" i="21"/>
  <c r="R553" i="21" s="1"/>
  <c r="J554" i="21"/>
  <c r="J541" i="21"/>
  <c r="R541" i="21" s="1"/>
  <c r="J543" i="21"/>
  <c r="R543" i="21" s="1"/>
  <c r="J544" i="21"/>
  <c r="I540" i="21"/>
  <c r="I549" i="21"/>
  <c r="Q556" i="21"/>
  <c r="I565" i="21"/>
  <c r="Q565" i="21" s="1"/>
  <c r="I574" i="21"/>
  <c r="Q574" i="21" s="1"/>
  <c r="I594" i="21"/>
  <c r="Q594" i="21" s="1"/>
  <c r="I604" i="21"/>
  <c r="I626" i="21"/>
  <c r="Q626" i="21" s="1"/>
  <c r="Q637" i="21"/>
  <c r="Q647" i="21"/>
  <c r="Q655" i="21"/>
  <c r="I664" i="21"/>
  <c r="Q664" i="21" s="1"/>
  <c r="I683" i="21"/>
  <c r="Q683" i="21" s="1"/>
  <c r="I712" i="21"/>
  <c r="Q712" i="21" s="1"/>
  <c r="Q723" i="21"/>
  <c r="I737" i="21"/>
  <c r="Q737" i="21" s="1"/>
  <c r="I747" i="21"/>
  <c r="Q747" i="21" s="1"/>
  <c r="I760" i="21"/>
  <c r="I772" i="21"/>
  <c r="I799" i="21"/>
  <c r="Q799" i="21" s="1"/>
  <c r="I812" i="21"/>
  <c r="Q812" i="21" s="1"/>
  <c r="I822" i="21"/>
  <c r="I836" i="21"/>
  <c r="I847" i="21"/>
  <c r="Q847" i="21" s="1"/>
  <c r="I860" i="21"/>
  <c r="Q860" i="21" s="1"/>
  <c r="I870" i="21"/>
  <c r="Q870" i="21" s="1"/>
  <c r="I882" i="21"/>
  <c r="Q882" i="21" s="1"/>
  <c r="I892" i="21"/>
  <c r="Q892" i="21" s="1"/>
  <c r="I906" i="21"/>
  <c r="Q906" i="21" s="1"/>
  <c r="I913" i="21"/>
  <c r="Q913" i="21" s="1"/>
  <c r="I921" i="21"/>
  <c r="Q921" i="21" s="1"/>
  <c r="Q929" i="21"/>
  <c r="I937" i="21"/>
  <c r="Q937" i="21" s="1"/>
  <c r="I945" i="21"/>
  <c r="Q945" i="21" s="1"/>
  <c r="I952" i="21"/>
  <c r="Q952" i="21" s="1"/>
  <c r="I968" i="21"/>
  <c r="Q968" i="21" s="1"/>
  <c r="I982" i="21"/>
  <c r="Q982" i="21" s="1"/>
  <c r="I993" i="21"/>
  <c r="Q993" i="21" s="1"/>
  <c r="I1010" i="21"/>
  <c r="I1018" i="21"/>
  <c r="I1026" i="21"/>
  <c r="Q1026" i="21" s="1"/>
  <c r="I1033" i="21"/>
  <c r="Q1033" i="21" s="1"/>
  <c r="I1040" i="21"/>
  <c r="I1049" i="21"/>
  <c r="I1057" i="21"/>
  <c r="I1066" i="21"/>
  <c r="I1074" i="21"/>
  <c r="I1082" i="21"/>
  <c r="I1090" i="21"/>
  <c r="I1098" i="21"/>
  <c r="I1106" i="21"/>
  <c r="Q1106" i="21" s="1"/>
  <c r="I1114" i="21"/>
  <c r="I1124" i="21"/>
  <c r="Q1124" i="21" s="1"/>
  <c r="I1134" i="21"/>
  <c r="Q1134" i="21" s="1"/>
  <c r="I1145" i="21"/>
  <c r="Q1145" i="21" s="1"/>
  <c r="I1154" i="21"/>
  <c r="Q1154" i="21" s="1"/>
  <c r="I1164" i="21"/>
  <c r="Q1164" i="21" s="1"/>
  <c r="I1175" i="21"/>
  <c r="Q1175" i="21" s="1"/>
  <c r="I1205" i="21"/>
  <c r="Q1205" i="21" s="1"/>
  <c r="I1224" i="21"/>
  <c r="Q1224" i="21" s="1"/>
  <c r="I1245" i="21"/>
  <c r="I1255" i="21"/>
  <c r="Q1255" i="21" s="1"/>
  <c r="I1266" i="21"/>
  <c r="I1270" i="21"/>
  <c r="I1279" i="21"/>
  <c r="I1290" i="21"/>
  <c r="Q1290" i="21" s="1"/>
  <c r="I1295" i="21"/>
  <c r="Q1295" i="21" s="1"/>
  <c r="Q417" i="21"/>
  <c r="Q418" i="21"/>
  <c r="Q419" i="21"/>
  <c r="Q421" i="21"/>
  <c r="Q422" i="21"/>
  <c r="Q423" i="21"/>
  <c r="Q424" i="21"/>
  <c r="Q426" i="21"/>
  <c r="Q427" i="21"/>
  <c r="Q429" i="21"/>
  <c r="Q430" i="21"/>
  <c r="Q431" i="21"/>
  <c r="Q432" i="21"/>
  <c r="Q434" i="21"/>
  <c r="Q435" i="21"/>
  <c r="Q437" i="21"/>
  <c r="Q438" i="21"/>
  <c r="Q439" i="21"/>
  <c r="Q440" i="21"/>
  <c r="Q441" i="21"/>
  <c r="Q442" i="21"/>
  <c r="Q443" i="21"/>
  <c r="Q444" i="21"/>
  <c r="Q445" i="21"/>
  <c r="Q446" i="21"/>
  <c r="Q447" i="21"/>
  <c r="Q448" i="21"/>
  <c r="Q449" i="21"/>
  <c r="Q450" i="21"/>
  <c r="Q451" i="21"/>
  <c r="Q452" i="21"/>
  <c r="Q453" i="21"/>
  <c r="Q454" i="21"/>
  <c r="Q455" i="21"/>
  <c r="Q456" i="21"/>
  <c r="Q457" i="21"/>
  <c r="Q458" i="21"/>
  <c r="Q459" i="21"/>
  <c r="Q460" i="21"/>
  <c r="Q461" i="21"/>
  <c r="Q462" i="21"/>
  <c r="Q463" i="21"/>
  <c r="Q464" i="21"/>
  <c r="Q466" i="21"/>
  <c r="Q468" i="21"/>
  <c r="Q469" i="21"/>
  <c r="Q470" i="21"/>
  <c r="Q471" i="21"/>
  <c r="Q472" i="21"/>
  <c r="Q473" i="21"/>
  <c r="Q474" i="21"/>
  <c r="Q475" i="21"/>
  <c r="Q476" i="21"/>
  <c r="Q478" i="21"/>
  <c r="Q479" i="21"/>
  <c r="Q480" i="21"/>
  <c r="Q481" i="21"/>
  <c r="Q482" i="21"/>
  <c r="Q483" i="21"/>
  <c r="N483" i="21"/>
  <c r="R483" i="21" s="1"/>
  <c r="N482" i="21"/>
  <c r="R482" i="21" s="1"/>
  <c r="N476" i="21"/>
  <c r="R476" i="21" s="1"/>
  <c r="N478" i="21"/>
  <c r="R478" i="21" s="1"/>
  <c r="N479" i="21"/>
  <c r="R479" i="21" s="1"/>
  <c r="N481" i="21"/>
  <c r="R481" i="21" s="1"/>
  <c r="N475" i="21"/>
  <c r="R475" i="21" s="1"/>
  <c r="N469" i="21"/>
  <c r="R469" i="21" s="1"/>
  <c r="N470" i="21"/>
  <c r="R470" i="21" s="1"/>
  <c r="N471" i="21"/>
  <c r="R471" i="21" s="1"/>
  <c r="N474" i="21"/>
  <c r="R474" i="21" s="1"/>
  <c r="N455" i="21"/>
  <c r="R455" i="21" s="1"/>
  <c r="N456" i="21"/>
  <c r="R456" i="21" s="1"/>
  <c r="N458" i="21"/>
  <c r="R458" i="21" s="1"/>
  <c r="N459" i="21"/>
  <c r="R459" i="21" s="1"/>
  <c r="N462" i="21"/>
  <c r="R462" i="21" s="1"/>
  <c r="N463" i="21"/>
  <c r="R463" i="21" s="1"/>
  <c r="R466" i="21"/>
  <c r="N453" i="21"/>
  <c r="R453" i="21" s="1"/>
  <c r="N438" i="21"/>
  <c r="R438" i="21" s="1"/>
  <c r="N440" i="21"/>
  <c r="R440" i="21" s="1"/>
  <c r="N441" i="21"/>
  <c r="R441" i="21" s="1"/>
  <c r="N445" i="21"/>
  <c r="R445" i="21" s="1"/>
  <c r="N446" i="21"/>
  <c r="R446" i="21" s="1"/>
  <c r="N448" i="21"/>
  <c r="R448" i="21" s="1"/>
  <c r="N451" i="21"/>
  <c r="R451" i="21" s="1"/>
  <c r="N452" i="21"/>
  <c r="R452" i="21" s="1"/>
  <c r="M436" i="21"/>
  <c r="Q436" i="21" s="1"/>
  <c r="N435" i="21"/>
  <c r="R435" i="21" s="1"/>
  <c r="M420" i="21"/>
  <c r="J431" i="21"/>
  <c r="R431" i="21" s="1"/>
  <c r="J430" i="21"/>
  <c r="R430" i="21" s="1"/>
  <c r="J429" i="21"/>
  <c r="R429" i="21" s="1"/>
  <c r="I428" i="21"/>
  <c r="J427" i="21"/>
  <c r="R427" i="21" s="1"/>
  <c r="J426" i="21"/>
  <c r="R426" i="21" s="1"/>
  <c r="J423" i="21"/>
  <c r="R423" i="21" s="1"/>
  <c r="I416" i="21"/>
  <c r="Q416" i="21" s="1"/>
  <c r="Q362" i="21"/>
  <c r="Q363" i="21"/>
  <c r="Q365" i="21"/>
  <c r="Q366" i="21"/>
  <c r="Q367" i="21"/>
  <c r="Q368" i="21"/>
  <c r="Q369" i="21"/>
  <c r="Q370" i="21"/>
  <c r="Q371" i="21"/>
  <c r="Q372" i="21"/>
  <c r="Q376" i="21"/>
  <c r="Q377" i="21"/>
  <c r="Q379" i="21"/>
  <c r="Q380" i="21"/>
  <c r="Q382" i="21"/>
  <c r="Q383" i="21"/>
  <c r="Q384" i="21"/>
  <c r="Q385" i="21"/>
  <c r="Q387" i="21"/>
  <c r="Q388" i="21"/>
  <c r="Q390" i="21"/>
  <c r="Q391" i="21"/>
  <c r="Q393" i="21"/>
  <c r="Q395" i="21"/>
  <c r="Q396" i="21"/>
  <c r="Q397" i="21"/>
  <c r="Q398" i="21"/>
  <c r="Q399" i="21"/>
  <c r="Q400" i="21"/>
  <c r="Q401" i="21"/>
  <c r="N394" i="21"/>
  <c r="M392" i="21"/>
  <c r="M389" i="21"/>
  <c r="N388" i="21"/>
  <c r="R388" i="21" s="1"/>
  <c r="M374" i="21"/>
  <c r="J401" i="21"/>
  <c r="R401" i="21" s="1"/>
  <c r="J400" i="21"/>
  <c r="R400" i="21" s="1"/>
  <c r="J399" i="21"/>
  <c r="R399" i="21" s="1"/>
  <c r="J398" i="21"/>
  <c r="R398" i="21" s="1"/>
  <c r="J397" i="21"/>
  <c r="R397" i="21" s="1"/>
  <c r="J396" i="21"/>
  <c r="R396" i="21" s="1"/>
  <c r="J395" i="21"/>
  <c r="R395" i="21" s="1"/>
  <c r="I394" i="21"/>
  <c r="Q394" i="21" s="1"/>
  <c r="J393" i="21"/>
  <c r="R393" i="21" s="1"/>
  <c r="I392" i="21"/>
  <c r="J391" i="21"/>
  <c r="J390" i="21"/>
  <c r="R390" i="21" s="1"/>
  <c r="I389" i="21"/>
  <c r="J387" i="21"/>
  <c r="J386" i="21"/>
  <c r="J384" i="21"/>
  <c r="R384" i="21" s="1"/>
  <c r="I381" i="21"/>
  <c r="J380" i="21"/>
  <c r="R380" i="21" s="1"/>
  <c r="J379" i="21"/>
  <c r="R379" i="21" s="1"/>
  <c r="I375" i="21"/>
  <c r="Q375" i="21" s="1"/>
  <c r="J370" i="21"/>
  <c r="R370" i="21" s="1"/>
  <c r="J369" i="21"/>
  <c r="R369" i="21" s="1"/>
  <c r="J368" i="21"/>
  <c r="R368" i="21" s="1"/>
  <c r="J366" i="21"/>
  <c r="R366" i="21" s="1"/>
  <c r="I364" i="21"/>
  <c r="J363" i="21"/>
  <c r="R363" i="21" s="1"/>
  <c r="Q243" i="21"/>
  <c r="Q244" i="21"/>
  <c r="Q245" i="21"/>
  <c r="Q247" i="21"/>
  <c r="Q248" i="21"/>
  <c r="Q250" i="21"/>
  <c r="Q251" i="21"/>
  <c r="Q252" i="21"/>
  <c r="Q253" i="21"/>
  <c r="Q254" i="21"/>
  <c r="Q255" i="21"/>
  <c r="Q257" i="21"/>
  <c r="Q258" i="21"/>
  <c r="Q260" i="21"/>
  <c r="Q261" i="21"/>
  <c r="Q262" i="21"/>
  <c r="Q263" i="21"/>
  <c r="Q264" i="21"/>
  <c r="Q265" i="21"/>
  <c r="Q268" i="21"/>
  <c r="Q269" i="21"/>
  <c r="Q271" i="21"/>
  <c r="Q272" i="21"/>
  <c r="Q273" i="21"/>
  <c r="Q274" i="21"/>
  <c r="Q275" i="21"/>
  <c r="Q278" i="21"/>
  <c r="Q279" i="21"/>
  <c r="Q281" i="21"/>
  <c r="Q282" i="21"/>
  <c r="Q283" i="21"/>
  <c r="Q284" i="21"/>
  <c r="Q285" i="21"/>
  <c r="Q286" i="21"/>
  <c r="Q288" i="21"/>
  <c r="Q289" i="21"/>
  <c r="Q290" i="21"/>
  <c r="Q291" i="21"/>
  <c r="Q292" i="21"/>
  <c r="Q293" i="21"/>
  <c r="Q294" i="21"/>
  <c r="Q295" i="21"/>
  <c r="Q296" i="21"/>
  <c r="Q297" i="21"/>
  <c r="Q300" i="21"/>
  <c r="Q301" i="21"/>
  <c r="Q303" i="21"/>
  <c r="Q304" i="21"/>
  <c r="Q305" i="21"/>
  <c r="Q306" i="21"/>
  <c r="Q307" i="21"/>
  <c r="Q308" i="21"/>
  <c r="N308" i="21"/>
  <c r="R308" i="21" s="1"/>
  <c r="N307" i="21"/>
  <c r="R307" i="21" s="1"/>
  <c r="N297" i="21"/>
  <c r="R297" i="21" s="1"/>
  <c r="N293" i="21"/>
  <c r="N295" i="21"/>
  <c r="N292" i="21"/>
  <c r="N286" i="21"/>
  <c r="N266" i="21"/>
  <c r="N256" i="21"/>
  <c r="N246" i="21"/>
  <c r="N242" i="21"/>
  <c r="M276" i="21"/>
  <c r="M287" i="21"/>
  <c r="M298" i="21"/>
  <c r="J301" i="21"/>
  <c r="R301" i="21" s="1"/>
  <c r="J303" i="21"/>
  <c r="R303" i="21" s="1"/>
  <c r="J304" i="21"/>
  <c r="R304" i="21" s="1"/>
  <c r="J305" i="21"/>
  <c r="R305" i="21" s="1"/>
  <c r="J306" i="21"/>
  <c r="R306" i="21" s="1"/>
  <c r="J300" i="21"/>
  <c r="R300" i="21" s="1"/>
  <c r="J289" i="21"/>
  <c r="R289" i="21" s="1"/>
  <c r="J290" i="21"/>
  <c r="R290" i="21" s="1"/>
  <c r="J291" i="21"/>
  <c r="R291" i="21" s="1"/>
  <c r="J292" i="21"/>
  <c r="J293" i="21"/>
  <c r="J294" i="21"/>
  <c r="J295" i="21"/>
  <c r="J288" i="21"/>
  <c r="R288" i="21" s="1"/>
  <c r="J279" i="21"/>
  <c r="J281" i="21"/>
  <c r="J283" i="21"/>
  <c r="J285" i="21"/>
  <c r="J286" i="21"/>
  <c r="J278" i="21"/>
  <c r="R278" i="21" s="1"/>
  <c r="J269" i="21"/>
  <c r="R269" i="21" s="1"/>
  <c r="J271" i="21"/>
  <c r="R271" i="21" s="1"/>
  <c r="J272" i="21"/>
  <c r="R272" i="21" s="1"/>
  <c r="J274" i="21"/>
  <c r="R274" i="21" s="1"/>
  <c r="J275" i="21"/>
  <c r="R275" i="21" s="1"/>
  <c r="J268" i="21"/>
  <c r="R268" i="21" s="1"/>
  <c r="J258" i="21"/>
  <c r="R258" i="21" s="1"/>
  <c r="J260" i="21"/>
  <c r="R260" i="21" s="1"/>
  <c r="J261" i="21"/>
  <c r="R261" i="21" s="1"/>
  <c r="J262" i="21"/>
  <c r="R262" i="21" s="1"/>
  <c r="J263" i="21"/>
  <c r="R263" i="21" s="1"/>
  <c r="J257" i="21"/>
  <c r="R257" i="21" s="1"/>
  <c r="J253" i="21"/>
  <c r="R253" i="21" s="1"/>
  <c r="J255" i="21"/>
  <c r="R255" i="21" s="1"/>
  <c r="J244" i="21"/>
  <c r="R244" i="21" s="1"/>
  <c r="J245" i="21"/>
  <c r="J243" i="21"/>
  <c r="R243" i="21" s="1"/>
  <c r="I242" i="21"/>
  <c r="Q242" i="21" s="1"/>
  <c r="I249" i="21"/>
  <c r="I246" i="21" s="1"/>
  <c r="Q246" i="21" s="1"/>
  <c r="I259" i="21"/>
  <c r="Q259" i="21" s="1"/>
  <c r="I270" i="21"/>
  <c r="I267" i="21" s="1"/>
  <c r="I266" i="21" s="1"/>
  <c r="Q266" i="21" s="1"/>
  <c r="I280" i="21"/>
  <c r="I277" i="21" s="1"/>
  <c r="I276" i="21" s="1"/>
  <c r="Q276" i="21" s="1"/>
  <c r="I287" i="21"/>
  <c r="I302" i="21"/>
  <c r="I299" i="21" s="1"/>
  <c r="I298" i="21" s="1"/>
  <c r="Q298" i="21" s="1"/>
  <c r="Q123" i="21"/>
  <c r="Q124" i="21"/>
  <c r="Q125" i="21"/>
  <c r="Q128" i="21"/>
  <c r="Q130" i="21"/>
  <c r="Q131" i="21"/>
  <c r="Q132" i="21"/>
  <c r="Q134" i="21"/>
  <c r="Q135" i="21"/>
  <c r="Q136" i="21"/>
  <c r="Q138" i="21"/>
  <c r="Q139" i="21"/>
  <c r="Q140" i="21"/>
  <c r="Q142" i="21"/>
  <c r="Q143" i="21"/>
  <c r="Q144" i="21"/>
  <c r="Q145" i="21"/>
  <c r="Q146" i="21"/>
  <c r="Q147" i="21"/>
  <c r="Q150" i="21"/>
  <c r="Q151" i="21"/>
  <c r="Q153" i="21"/>
  <c r="Q154" i="21"/>
  <c r="Q155" i="21"/>
  <c r="Q156" i="21"/>
  <c r="Q157" i="21"/>
  <c r="Q158" i="21"/>
  <c r="Q159" i="21"/>
  <c r="Q161" i="21"/>
  <c r="Q162" i="21"/>
  <c r="Q164" i="21"/>
  <c r="Q165" i="21"/>
  <c r="Q166" i="21"/>
  <c r="Q167" i="21"/>
  <c r="Q168" i="21"/>
  <c r="Q169" i="21"/>
  <c r="Q171" i="21"/>
  <c r="Q172" i="21"/>
  <c r="Q174" i="21"/>
  <c r="Q175" i="21"/>
  <c r="Q176" i="21"/>
  <c r="Q178" i="21"/>
  <c r="Q179" i="21"/>
  <c r="Q181" i="21"/>
  <c r="Q182" i="21"/>
  <c r="Q183" i="21"/>
  <c r="Q184" i="21"/>
  <c r="N178" i="21"/>
  <c r="N179" i="21"/>
  <c r="N170" i="21"/>
  <c r="N160" i="21"/>
  <c r="N143" i="21"/>
  <c r="N145" i="21"/>
  <c r="N146" i="21"/>
  <c r="N142" i="21"/>
  <c r="N135" i="21"/>
  <c r="N134" i="21"/>
  <c r="N131" i="21"/>
  <c r="N132" i="21"/>
  <c r="N130" i="21"/>
  <c r="N128" i="21"/>
  <c r="N127" i="21"/>
  <c r="J182" i="21"/>
  <c r="J183" i="21"/>
  <c r="R183" i="21" s="1"/>
  <c r="J172" i="21"/>
  <c r="R172" i="21" s="1"/>
  <c r="J171" i="21"/>
  <c r="R171" i="21" s="1"/>
  <c r="J167" i="21"/>
  <c r="J168" i="21"/>
  <c r="R168" i="21" s="1"/>
  <c r="J164" i="21"/>
  <c r="J162" i="21"/>
  <c r="R162" i="21" s="1"/>
  <c r="J161" i="21"/>
  <c r="J154" i="21"/>
  <c r="J155" i="21"/>
  <c r="R155" i="21" s="1"/>
  <c r="J156" i="21"/>
  <c r="R156" i="21" s="1"/>
  <c r="J157" i="21"/>
  <c r="R157" i="21" s="1"/>
  <c r="J158" i="21"/>
  <c r="J159" i="21"/>
  <c r="R159" i="21" s="1"/>
  <c r="J153" i="21"/>
  <c r="R153" i="21" s="1"/>
  <c r="J151" i="21"/>
  <c r="R151" i="21" s="1"/>
  <c r="J150" i="21"/>
  <c r="J143" i="21"/>
  <c r="J144" i="21"/>
  <c r="J145" i="21"/>
  <c r="J146" i="21"/>
  <c r="J147" i="21"/>
  <c r="J148" i="21"/>
  <c r="J142" i="21"/>
  <c r="J139" i="21"/>
  <c r="R139" i="21" s="1"/>
  <c r="J140" i="21"/>
  <c r="R140" i="21" s="1"/>
  <c r="J138" i="21"/>
  <c r="R138" i="21" s="1"/>
  <c r="J136" i="21"/>
  <c r="J134" i="21"/>
  <c r="J131" i="21"/>
  <c r="J132" i="21"/>
  <c r="J130" i="21"/>
  <c r="J128" i="21"/>
  <c r="J124" i="21"/>
  <c r="R124" i="21" s="1"/>
  <c r="J123" i="21"/>
  <c r="R123" i="21" s="1"/>
  <c r="M122" i="21"/>
  <c r="M129" i="21"/>
  <c r="M133" i="21"/>
  <c r="M137" i="21"/>
  <c r="M141" i="21"/>
  <c r="M173" i="21"/>
  <c r="M180" i="21"/>
  <c r="I122" i="21"/>
  <c r="I127" i="21"/>
  <c r="Q127" i="21" s="1"/>
  <c r="I129" i="21"/>
  <c r="Q129" i="21" s="1"/>
  <c r="I133" i="21"/>
  <c r="Q133" i="21" s="1"/>
  <c r="I137" i="21"/>
  <c r="I152" i="21"/>
  <c r="I149" i="21" s="1"/>
  <c r="I141" i="21" s="1"/>
  <c r="Q141" i="21" s="1"/>
  <c r="I163" i="21"/>
  <c r="I160" i="21" s="1"/>
  <c r="Q160" i="21" s="1"/>
  <c r="I170" i="21"/>
  <c r="Q170" i="21" s="1"/>
  <c r="I173" i="21"/>
  <c r="I180" i="21"/>
  <c r="J86" i="21"/>
  <c r="J85" i="21"/>
  <c r="J81" i="21"/>
  <c r="J83" i="21"/>
  <c r="R83" i="21" s="1"/>
  <c r="Q80" i="21"/>
  <c r="Q81" i="21"/>
  <c r="Q82" i="21"/>
  <c r="Q83" i="21"/>
  <c r="Q85" i="21"/>
  <c r="Q86" i="21"/>
  <c r="M78" i="21"/>
  <c r="H7" i="15" s="1"/>
  <c r="N78" i="21"/>
  <c r="I79" i="21"/>
  <c r="I84" i="21"/>
  <c r="Q84" i="21" s="1"/>
  <c r="R58" i="21"/>
  <c r="Q8" i="21"/>
  <c r="Q9" i="21"/>
  <c r="Q10" i="21"/>
  <c r="Q11" i="21"/>
  <c r="Q12" i="21"/>
  <c r="Q14" i="21"/>
  <c r="Q16" i="21"/>
  <c r="Q18" i="21"/>
  <c r="Q20" i="21"/>
  <c r="Q21" i="21"/>
  <c r="Q22" i="21"/>
  <c r="Q23" i="21"/>
  <c r="Q24" i="21"/>
  <c r="Q26" i="21"/>
  <c r="Q27" i="21"/>
  <c r="Q28" i="21"/>
  <c r="Q29" i="21"/>
  <c r="Q30" i="21"/>
  <c r="Q31" i="21"/>
  <c r="Q32" i="21"/>
  <c r="Q33" i="21"/>
  <c r="Q34" i="21"/>
  <c r="Q36" i="21"/>
  <c r="Q37" i="21"/>
  <c r="Q38" i="21"/>
  <c r="Q39" i="21"/>
  <c r="Q40" i="21"/>
  <c r="Q41" i="21"/>
  <c r="Q42" i="21"/>
  <c r="Q43" i="21"/>
  <c r="Q44" i="21"/>
  <c r="Q45" i="21"/>
  <c r="Q46" i="21"/>
  <c r="Q47" i="21"/>
  <c r="Q48" i="21"/>
  <c r="Q49" i="21"/>
  <c r="Q50" i="21"/>
  <c r="Q51" i="21"/>
  <c r="Q53" i="21"/>
  <c r="Q54" i="21"/>
  <c r="Q55" i="21"/>
  <c r="Q56" i="21"/>
  <c r="Q57" i="21"/>
  <c r="Q58" i="21"/>
  <c r="Q61" i="21"/>
  <c r="Q62" i="21"/>
  <c r="Q63" i="21"/>
  <c r="Q64" i="21"/>
  <c r="Q65" i="21"/>
  <c r="Q66" i="21"/>
  <c r="Q67" i="21"/>
  <c r="Q68" i="21"/>
  <c r="R68" i="21"/>
  <c r="Q69" i="21"/>
  <c r="Q70" i="21"/>
  <c r="N70" i="21"/>
  <c r="R70" i="21" s="1"/>
  <c r="R69" i="21"/>
  <c r="R67" i="21"/>
  <c r="R66" i="21"/>
  <c r="R65" i="21"/>
  <c r="R64" i="21"/>
  <c r="R63" i="21"/>
  <c r="R62" i="21"/>
  <c r="R61" i="21"/>
  <c r="R57" i="21"/>
  <c r="R56" i="21"/>
  <c r="R55" i="21"/>
  <c r="R54" i="21"/>
  <c r="R53" i="21"/>
  <c r="N52" i="21"/>
  <c r="N51" i="21"/>
  <c r="R51" i="21" s="1"/>
  <c r="N50" i="21"/>
  <c r="R50" i="21" s="1"/>
  <c r="N49" i="21"/>
  <c r="R49" i="21" s="1"/>
  <c r="N48" i="21"/>
  <c r="R48" i="21" s="1"/>
  <c r="N47" i="21"/>
  <c r="R47" i="21" s="1"/>
  <c r="R45" i="21"/>
  <c r="R44" i="21"/>
  <c r="R43" i="21"/>
  <c r="R42" i="21"/>
  <c r="R41" i="21"/>
  <c r="R40" i="21"/>
  <c r="R38" i="21"/>
  <c r="M35" i="21"/>
  <c r="M25" i="21" s="1"/>
  <c r="N34" i="21"/>
  <c r="R34" i="21" s="1"/>
  <c r="N33" i="21"/>
  <c r="R33" i="21" s="1"/>
  <c r="R32" i="21"/>
  <c r="R31" i="21"/>
  <c r="R30" i="21"/>
  <c r="R29" i="21"/>
  <c r="R28" i="21"/>
  <c r="R27" i="21"/>
  <c r="R24" i="21"/>
  <c r="R23" i="21"/>
  <c r="R21" i="21"/>
  <c r="R20" i="21"/>
  <c r="R18" i="21"/>
  <c r="R16" i="21"/>
  <c r="R14" i="21"/>
  <c r="R12" i="21"/>
  <c r="R10" i="21"/>
  <c r="R9" i="21"/>
  <c r="M6" i="21"/>
  <c r="I7" i="21"/>
  <c r="Q7" i="21" s="1"/>
  <c r="I13" i="21"/>
  <c r="Q13" i="21" s="1"/>
  <c r="I15" i="21"/>
  <c r="Q15" i="21" s="1"/>
  <c r="I17" i="21"/>
  <c r="Q17" i="21" s="1"/>
  <c r="I19" i="21"/>
  <c r="Q19" i="21" s="1"/>
  <c r="I25" i="21"/>
  <c r="I35" i="21"/>
  <c r="I52" i="21"/>
  <c r="Q52" i="21" s="1"/>
  <c r="I60" i="21"/>
  <c r="P1806" i="21"/>
  <c r="H1805" i="21"/>
  <c r="P1804" i="21"/>
  <c r="P1803" i="21"/>
  <c r="P1802" i="21"/>
  <c r="H1801" i="21"/>
  <c r="J1801" i="21" s="1"/>
  <c r="R1801" i="21" s="1"/>
  <c r="P1800" i="21"/>
  <c r="H1799" i="21"/>
  <c r="H1798" i="21"/>
  <c r="L1794" i="21"/>
  <c r="P1795" i="21"/>
  <c r="B1795" i="21"/>
  <c r="B1796" i="21" s="1"/>
  <c r="B1797" i="21" s="1"/>
  <c r="B1798" i="21" s="1"/>
  <c r="B1799" i="21" s="1"/>
  <c r="B1800" i="21" s="1"/>
  <c r="B1801" i="21" s="1"/>
  <c r="B1802" i="21" s="1"/>
  <c r="B1803" i="21" s="1"/>
  <c r="B1804" i="21" s="1"/>
  <c r="B1805" i="21" s="1"/>
  <c r="B1806" i="21" s="1"/>
  <c r="P1756" i="21"/>
  <c r="H1750" i="21"/>
  <c r="J1750" i="21" s="1"/>
  <c r="R1750" i="21" s="1"/>
  <c r="J1743" i="21"/>
  <c r="R1743" i="21" s="1"/>
  <c r="H1735" i="21"/>
  <c r="J1735" i="21" s="1"/>
  <c r="R1735" i="21" s="1"/>
  <c r="H1734" i="21"/>
  <c r="J1734" i="21" s="1"/>
  <c r="R1734" i="21" s="1"/>
  <c r="H1729" i="21"/>
  <c r="H1722" i="21"/>
  <c r="J1722" i="21" s="1"/>
  <c r="R1722" i="21" s="1"/>
  <c r="H1708" i="21"/>
  <c r="H1706" i="21"/>
  <c r="J1706" i="21" s="1"/>
  <c r="R1706" i="21" s="1"/>
  <c r="H1692" i="21"/>
  <c r="J1692" i="21" s="1"/>
  <c r="R1692" i="21" s="1"/>
  <c r="H1691" i="21"/>
  <c r="H1678" i="21"/>
  <c r="H1667" i="21"/>
  <c r="J1667" i="21" s="1"/>
  <c r="R1667" i="21" s="1"/>
  <c r="H1657" i="21"/>
  <c r="H1650" i="21"/>
  <c r="J1650" i="21" s="1"/>
  <c r="R1650" i="21" s="1"/>
  <c r="H1636" i="21"/>
  <c r="H1630" i="21"/>
  <c r="H1624" i="21"/>
  <c r="J1624" i="21" s="1"/>
  <c r="R1624" i="21" s="1"/>
  <c r="B1620" i="21"/>
  <c r="B1621" i="21" s="1"/>
  <c r="B1622" i="21" s="1"/>
  <c r="B1623" i="21" s="1"/>
  <c r="B1624" i="21" s="1"/>
  <c r="B1625" i="21" s="1"/>
  <c r="B1626" i="21" s="1"/>
  <c r="B1627" i="21" s="1"/>
  <c r="B1628" i="21" s="1"/>
  <c r="B1629" i="21" s="1"/>
  <c r="B1630" i="21" s="1"/>
  <c r="B1631" i="21" s="1"/>
  <c r="B1632" i="21" s="1"/>
  <c r="B1633" i="21" s="1"/>
  <c r="B1634" i="21" s="1"/>
  <c r="B1635" i="21" s="1"/>
  <c r="B1636" i="21" s="1"/>
  <c r="B1637" i="21" s="1"/>
  <c r="B1638" i="21" s="1"/>
  <c r="B1639" i="21" s="1"/>
  <c r="B1640" i="21" s="1"/>
  <c r="B1641" i="21" s="1"/>
  <c r="B1642" i="21" s="1"/>
  <c r="B1643" i="21" s="1"/>
  <c r="B1644" i="21" s="1"/>
  <c r="B1646" i="21" s="1"/>
  <c r="B1647" i="21" s="1"/>
  <c r="B1648" i="21" s="1"/>
  <c r="B1649" i="21" s="1"/>
  <c r="B1650" i="21" s="1"/>
  <c r="B1651" i="21" s="1"/>
  <c r="B1652" i="21" s="1"/>
  <c r="B1653" i="21" s="1"/>
  <c r="B1654" i="21" s="1"/>
  <c r="B1655" i="21" s="1"/>
  <c r="B1656" i="21" s="1"/>
  <c r="B1657" i="21" s="1"/>
  <c r="B1658" i="21" s="1"/>
  <c r="B1659" i="21" s="1"/>
  <c r="B1660" i="21" s="1"/>
  <c r="B1661" i="21" s="1"/>
  <c r="B1662" i="21" s="1"/>
  <c r="B1663" i="21" s="1"/>
  <c r="B1664" i="21" s="1"/>
  <c r="B1665" i="21" s="1"/>
  <c r="B1666" i="21" s="1"/>
  <c r="B1667" i="21" s="1"/>
  <c r="B1668" i="21" s="1"/>
  <c r="B1669" i="21" s="1"/>
  <c r="B1670" i="21" s="1"/>
  <c r="B1671" i="21" s="1"/>
  <c r="B1672" i="21" s="1"/>
  <c r="B1673" i="21" s="1"/>
  <c r="B1674" i="21" s="1"/>
  <c r="B1675" i="21" s="1"/>
  <c r="B1676" i="21" s="1"/>
  <c r="B1677" i="21" s="1"/>
  <c r="B1678" i="21" s="1"/>
  <c r="B1679" i="21" s="1"/>
  <c r="B1680" i="21" s="1"/>
  <c r="B1681" i="21" s="1"/>
  <c r="B1682" i="21" s="1"/>
  <c r="B1683" i="21" s="1"/>
  <c r="B1684" i="21" s="1"/>
  <c r="B1685" i="21" s="1"/>
  <c r="B1686" i="21" s="1"/>
  <c r="B1687" i="21" s="1"/>
  <c r="B1688" i="21" s="1"/>
  <c r="B1689" i="21" s="1"/>
  <c r="B1690" i="21" s="1"/>
  <c r="B1691" i="21" s="1"/>
  <c r="B1692" i="21" s="1"/>
  <c r="B1693" i="21" s="1"/>
  <c r="B1694" i="21" s="1"/>
  <c r="B1695" i="21" s="1"/>
  <c r="B1696" i="21" s="1"/>
  <c r="B1697" i="21" s="1"/>
  <c r="B1698" i="21" s="1"/>
  <c r="B1699" i="21" s="1"/>
  <c r="B1700" i="21" s="1"/>
  <c r="B1701" i="21" s="1"/>
  <c r="B1702" i="21" s="1"/>
  <c r="B1703" i="21" s="1"/>
  <c r="B1704" i="21" s="1"/>
  <c r="B1705" i="21" s="1"/>
  <c r="B1706" i="21" s="1"/>
  <c r="B1707" i="21" s="1"/>
  <c r="B1708" i="21" s="1"/>
  <c r="B1709" i="21" s="1"/>
  <c r="B1710" i="21" s="1"/>
  <c r="B1711" i="21" s="1"/>
  <c r="B1712" i="21" s="1"/>
  <c r="B1713" i="21" s="1"/>
  <c r="B1714" i="21" s="1"/>
  <c r="B1715" i="21" s="1"/>
  <c r="B1716" i="21" s="1"/>
  <c r="B1717" i="21" s="1"/>
  <c r="B1718" i="21" s="1"/>
  <c r="B1719" i="21" s="1"/>
  <c r="B1720" i="21" s="1"/>
  <c r="B1721" i="21" s="1"/>
  <c r="B1722" i="21" s="1"/>
  <c r="B1723" i="21" s="1"/>
  <c r="B1724" i="21" s="1"/>
  <c r="B1725" i="21" s="1"/>
  <c r="B1726" i="21" s="1"/>
  <c r="B1727" i="21" s="1"/>
  <c r="B1728" i="21" s="1"/>
  <c r="B1729" i="21" s="1"/>
  <c r="B1730" i="21" s="1"/>
  <c r="B1731" i="21" s="1"/>
  <c r="B1732" i="21" s="1"/>
  <c r="H1580" i="21"/>
  <c r="J1580" i="21" s="1"/>
  <c r="J1579" i="21"/>
  <c r="R1579" i="21" s="1"/>
  <c r="H1578" i="21"/>
  <c r="J1578" i="21" s="1"/>
  <c r="R1578" i="21" s="1"/>
  <c r="H1577" i="21"/>
  <c r="J1577" i="21" s="1"/>
  <c r="R1577" i="21" s="1"/>
  <c r="H1576" i="21"/>
  <c r="J1576" i="21" s="1"/>
  <c r="H1575" i="21"/>
  <c r="J1575" i="21" s="1"/>
  <c r="R1575" i="21" s="1"/>
  <c r="H1574" i="21"/>
  <c r="J1574" i="21" s="1"/>
  <c r="R1574" i="21" s="1"/>
  <c r="H1572" i="21"/>
  <c r="J1572" i="21" s="1"/>
  <c r="R1572" i="21" s="1"/>
  <c r="H1571" i="21"/>
  <c r="J1571" i="21" s="1"/>
  <c r="R1571" i="21" s="1"/>
  <c r="H1567" i="21"/>
  <c r="J1567" i="21" s="1"/>
  <c r="H1559" i="21"/>
  <c r="H1552" i="21"/>
  <c r="H1548" i="21"/>
  <c r="J1548" i="21" s="1"/>
  <c r="H1546" i="21"/>
  <c r="J1546" i="21" s="1"/>
  <c r="R1546" i="21" s="1"/>
  <c r="H1545" i="21"/>
  <c r="J1545" i="21" s="1"/>
  <c r="H1544" i="21"/>
  <c r="J1544" i="21" s="1"/>
  <c r="R1544" i="21" s="1"/>
  <c r="H1543" i="21"/>
  <c r="J1543" i="21" s="1"/>
  <c r="R1543" i="21" s="1"/>
  <c r="P1538" i="21"/>
  <c r="J1534" i="21"/>
  <c r="R1534" i="21" s="1"/>
  <c r="H1532" i="21"/>
  <c r="J1532" i="21" s="1"/>
  <c r="R1532" i="21" s="1"/>
  <c r="J1531" i="21"/>
  <c r="J1530" i="21"/>
  <c r="R1530" i="21" s="1"/>
  <c r="H1528" i="21"/>
  <c r="J1528" i="21" s="1"/>
  <c r="R1528" i="21" s="1"/>
  <c r="H1527" i="21"/>
  <c r="J1527" i="21" s="1"/>
  <c r="H1525" i="21"/>
  <c r="J1525" i="21" s="1"/>
  <c r="R1525" i="21" s="1"/>
  <c r="H1524" i="21"/>
  <c r="J1524" i="21" s="1"/>
  <c r="R1524" i="21" s="1"/>
  <c r="H1517" i="21"/>
  <c r="J1517" i="21" s="1"/>
  <c r="R1517" i="21" s="1"/>
  <c r="J1516" i="21"/>
  <c r="R1516" i="21" s="1"/>
  <c r="J1513" i="21"/>
  <c r="R1513" i="21" s="1"/>
  <c r="B1506" i="21"/>
  <c r="B1507" i="21" s="1"/>
  <c r="B1508" i="21" s="1"/>
  <c r="B1509" i="21" s="1"/>
  <c r="B1510" i="21" s="1"/>
  <c r="B1511" i="21" s="1"/>
  <c r="B1512" i="21" s="1"/>
  <c r="B1513" i="21" s="1"/>
  <c r="B1514" i="21" s="1"/>
  <c r="B1515" i="21" s="1"/>
  <c r="B1516" i="21" s="1"/>
  <c r="B1517" i="21" s="1"/>
  <c r="B1518" i="21" s="1"/>
  <c r="B1519" i="21" s="1"/>
  <c r="B1520" i="21" s="1"/>
  <c r="B1521" i="21" s="1"/>
  <c r="B1522" i="21" s="1"/>
  <c r="B1523" i="21" s="1"/>
  <c r="B1524" i="21" s="1"/>
  <c r="B1525" i="21" s="1"/>
  <c r="B1526" i="21" s="1"/>
  <c r="B1527" i="21" s="1"/>
  <c r="B1528" i="21" s="1"/>
  <c r="B1529" i="21" s="1"/>
  <c r="B1530" i="21" s="1"/>
  <c r="B1531" i="21" s="1"/>
  <c r="B1532" i="21" s="1"/>
  <c r="B1533" i="21" s="1"/>
  <c r="B1534" i="21" s="1"/>
  <c r="B1535" i="21" s="1"/>
  <c r="P1495" i="21"/>
  <c r="P1493" i="21"/>
  <c r="P1492" i="21"/>
  <c r="P1491" i="21"/>
  <c r="P1490" i="21"/>
  <c r="P1489" i="21"/>
  <c r="P1488" i="21"/>
  <c r="P1486" i="21"/>
  <c r="H1485" i="21"/>
  <c r="J1485" i="21" s="1"/>
  <c r="R1485" i="21" s="1"/>
  <c r="P1484" i="21"/>
  <c r="P1483" i="21"/>
  <c r="N1481" i="21"/>
  <c r="H1480" i="21"/>
  <c r="P1479" i="21"/>
  <c r="H1478" i="21"/>
  <c r="P1477" i="21"/>
  <c r="P1476" i="21"/>
  <c r="P1475" i="21"/>
  <c r="P1473" i="21"/>
  <c r="P1472" i="21"/>
  <c r="H1471" i="21"/>
  <c r="H1469" i="21"/>
  <c r="P1468" i="21"/>
  <c r="P1464" i="21"/>
  <c r="P1463" i="21"/>
  <c r="P1462" i="21"/>
  <c r="P1461" i="21"/>
  <c r="P1460" i="21"/>
  <c r="P1459" i="21"/>
  <c r="P1458" i="21"/>
  <c r="P1457" i="21"/>
  <c r="P1456" i="21"/>
  <c r="H1455" i="21"/>
  <c r="H1453" i="21" s="1"/>
  <c r="P1454" i="21"/>
  <c r="P1452" i="21"/>
  <c r="L1451" i="21"/>
  <c r="B1451" i="21"/>
  <c r="B1452" i="21" s="1"/>
  <c r="B1453" i="21" s="1"/>
  <c r="B1454" i="21" s="1"/>
  <c r="B1455" i="21" s="1"/>
  <c r="B1456" i="21" s="1"/>
  <c r="B1457" i="21" s="1"/>
  <c r="B1458" i="21" s="1"/>
  <c r="B1459" i="21" s="1"/>
  <c r="B1460" i="21" s="1"/>
  <c r="B1461" i="21" s="1"/>
  <c r="B1462" i="21" s="1"/>
  <c r="B1463" i="21" s="1"/>
  <c r="B1464" i="21" s="1"/>
  <c r="P1407" i="21"/>
  <c r="P1406" i="21"/>
  <c r="P1404" i="21"/>
  <c r="P1403" i="21"/>
  <c r="P1402" i="21"/>
  <c r="P1401" i="21"/>
  <c r="P1400" i="21"/>
  <c r="H1399" i="21"/>
  <c r="P1398" i="21"/>
  <c r="P1397" i="21"/>
  <c r="L1395" i="21"/>
  <c r="N1395" i="21" s="1"/>
  <c r="P1393" i="21"/>
  <c r="L1391" i="21"/>
  <c r="P1388" i="21"/>
  <c r="P1387" i="21"/>
  <c r="P1386" i="21"/>
  <c r="P1384" i="21"/>
  <c r="P1383" i="21"/>
  <c r="P1381" i="21"/>
  <c r="P1380" i="21"/>
  <c r="L1379" i="21"/>
  <c r="P1378" i="21"/>
  <c r="P1375" i="21"/>
  <c r="P1373" i="21"/>
  <c r="P1371" i="21"/>
  <c r="P1370" i="21"/>
  <c r="P1369" i="21"/>
  <c r="P1368" i="21"/>
  <c r="P1367" i="21"/>
  <c r="P1366" i="21"/>
  <c r="H1365" i="21"/>
  <c r="H1362" i="21" s="1"/>
  <c r="H1361" i="21" s="1"/>
  <c r="P1364" i="21"/>
  <c r="P1363" i="21"/>
  <c r="L1361" i="21"/>
  <c r="P1360" i="21"/>
  <c r="P1359" i="21"/>
  <c r="H1358" i="21"/>
  <c r="P1357" i="21"/>
  <c r="P1356" i="21"/>
  <c r="H1355" i="21"/>
  <c r="P1354" i="21"/>
  <c r="P1353" i="21"/>
  <c r="L1352" i="21"/>
  <c r="P1351" i="21"/>
  <c r="P1350" i="21"/>
  <c r="H1349" i="21"/>
  <c r="P1345" i="21"/>
  <c r="P1344" i="21"/>
  <c r="P1343" i="21"/>
  <c r="P1342" i="21"/>
  <c r="P1341" i="21"/>
  <c r="P1340" i="21"/>
  <c r="P1339" i="21"/>
  <c r="P1338" i="21"/>
  <c r="P1337" i="21"/>
  <c r="P1335" i="21"/>
  <c r="B1335" i="21"/>
  <c r="B1336" i="21" s="1"/>
  <c r="B1337" i="21" s="1"/>
  <c r="B1338" i="21" s="1"/>
  <c r="B1339" i="21" s="1"/>
  <c r="B1340" i="21" s="1"/>
  <c r="B1341" i="21" s="1"/>
  <c r="B1342" i="21" s="1"/>
  <c r="P1304" i="21"/>
  <c r="P1303" i="21"/>
  <c r="P1302" i="21"/>
  <c r="P1301" i="21"/>
  <c r="P1300" i="21"/>
  <c r="P1299" i="21"/>
  <c r="H1298" i="21"/>
  <c r="H1295" i="21" s="1"/>
  <c r="P1297" i="21"/>
  <c r="P1296" i="21"/>
  <c r="P1294" i="21"/>
  <c r="P1293" i="21"/>
  <c r="P1292" i="21"/>
  <c r="P1291" i="21"/>
  <c r="H1290" i="21"/>
  <c r="P1289" i="21"/>
  <c r="H1288" i="21"/>
  <c r="H1282" i="21" s="1"/>
  <c r="P1287" i="21"/>
  <c r="P1286" i="21"/>
  <c r="P1285" i="21"/>
  <c r="P1284" i="21"/>
  <c r="P1283" i="21"/>
  <c r="P1281" i="21"/>
  <c r="H1280" i="21"/>
  <c r="J1280" i="21" s="1"/>
  <c r="P1276" i="21"/>
  <c r="P1275" i="21"/>
  <c r="P1274" i="21"/>
  <c r="P1273" i="21"/>
  <c r="P1271" i="21"/>
  <c r="H1270" i="21"/>
  <c r="P1268" i="21"/>
  <c r="P1267" i="21"/>
  <c r="H1266" i="21"/>
  <c r="L1265" i="21"/>
  <c r="P1263" i="21"/>
  <c r="P1262" i="21"/>
  <c r="H1261" i="21"/>
  <c r="J1261" i="21" s="1"/>
  <c r="R1261" i="21" s="1"/>
  <c r="P1260" i="21"/>
  <c r="P1259" i="21"/>
  <c r="H1257" i="21"/>
  <c r="H1256" i="21"/>
  <c r="P1254" i="21"/>
  <c r="P1253" i="21"/>
  <c r="H1252" i="21"/>
  <c r="H1251" i="21"/>
  <c r="P1250" i="21"/>
  <c r="P1249" i="21"/>
  <c r="H1247" i="21"/>
  <c r="J1247" i="21" s="1"/>
  <c r="R1247" i="21" s="1"/>
  <c r="H1246" i="21"/>
  <c r="L1245" i="21"/>
  <c r="L1244" i="21" s="1"/>
  <c r="P1243" i="21"/>
  <c r="P1242" i="21"/>
  <c r="P1241" i="21"/>
  <c r="P1240" i="21"/>
  <c r="H1239" i="21"/>
  <c r="J1239" i="21" s="1"/>
  <c r="R1239" i="21" s="1"/>
  <c r="P1237" i="21"/>
  <c r="J1235" i="21"/>
  <c r="R1235" i="21" s="1"/>
  <c r="L1233" i="21"/>
  <c r="P1232" i="21"/>
  <c r="P1231" i="21"/>
  <c r="P1230" i="21"/>
  <c r="P1229" i="21"/>
  <c r="P1228" i="21"/>
  <c r="H1227" i="21"/>
  <c r="H1226" i="21"/>
  <c r="J1226" i="21" s="1"/>
  <c r="R1226" i="21" s="1"/>
  <c r="H1225" i="21"/>
  <c r="L1224" i="21"/>
  <c r="N1224" i="21" s="1"/>
  <c r="P1222" i="21"/>
  <c r="H1221" i="21"/>
  <c r="P1220" i="21"/>
  <c r="H1219" i="21"/>
  <c r="J1219" i="21" s="1"/>
  <c r="R1219" i="21" s="1"/>
  <c r="H1218" i="21"/>
  <c r="J1218" i="21" s="1"/>
  <c r="R1218" i="21" s="1"/>
  <c r="H1216" i="21"/>
  <c r="H1215" i="21"/>
  <c r="P1213" i="21"/>
  <c r="H1212" i="21"/>
  <c r="P1211" i="21"/>
  <c r="H1210" i="21"/>
  <c r="J1210" i="21" s="1"/>
  <c r="R1210" i="21" s="1"/>
  <c r="H1209" i="21"/>
  <c r="J1209" i="21" s="1"/>
  <c r="H1207" i="21"/>
  <c r="H1206" i="21"/>
  <c r="P1203" i="21"/>
  <c r="H1202" i="21"/>
  <c r="P1201" i="21"/>
  <c r="H1200" i="21"/>
  <c r="H1199" i="21"/>
  <c r="J1199" i="21" s="1"/>
  <c r="R1199" i="21" s="1"/>
  <c r="H1197" i="21"/>
  <c r="J1197" i="21" s="1"/>
  <c r="H1196" i="21"/>
  <c r="J1196" i="21" s="1"/>
  <c r="R1196" i="21" s="1"/>
  <c r="P1194" i="21"/>
  <c r="H1193" i="21"/>
  <c r="P1192" i="21"/>
  <c r="H1191" i="21"/>
  <c r="H1190" i="21"/>
  <c r="J1190" i="21" s="1"/>
  <c r="R1190" i="21" s="1"/>
  <c r="H1188" i="21"/>
  <c r="J1188" i="21" s="1"/>
  <c r="R1188" i="21" s="1"/>
  <c r="H1187" i="21"/>
  <c r="J1187" i="21" s="1"/>
  <c r="R1187" i="21" s="1"/>
  <c r="P1184" i="21"/>
  <c r="P1183" i="21"/>
  <c r="P1182" i="21"/>
  <c r="P1181" i="21"/>
  <c r="P1180" i="21"/>
  <c r="P1179" i="21"/>
  <c r="H1178" i="21"/>
  <c r="J1178" i="21" s="1"/>
  <c r="R1178" i="21" s="1"/>
  <c r="H1177" i="21"/>
  <c r="J1177" i="21" s="1"/>
  <c r="H1176" i="21"/>
  <c r="J1176" i="21" s="1"/>
  <c r="R1176" i="21" s="1"/>
  <c r="P1174" i="21"/>
  <c r="P1173" i="21"/>
  <c r="P1172" i="21"/>
  <c r="P1171" i="21"/>
  <c r="P1170" i="21"/>
  <c r="P1169" i="21"/>
  <c r="P1168" i="21"/>
  <c r="H1167" i="21"/>
  <c r="H1166" i="21"/>
  <c r="H1165" i="21"/>
  <c r="J1165" i="21" s="1"/>
  <c r="L1163" i="21"/>
  <c r="P1162" i="21"/>
  <c r="P1161" i="21"/>
  <c r="P1160" i="21"/>
  <c r="P1159" i="21"/>
  <c r="P1158" i="21"/>
  <c r="H1157" i="21"/>
  <c r="J1155" i="21"/>
  <c r="R1155" i="21" s="1"/>
  <c r="P1153" i="21"/>
  <c r="P1152" i="21"/>
  <c r="P1151" i="21"/>
  <c r="P1150" i="21"/>
  <c r="P1149" i="21"/>
  <c r="H1148" i="21"/>
  <c r="H1147" i="21"/>
  <c r="H1146" i="21"/>
  <c r="J1146" i="21" s="1"/>
  <c r="R1146" i="21" s="1"/>
  <c r="P1143" i="21"/>
  <c r="P1142" i="21"/>
  <c r="P1141" i="21"/>
  <c r="P1140" i="21"/>
  <c r="P1139" i="21"/>
  <c r="P1138" i="21"/>
  <c r="H1137" i="21"/>
  <c r="H1136" i="21"/>
  <c r="J1136" i="21" s="1"/>
  <c r="H1135" i="21"/>
  <c r="J1135" i="21" s="1"/>
  <c r="R1135" i="21" s="1"/>
  <c r="P1133" i="21"/>
  <c r="P1132" i="21"/>
  <c r="P1131" i="21"/>
  <c r="P1130" i="21"/>
  <c r="P1129" i="21"/>
  <c r="P1128" i="21"/>
  <c r="H1127" i="21"/>
  <c r="H1126" i="21"/>
  <c r="H1125" i="21"/>
  <c r="P1121" i="21"/>
  <c r="P1120" i="21"/>
  <c r="P1119" i="21"/>
  <c r="P1118" i="21"/>
  <c r="H1117" i="21"/>
  <c r="J1117" i="21" s="1"/>
  <c r="R1117" i="21" s="1"/>
  <c r="H1116" i="21"/>
  <c r="H1115" i="21"/>
  <c r="L1114" i="21"/>
  <c r="P1113" i="21"/>
  <c r="P1112" i="21"/>
  <c r="P1111" i="21"/>
  <c r="P1110" i="21"/>
  <c r="H1109" i="21"/>
  <c r="H1108" i="21"/>
  <c r="H1107" i="21"/>
  <c r="L1098" i="21"/>
  <c r="P1104" i="21"/>
  <c r="P1103" i="21"/>
  <c r="P1102" i="21"/>
  <c r="H1101" i="21"/>
  <c r="J1101" i="21" s="1"/>
  <c r="H1100" i="21"/>
  <c r="H1099" i="21"/>
  <c r="J1099" i="21" s="1"/>
  <c r="R1099" i="21" s="1"/>
  <c r="P1097" i="21"/>
  <c r="P1096" i="21"/>
  <c r="P1095" i="21"/>
  <c r="P1094" i="21"/>
  <c r="H1093" i="21"/>
  <c r="H1092" i="21"/>
  <c r="J1092" i="21" s="1"/>
  <c r="R1092" i="21" s="1"/>
  <c r="H1091" i="21"/>
  <c r="J1091" i="21" s="1"/>
  <c r="R1091" i="21" s="1"/>
  <c r="L1090" i="21"/>
  <c r="P1088" i="21"/>
  <c r="P1087" i="21"/>
  <c r="P1086" i="21"/>
  <c r="H1085" i="21"/>
  <c r="J1083" i="21"/>
  <c r="R1083" i="21" s="1"/>
  <c r="N1081" i="21"/>
  <c r="P1080" i="21"/>
  <c r="P1079" i="21"/>
  <c r="L1066" i="21"/>
  <c r="P1072" i="21"/>
  <c r="P1071" i="21"/>
  <c r="P1070" i="21"/>
  <c r="H1069" i="21"/>
  <c r="H1068" i="21"/>
  <c r="H1067" i="21"/>
  <c r="P1065" i="21"/>
  <c r="P1064" i="21"/>
  <c r="P1063" i="21"/>
  <c r="P1062" i="21"/>
  <c r="P1061" i="21"/>
  <c r="H1060" i="21"/>
  <c r="H1059" i="21"/>
  <c r="J1059" i="21" s="1"/>
  <c r="H1058" i="21"/>
  <c r="J1058" i="21" s="1"/>
  <c r="L1057" i="21"/>
  <c r="P1056" i="21"/>
  <c r="P1055" i="21"/>
  <c r="P1054" i="21"/>
  <c r="P1053" i="21"/>
  <c r="H1052" i="21"/>
  <c r="H1051" i="21"/>
  <c r="H1050" i="21"/>
  <c r="L1049" i="21"/>
  <c r="P1048" i="21"/>
  <c r="H1047" i="21"/>
  <c r="P1046" i="21"/>
  <c r="P1045" i="21"/>
  <c r="P1044" i="21"/>
  <c r="H1043" i="21"/>
  <c r="H1042" i="21"/>
  <c r="H1041" i="21"/>
  <c r="J1041" i="21" s="1"/>
  <c r="R1041" i="21" s="1"/>
  <c r="L1040" i="21"/>
  <c r="P1039" i="21"/>
  <c r="P1038" i="21"/>
  <c r="P1037" i="21"/>
  <c r="H1036" i="21"/>
  <c r="P1032" i="21"/>
  <c r="P1031" i="21"/>
  <c r="P1030" i="21"/>
  <c r="H1029" i="21"/>
  <c r="H1028" i="21"/>
  <c r="H1027" i="21"/>
  <c r="P1025" i="21"/>
  <c r="P1024" i="21"/>
  <c r="P1023" i="21"/>
  <c r="P1022" i="21"/>
  <c r="H1021" i="21"/>
  <c r="H1020" i="21"/>
  <c r="J1020" i="21" s="1"/>
  <c r="R1020" i="21" s="1"/>
  <c r="H1019" i="21"/>
  <c r="L1018" i="21"/>
  <c r="P1017" i="21"/>
  <c r="P1016" i="21"/>
  <c r="P1015" i="21"/>
  <c r="P1014" i="21"/>
  <c r="H1013" i="21"/>
  <c r="H1012" i="21"/>
  <c r="L1010" i="21"/>
  <c r="P1006" i="21"/>
  <c r="P1005" i="21"/>
  <c r="P1003" i="21"/>
  <c r="P1001" i="21"/>
  <c r="P999" i="21"/>
  <c r="P998" i="21"/>
  <c r="P997" i="21"/>
  <c r="H995" i="21"/>
  <c r="H994" i="21"/>
  <c r="J994" i="21" s="1"/>
  <c r="R994" i="21" s="1"/>
  <c r="P992" i="21"/>
  <c r="P991" i="21"/>
  <c r="P990" i="21"/>
  <c r="H989" i="21"/>
  <c r="H988" i="21"/>
  <c r="P987" i="21"/>
  <c r="P986" i="21"/>
  <c r="H984" i="21"/>
  <c r="J984" i="21" s="1"/>
  <c r="R984" i="21" s="1"/>
  <c r="H983" i="21"/>
  <c r="J983" i="21" s="1"/>
  <c r="R983" i="21" s="1"/>
  <c r="P980" i="21"/>
  <c r="P979" i="21"/>
  <c r="P978" i="21"/>
  <c r="P977" i="21"/>
  <c r="P975" i="21"/>
  <c r="P974" i="21"/>
  <c r="P973" i="21"/>
  <c r="P972" i="21"/>
  <c r="H971" i="21"/>
  <c r="J971" i="21" s="1"/>
  <c r="R971" i="21" s="1"/>
  <c r="H970" i="21"/>
  <c r="H969" i="21"/>
  <c r="P967" i="21"/>
  <c r="H966" i="21"/>
  <c r="J966" i="21" s="1"/>
  <c r="R966" i="21" s="1"/>
  <c r="P965" i="21"/>
  <c r="H964" i="21"/>
  <c r="H962" i="21"/>
  <c r="H961" i="21"/>
  <c r="J961" i="21" s="1"/>
  <c r="R961" i="21" s="1"/>
  <c r="P959" i="21"/>
  <c r="P958" i="21"/>
  <c r="P957" i="21"/>
  <c r="P956" i="21"/>
  <c r="H955" i="21"/>
  <c r="J955" i="21" s="1"/>
  <c r="R955" i="21" s="1"/>
  <c r="H954" i="21"/>
  <c r="J954" i="21" s="1"/>
  <c r="R954" i="21" s="1"/>
  <c r="H953" i="21"/>
  <c r="J953" i="21" s="1"/>
  <c r="P951" i="21"/>
  <c r="H950" i="21"/>
  <c r="H949" i="21"/>
  <c r="H947" i="21"/>
  <c r="H946" i="21"/>
  <c r="J946" i="21" s="1"/>
  <c r="R946" i="21" s="1"/>
  <c r="P944" i="21"/>
  <c r="P943" i="21"/>
  <c r="P942" i="21"/>
  <c r="P941" i="21"/>
  <c r="H940" i="21"/>
  <c r="J940" i="21" s="1"/>
  <c r="R940" i="21" s="1"/>
  <c r="H939" i="21"/>
  <c r="J939" i="21" s="1"/>
  <c r="R939" i="21" s="1"/>
  <c r="H938" i="21"/>
  <c r="J938" i="21" s="1"/>
  <c r="R938" i="21" s="1"/>
  <c r="P936" i="21"/>
  <c r="P935" i="21"/>
  <c r="P934" i="21"/>
  <c r="P933" i="21"/>
  <c r="H932" i="21"/>
  <c r="J930" i="21"/>
  <c r="R930" i="21" s="1"/>
  <c r="P928" i="21"/>
  <c r="P927" i="21"/>
  <c r="P926" i="21"/>
  <c r="P925" i="21"/>
  <c r="H924" i="21"/>
  <c r="H923" i="21"/>
  <c r="H922" i="21"/>
  <c r="J922" i="21" s="1"/>
  <c r="R922" i="21" s="1"/>
  <c r="P920" i="21"/>
  <c r="P919" i="21"/>
  <c r="P918" i="21"/>
  <c r="P917" i="21"/>
  <c r="H916" i="21"/>
  <c r="J916" i="21" s="1"/>
  <c r="R916" i="21" s="1"/>
  <c r="H915" i="21"/>
  <c r="H914" i="21"/>
  <c r="J914" i="21" s="1"/>
  <c r="R914" i="21" s="1"/>
  <c r="P912" i="21"/>
  <c r="P911" i="21"/>
  <c r="P910" i="21"/>
  <c r="H909" i="21"/>
  <c r="H908" i="21"/>
  <c r="H907" i="21"/>
  <c r="H901" i="21"/>
  <c r="P900" i="21"/>
  <c r="P899" i="21"/>
  <c r="H897" i="21"/>
  <c r="P896" i="21"/>
  <c r="J893" i="21"/>
  <c r="R893" i="21" s="1"/>
  <c r="H891" i="21"/>
  <c r="P890" i="21"/>
  <c r="P889" i="21"/>
  <c r="H888" i="21"/>
  <c r="H887" i="21"/>
  <c r="J887" i="21" s="1"/>
  <c r="P886" i="21"/>
  <c r="H884" i="21"/>
  <c r="H883" i="21"/>
  <c r="J883" i="21" s="1"/>
  <c r="R883" i="21" s="1"/>
  <c r="P880" i="21"/>
  <c r="P879" i="21"/>
  <c r="H878" i="21"/>
  <c r="H877" i="21"/>
  <c r="P876" i="21"/>
  <c r="H875" i="21"/>
  <c r="J875" i="21" s="1"/>
  <c r="P874" i="21"/>
  <c r="H872" i="21"/>
  <c r="H871" i="21"/>
  <c r="J871" i="21" s="1"/>
  <c r="P869" i="21"/>
  <c r="H868" i="21"/>
  <c r="J868" i="21" s="1"/>
  <c r="R868" i="21" s="1"/>
  <c r="H867" i="21"/>
  <c r="P866" i="21"/>
  <c r="H865" i="21"/>
  <c r="P864" i="21"/>
  <c r="H862" i="21"/>
  <c r="H861" i="21"/>
  <c r="P858" i="21"/>
  <c r="P857" i="21"/>
  <c r="H856" i="21"/>
  <c r="P855" i="21"/>
  <c r="H854" i="21"/>
  <c r="H853" i="21"/>
  <c r="H852" i="21"/>
  <c r="P851" i="21"/>
  <c r="H849" i="21"/>
  <c r="H848" i="21"/>
  <c r="P846" i="21"/>
  <c r="P845" i="21"/>
  <c r="H843" i="21"/>
  <c r="H842" i="21"/>
  <c r="P841" i="21"/>
  <c r="P840" i="21"/>
  <c r="H838" i="21"/>
  <c r="H837" i="21"/>
  <c r="J837" i="21" s="1"/>
  <c r="R837" i="21" s="1"/>
  <c r="P834" i="21"/>
  <c r="P832" i="21"/>
  <c r="P831" i="21"/>
  <c r="P830" i="21"/>
  <c r="H829" i="21"/>
  <c r="H825" i="21" s="1"/>
  <c r="P828" i="21"/>
  <c r="P827" i="21"/>
  <c r="P826" i="21"/>
  <c r="H824" i="21"/>
  <c r="H823" i="21"/>
  <c r="L822" i="21"/>
  <c r="P821" i="21"/>
  <c r="P820" i="21"/>
  <c r="H819" i="21"/>
  <c r="J819" i="21" s="1"/>
  <c r="R819" i="21" s="1"/>
  <c r="P818" i="21"/>
  <c r="P817" i="21"/>
  <c r="P816" i="21"/>
  <c r="H814" i="21"/>
  <c r="H813" i="21"/>
  <c r="H810" i="21"/>
  <c r="H809" i="21"/>
  <c r="P808" i="21"/>
  <c r="H807" i="21"/>
  <c r="P806" i="21"/>
  <c r="P805" i="21"/>
  <c r="P804" i="21"/>
  <c r="P803" i="21"/>
  <c r="H801" i="21"/>
  <c r="H800" i="21"/>
  <c r="H798" i="21"/>
  <c r="P797" i="21"/>
  <c r="P796" i="21"/>
  <c r="H795" i="21"/>
  <c r="P794" i="21"/>
  <c r="P793" i="21"/>
  <c r="P792" i="21"/>
  <c r="P791" i="21"/>
  <c r="H789" i="21"/>
  <c r="H788" i="21"/>
  <c r="J788" i="21" s="1"/>
  <c r="L785" i="21"/>
  <c r="N785" i="21" s="1"/>
  <c r="R785" i="21" s="1"/>
  <c r="L784" i="21"/>
  <c r="N784" i="21" s="1"/>
  <c r="R784" i="21" s="1"/>
  <c r="P783" i="21"/>
  <c r="P782" i="21"/>
  <c r="P781" i="21"/>
  <c r="P780" i="21"/>
  <c r="P779" i="21"/>
  <c r="H778" i="21"/>
  <c r="P777" i="21"/>
  <c r="P776" i="21"/>
  <c r="H774" i="21"/>
  <c r="H773" i="21"/>
  <c r="P771" i="21"/>
  <c r="P770" i="21"/>
  <c r="P769" i="21"/>
  <c r="H768" i="21"/>
  <c r="P767" i="21"/>
  <c r="H766" i="21"/>
  <c r="J766" i="21" s="1"/>
  <c r="R766" i="21" s="1"/>
  <c r="P765" i="21"/>
  <c r="P764" i="21"/>
  <c r="H762" i="21"/>
  <c r="H761" i="21"/>
  <c r="L760" i="21"/>
  <c r="H758" i="21"/>
  <c r="P757" i="21"/>
  <c r="P756" i="21"/>
  <c r="P755" i="21"/>
  <c r="P754" i="21"/>
  <c r="P753" i="21"/>
  <c r="H752" i="21"/>
  <c r="J752" i="21" s="1"/>
  <c r="R752" i="21" s="1"/>
  <c r="P751" i="21"/>
  <c r="H749" i="21"/>
  <c r="J749" i="21" s="1"/>
  <c r="R749" i="21" s="1"/>
  <c r="H748" i="21"/>
  <c r="J748" i="21" s="1"/>
  <c r="R748" i="21" s="1"/>
  <c r="H746" i="21"/>
  <c r="P745" i="21"/>
  <c r="P744" i="21"/>
  <c r="P743" i="21"/>
  <c r="H742" i="21"/>
  <c r="P741" i="21"/>
  <c r="H739" i="21"/>
  <c r="H738" i="21"/>
  <c r="J738" i="21" s="1"/>
  <c r="R738" i="21" s="1"/>
  <c r="H735" i="21"/>
  <c r="P734" i="21"/>
  <c r="P733" i="21"/>
  <c r="H731" i="21"/>
  <c r="P730" i="21"/>
  <c r="P729" i="21"/>
  <c r="P728" i="21"/>
  <c r="P727" i="21"/>
  <c r="H725" i="21"/>
  <c r="H724" i="21"/>
  <c r="H722" i="21"/>
  <c r="P721" i="21"/>
  <c r="H720" i="21"/>
  <c r="P720" i="21" s="1"/>
  <c r="P719" i="21"/>
  <c r="P718" i="21"/>
  <c r="P717" i="21"/>
  <c r="P716" i="21"/>
  <c r="H714" i="21"/>
  <c r="J714" i="21" s="1"/>
  <c r="H713" i="21"/>
  <c r="J713" i="21" s="1"/>
  <c r="R713" i="21" s="1"/>
  <c r="P710" i="21"/>
  <c r="P709" i="21"/>
  <c r="P708" i="21"/>
  <c r="P707" i="21"/>
  <c r="H706" i="21"/>
  <c r="H704" i="21"/>
  <c r="J704" i="21" s="1"/>
  <c r="R704" i="21" s="1"/>
  <c r="H703" i="21"/>
  <c r="J703" i="21" s="1"/>
  <c r="R703" i="21" s="1"/>
  <c r="P698" i="21"/>
  <c r="P697" i="21"/>
  <c r="P696" i="21"/>
  <c r="P692" i="21"/>
  <c r="P691" i="21"/>
  <c r="P690" i="21"/>
  <c r="P689" i="21"/>
  <c r="P688" i="21"/>
  <c r="P687" i="21"/>
  <c r="H686" i="21"/>
  <c r="H685" i="21"/>
  <c r="H684" i="21"/>
  <c r="J684" i="21" s="1"/>
  <c r="R684" i="21" s="1"/>
  <c r="P682" i="21"/>
  <c r="P681" i="21"/>
  <c r="P680" i="21"/>
  <c r="P679" i="21"/>
  <c r="H678" i="21"/>
  <c r="H676" i="21"/>
  <c r="J676" i="21" s="1"/>
  <c r="R676" i="21" s="1"/>
  <c r="H675" i="21"/>
  <c r="J675" i="21" s="1"/>
  <c r="R675" i="21" s="1"/>
  <c r="P673" i="21"/>
  <c r="P672" i="21"/>
  <c r="P671" i="21"/>
  <c r="P670" i="21"/>
  <c r="J669" i="21"/>
  <c r="P668" i="21"/>
  <c r="H666" i="21"/>
  <c r="H665" i="21"/>
  <c r="J665" i="21" s="1"/>
  <c r="P662" i="21"/>
  <c r="P661" i="21"/>
  <c r="P660" i="21"/>
  <c r="P659" i="21"/>
  <c r="H658" i="21"/>
  <c r="J658" i="21" s="1"/>
  <c r="R658" i="21" s="1"/>
  <c r="H657" i="21"/>
  <c r="P653" i="21"/>
  <c r="P652" i="21"/>
  <c r="P651" i="21"/>
  <c r="H650" i="21"/>
  <c r="H649" i="21"/>
  <c r="L646" i="21"/>
  <c r="P644" i="21"/>
  <c r="P643" i="21"/>
  <c r="P642" i="21"/>
  <c r="P641" i="21"/>
  <c r="H640" i="21"/>
  <c r="H639" i="21"/>
  <c r="J639" i="21" s="1"/>
  <c r="R639" i="21" s="1"/>
  <c r="L635" i="21"/>
  <c r="L626" i="21" s="1"/>
  <c r="P634" i="21"/>
  <c r="P633" i="21"/>
  <c r="P632" i="21"/>
  <c r="P631" i="21"/>
  <c r="P630" i="21"/>
  <c r="H629" i="21"/>
  <c r="H628" i="21"/>
  <c r="H627" i="21"/>
  <c r="P625" i="21"/>
  <c r="P624" i="21"/>
  <c r="P623" i="21"/>
  <c r="P622" i="21"/>
  <c r="P621" i="21"/>
  <c r="P620" i="21"/>
  <c r="H618" i="21"/>
  <c r="J618" i="21" s="1"/>
  <c r="R618" i="21" s="1"/>
  <c r="H617" i="21"/>
  <c r="L616" i="21"/>
  <c r="L615" i="21"/>
  <c r="N615" i="21" s="1"/>
  <c r="R615" i="21" s="1"/>
  <c r="P614" i="21"/>
  <c r="L613" i="21"/>
  <c r="N613" i="21" s="1"/>
  <c r="R613" i="21" s="1"/>
  <c r="P612" i="21"/>
  <c r="P611" i="21"/>
  <c r="J609" i="21"/>
  <c r="P608" i="21"/>
  <c r="H606" i="21"/>
  <c r="J606" i="21" s="1"/>
  <c r="R606" i="21" s="1"/>
  <c r="H605" i="21"/>
  <c r="P603" i="21"/>
  <c r="P602" i="21"/>
  <c r="P601" i="21"/>
  <c r="P600" i="21"/>
  <c r="P599" i="21"/>
  <c r="P598" i="21"/>
  <c r="H597" i="21"/>
  <c r="H596" i="21"/>
  <c r="H595" i="21"/>
  <c r="P592" i="21"/>
  <c r="P591" i="21"/>
  <c r="H589" i="21"/>
  <c r="P588" i="21"/>
  <c r="H586" i="21"/>
  <c r="H585" i="21"/>
  <c r="J585" i="21" s="1"/>
  <c r="R585" i="21" s="1"/>
  <c r="P583" i="21"/>
  <c r="P582" i="21"/>
  <c r="P581" i="21"/>
  <c r="P579" i="21"/>
  <c r="P578" i="21"/>
  <c r="H577" i="21"/>
  <c r="H576" i="21"/>
  <c r="H575" i="21"/>
  <c r="P573" i="21"/>
  <c r="P572" i="21"/>
  <c r="P571" i="21"/>
  <c r="P570" i="21"/>
  <c r="P569" i="21"/>
  <c r="H568" i="21"/>
  <c r="H567" i="21"/>
  <c r="H566" i="21"/>
  <c r="P563" i="21"/>
  <c r="P561" i="21"/>
  <c r="P560" i="21"/>
  <c r="H559" i="21"/>
  <c r="H558" i="21"/>
  <c r="P555" i="21"/>
  <c r="P554" i="21"/>
  <c r="P553" i="21"/>
  <c r="P552" i="21"/>
  <c r="P551" i="21"/>
  <c r="P550" i="21"/>
  <c r="H549" i="21"/>
  <c r="H548" i="21"/>
  <c r="J548" i="21" s="1"/>
  <c r="R548" i="21" s="1"/>
  <c r="H547" i="21"/>
  <c r="L546" i="21"/>
  <c r="P544" i="21"/>
  <c r="P543" i="21"/>
  <c r="H542" i="21"/>
  <c r="J542" i="21" s="1"/>
  <c r="R542" i="21" s="1"/>
  <c r="P541" i="21"/>
  <c r="H539" i="21"/>
  <c r="B535" i="21"/>
  <c r="B536" i="21" s="1"/>
  <c r="B537" i="21" s="1"/>
  <c r="B538" i="21" s="1"/>
  <c r="B539" i="21" s="1"/>
  <c r="B540" i="21" s="1"/>
  <c r="B541" i="21" s="1"/>
  <c r="B542" i="21" s="1"/>
  <c r="B543" i="21" s="1"/>
  <c r="B544" i="21" s="1"/>
  <c r="P483" i="21"/>
  <c r="P482" i="21"/>
  <c r="P481" i="21"/>
  <c r="L480" i="21"/>
  <c r="P479" i="21"/>
  <c r="P478" i="21"/>
  <c r="P476" i="21"/>
  <c r="P475" i="21"/>
  <c r="P474" i="21"/>
  <c r="L472" i="21"/>
  <c r="P471" i="21"/>
  <c r="P470" i="21"/>
  <c r="P469" i="21"/>
  <c r="L468" i="21"/>
  <c r="N468" i="21" s="1"/>
  <c r="P466" i="21"/>
  <c r="L464" i="21"/>
  <c r="N464" i="21" s="1"/>
  <c r="R464" i="21" s="1"/>
  <c r="P463" i="21"/>
  <c r="P462" i="21"/>
  <c r="L461" i="21"/>
  <c r="L460" i="21"/>
  <c r="P459" i="21"/>
  <c r="P458" i="21"/>
  <c r="L457" i="21"/>
  <c r="N457" i="21" s="1"/>
  <c r="R457" i="21" s="1"/>
  <c r="P456" i="21"/>
  <c r="P455" i="21"/>
  <c r="L454" i="21"/>
  <c r="N454" i="21" s="1"/>
  <c r="R454" i="21" s="1"/>
  <c r="P453" i="21"/>
  <c r="P452" i="21"/>
  <c r="P451" i="21"/>
  <c r="L450" i="21"/>
  <c r="L449" i="21"/>
  <c r="P448" i="21"/>
  <c r="L447" i="21"/>
  <c r="N447" i="21" s="1"/>
  <c r="R447" i="21" s="1"/>
  <c r="P446" i="21"/>
  <c r="P445" i="21"/>
  <c r="L444" i="21"/>
  <c r="N444" i="21" s="1"/>
  <c r="R444" i="21" s="1"/>
  <c r="L443" i="21"/>
  <c r="L442" i="21"/>
  <c r="P441" i="21"/>
  <c r="P440" i="21"/>
  <c r="L439" i="21"/>
  <c r="N439" i="21" s="1"/>
  <c r="R439" i="21" s="1"/>
  <c r="P438" i="21"/>
  <c r="P435" i="21"/>
  <c r="L434" i="21"/>
  <c r="H432" i="21"/>
  <c r="P431" i="21"/>
  <c r="P430" i="21"/>
  <c r="P429" i="21"/>
  <c r="H428" i="21"/>
  <c r="P427" i="21"/>
  <c r="P426" i="21"/>
  <c r="H424" i="21"/>
  <c r="P423" i="21"/>
  <c r="H422" i="21"/>
  <c r="H421" i="21"/>
  <c r="H419" i="21"/>
  <c r="J419" i="21" s="1"/>
  <c r="R419" i="21" s="1"/>
  <c r="H418" i="21"/>
  <c r="H417" i="21"/>
  <c r="B416" i="21"/>
  <c r="B417" i="21" s="1"/>
  <c r="B418" i="21" s="1"/>
  <c r="B419" i="21" s="1"/>
  <c r="B420" i="21" s="1"/>
  <c r="B421" i="21" s="1"/>
  <c r="B422" i="21" s="1"/>
  <c r="B423" i="21" s="1"/>
  <c r="B424" i="21" s="1"/>
  <c r="B425" i="21" s="1"/>
  <c r="B426" i="21" s="1"/>
  <c r="B427" i="21" s="1"/>
  <c r="B428" i="21" s="1"/>
  <c r="B429" i="21" s="1"/>
  <c r="B430" i="21" s="1"/>
  <c r="B431" i="21" s="1"/>
  <c r="B432" i="21" s="1"/>
  <c r="B433" i="21" s="1"/>
  <c r="B434" i="21" s="1"/>
  <c r="B435" i="21" s="1"/>
  <c r="B436" i="21" s="1"/>
  <c r="B437" i="21" s="1"/>
  <c r="B438" i="21" s="1"/>
  <c r="B439" i="21" s="1"/>
  <c r="B440" i="21" s="1"/>
  <c r="B441" i="21" s="1"/>
  <c r="B442" i="21" s="1"/>
  <c r="B443" i="21" s="1"/>
  <c r="B444" i="21" s="1"/>
  <c r="B445" i="21" s="1"/>
  <c r="B446" i="21" s="1"/>
  <c r="B447" i="21" s="1"/>
  <c r="B448" i="21" s="1"/>
  <c r="B449" i="21" s="1"/>
  <c r="B450" i="21" s="1"/>
  <c r="B451" i="21" s="1"/>
  <c r="B452" i="21" s="1"/>
  <c r="B453" i="21" s="1"/>
  <c r="B454" i="21" s="1"/>
  <c r="B455" i="21" s="1"/>
  <c r="B456" i="21" s="1"/>
  <c r="B457" i="21" s="1"/>
  <c r="B458" i="21" s="1"/>
  <c r="B459" i="21" s="1"/>
  <c r="B460" i="21" s="1"/>
  <c r="B461" i="21" s="1"/>
  <c r="B462" i="21" s="1"/>
  <c r="B463" i="21" s="1"/>
  <c r="B464" i="21" s="1"/>
  <c r="P401" i="21"/>
  <c r="P400" i="21"/>
  <c r="P399" i="21"/>
  <c r="P398" i="21"/>
  <c r="P397" i="21"/>
  <c r="P396" i="21"/>
  <c r="P395" i="21"/>
  <c r="H394" i="21"/>
  <c r="P394" i="21" s="1"/>
  <c r="P393" i="21"/>
  <c r="L392" i="21"/>
  <c r="H392" i="21"/>
  <c r="P390" i="21"/>
  <c r="H389" i="21"/>
  <c r="P388" i="21"/>
  <c r="L387" i="21"/>
  <c r="N387" i="21" s="1"/>
  <c r="J385" i="21"/>
  <c r="R385" i="21" s="1"/>
  <c r="P384" i="21"/>
  <c r="H383" i="21"/>
  <c r="J382" i="21"/>
  <c r="R382" i="21" s="1"/>
  <c r="P380" i="21"/>
  <c r="P379" i="21"/>
  <c r="H377" i="21"/>
  <c r="J376" i="21"/>
  <c r="R376" i="21" s="1"/>
  <c r="J372" i="21"/>
  <c r="R372" i="21" s="1"/>
  <c r="H371" i="21"/>
  <c r="P370" i="21"/>
  <c r="P369" i="21"/>
  <c r="P368" i="21"/>
  <c r="H367" i="21"/>
  <c r="J367" i="21" s="1"/>
  <c r="R367" i="21" s="1"/>
  <c r="P366" i="21"/>
  <c r="H365" i="21"/>
  <c r="P363" i="21"/>
  <c r="N361" i="21"/>
  <c r="B361" i="21"/>
  <c r="B362" i="21" s="1"/>
  <c r="B363" i="21" s="1"/>
  <c r="B364" i="21" s="1"/>
  <c r="B365" i="21" s="1"/>
  <c r="B366" i="21" s="1"/>
  <c r="B367" i="21" s="1"/>
  <c r="P308" i="21"/>
  <c r="P307" i="21"/>
  <c r="P306" i="21"/>
  <c r="P305" i="21"/>
  <c r="P304" i="21"/>
  <c r="P303" i="21"/>
  <c r="H302" i="21"/>
  <c r="P301" i="21"/>
  <c r="P300" i="21"/>
  <c r="L298" i="21"/>
  <c r="P297" i="21"/>
  <c r="L296" i="21"/>
  <c r="P295" i="21"/>
  <c r="L294" i="21"/>
  <c r="P293" i="21"/>
  <c r="P292" i="21"/>
  <c r="P291" i="21"/>
  <c r="P290" i="21"/>
  <c r="P289" i="21"/>
  <c r="P288" i="21"/>
  <c r="H287" i="21"/>
  <c r="P286" i="21"/>
  <c r="P285" i="21"/>
  <c r="H284" i="21"/>
  <c r="P283" i="21"/>
  <c r="H282" i="21"/>
  <c r="P281" i="21"/>
  <c r="P279" i="21"/>
  <c r="P278" i="21"/>
  <c r="L276" i="21"/>
  <c r="P275" i="21"/>
  <c r="P274" i="21"/>
  <c r="H273" i="21"/>
  <c r="P272" i="21"/>
  <c r="P271" i="21"/>
  <c r="P269" i="21"/>
  <c r="P268" i="21"/>
  <c r="H265" i="21"/>
  <c r="H259" i="21"/>
  <c r="P263" i="21"/>
  <c r="P262" i="21"/>
  <c r="P261" i="21"/>
  <c r="P260" i="21"/>
  <c r="P258" i="21"/>
  <c r="P257" i="21"/>
  <c r="P255" i="21"/>
  <c r="H254" i="21"/>
  <c r="P253" i="21"/>
  <c r="H251" i="21"/>
  <c r="H250" i="21"/>
  <c r="H248" i="21"/>
  <c r="P245" i="21"/>
  <c r="P244" i="21"/>
  <c r="P243" i="21"/>
  <c r="H242" i="21"/>
  <c r="B242" i="21"/>
  <c r="B243" i="21" s="1"/>
  <c r="B244" i="21" s="1"/>
  <c r="B245" i="21" s="1"/>
  <c r="B246" i="21" s="1"/>
  <c r="B247" i="21" s="1"/>
  <c r="B248" i="21" s="1"/>
  <c r="B249" i="21" s="1"/>
  <c r="B250" i="21" s="1"/>
  <c r="B251" i="21" s="1"/>
  <c r="B252" i="21" s="1"/>
  <c r="B253" i="21" s="1"/>
  <c r="B254" i="21" s="1"/>
  <c r="B255" i="21" s="1"/>
  <c r="B256" i="21" s="1"/>
  <c r="B257" i="21" s="1"/>
  <c r="B258" i="21" s="1"/>
  <c r="B259" i="21" s="1"/>
  <c r="B260" i="21" s="1"/>
  <c r="B261" i="21" s="1"/>
  <c r="B262" i="21" s="1"/>
  <c r="B263" i="21" s="1"/>
  <c r="B264" i="21" s="1"/>
  <c r="B265" i="21" s="1"/>
  <c r="B266" i="21" s="1"/>
  <c r="B267" i="21" s="1"/>
  <c r="B268" i="21" s="1"/>
  <c r="B269" i="21" s="1"/>
  <c r="B270" i="21" s="1"/>
  <c r="B271" i="21" s="1"/>
  <c r="B272" i="21" s="1"/>
  <c r="B273" i="21" s="1"/>
  <c r="B274" i="21" s="1"/>
  <c r="B275" i="21" s="1"/>
  <c r="B276" i="21" s="1"/>
  <c r="B277" i="21" s="1"/>
  <c r="B278" i="21" s="1"/>
  <c r="B279" i="21" s="1"/>
  <c r="B280" i="21" s="1"/>
  <c r="B281" i="21" s="1"/>
  <c r="B282" i="21" s="1"/>
  <c r="B283" i="21" s="1"/>
  <c r="B284" i="21" s="1"/>
  <c r="B285" i="21" s="1"/>
  <c r="B286" i="21" s="1"/>
  <c r="B287" i="21" s="1"/>
  <c r="B288" i="21" s="1"/>
  <c r="B289" i="21" s="1"/>
  <c r="B290" i="21" s="1"/>
  <c r="B291" i="21" s="1"/>
  <c r="B292" i="21" s="1"/>
  <c r="B293" i="21" s="1"/>
  <c r="B294" i="21" s="1"/>
  <c r="B295" i="21" s="1"/>
  <c r="B296" i="21" s="1"/>
  <c r="B297" i="21" s="1"/>
  <c r="B298" i="21" s="1"/>
  <c r="B299" i="21" s="1"/>
  <c r="B300" i="21" s="1"/>
  <c r="B301" i="21" s="1"/>
  <c r="B302" i="21" s="1"/>
  <c r="B303" i="21" s="1"/>
  <c r="B304" i="21" s="1"/>
  <c r="B305" i="21" s="1"/>
  <c r="B306" i="21" s="1"/>
  <c r="B307" i="21" s="1"/>
  <c r="L184" i="21"/>
  <c r="L180" i="21" s="1"/>
  <c r="P183" i="21"/>
  <c r="P182" i="21"/>
  <c r="H181" i="21"/>
  <c r="P179" i="21"/>
  <c r="P178" i="21"/>
  <c r="H176" i="21"/>
  <c r="P176" i="21" s="1"/>
  <c r="H175" i="21"/>
  <c r="H174" i="21"/>
  <c r="J174" i="21" s="1"/>
  <c r="R174" i="21" s="1"/>
  <c r="L173" i="21"/>
  <c r="P172" i="21"/>
  <c r="P171" i="21"/>
  <c r="H170" i="21"/>
  <c r="P170" i="21" s="1"/>
  <c r="P168" i="21"/>
  <c r="P167" i="21"/>
  <c r="H166" i="21"/>
  <c r="P166" i="21" s="1"/>
  <c r="H165" i="21"/>
  <c r="P164" i="21"/>
  <c r="P162" i="21"/>
  <c r="P161" i="21"/>
  <c r="P159" i="21"/>
  <c r="P158" i="21"/>
  <c r="P157" i="21"/>
  <c r="P156" i="21"/>
  <c r="P155" i="21"/>
  <c r="P154" i="21"/>
  <c r="P153" i="21"/>
  <c r="H152" i="21"/>
  <c r="P152" i="21" s="1"/>
  <c r="P151" i="21"/>
  <c r="P150" i="21"/>
  <c r="L147" i="21"/>
  <c r="P147" i="21" s="1"/>
  <c r="P146" i="21"/>
  <c r="P145" i="21"/>
  <c r="L144" i="21"/>
  <c r="P143" i="21"/>
  <c r="P142" i="21"/>
  <c r="P140" i="21"/>
  <c r="P139" i="21"/>
  <c r="P138" i="21"/>
  <c r="L137" i="21"/>
  <c r="H137" i="21"/>
  <c r="L136" i="21"/>
  <c r="H135" i="21"/>
  <c r="P135" i="21" s="1"/>
  <c r="P134" i="21"/>
  <c r="P132" i="21"/>
  <c r="P131" i="21"/>
  <c r="P130" i="21"/>
  <c r="L129" i="21"/>
  <c r="H129" i="21"/>
  <c r="P128" i="21"/>
  <c r="H127" i="21"/>
  <c r="H125" i="21"/>
  <c r="P125" i="21" s="1"/>
  <c r="P124" i="21"/>
  <c r="P123" i="21"/>
  <c r="L122" i="21"/>
  <c r="B122" i="21"/>
  <c r="B123" i="21" s="1"/>
  <c r="B124" i="21" s="1"/>
  <c r="B125" i="21" s="1"/>
  <c r="B126" i="21" s="1"/>
  <c r="B127" i="21" s="1"/>
  <c r="B128" i="21" s="1"/>
  <c r="B129" i="21" s="1"/>
  <c r="B130" i="21" s="1"/>
  <c r="B131" i="21" s="1"/>
  <c r="B132" i="21" s="1"/>
  <c r="B133" i="21" s="1"/>
  <c r="B134" i="21" s="1"/>
  <c r="P86" i="21"/>
  <c r="P85" i="21"/>
  <c r="P84" i="21"/>
  <c r="P83" i="21"/>
  <c r="H82" i="21"/>
  <c r="J82" i="21" s="1"/>
  <c r="P81" i="21"/>
  <c r="P80" i="21"/>
  <c r="B79" i="21"/>
  <c r="B80" i="21" s="1"/>
  <c r="B81" i="21" s="1"/>
  <c r="B82" i="21" s="1"/>
  <c r="B83" i="21" s="1"/>
  <c r="B84" i="21" s="1"/>
  <c r="B85" i="21" s="1"/>
  <c r="B86" i="21" s="1"/>
  <c r="B87" i="21" s="1"/>
  <c r="L78" i="21"/>
  <c r="G7" i="15" s="1"/>
  <c r="J271" i="7"/>
  <c r="J270" i="7"/>
  <c r="I269" i="7"/>
  <c r="I266" i="7"/>
  <c r="J254" i="7"/>
  <c r="J253" i="7"/>
  <c r="J252" i="7"/>
  <c r="J251" i="7"/>
  <c r="J250" i="7"/>
  <c r="J248" i="7"/>
  <c r="J247" i="7"/>
  <c r="J246" i="7"/>
  <c r="J245" i="7"/>
  <c r="J243" i="7"/>
  <c r="J242" i="7"/>
  <c r="I238" i="7"/>
  <c r="J237" i="7"/>
  <c r="I236" i="7"/>
  <c r="J208" i="7"/>
  <c r="J204" i="7"/>
  <c r="J201" i="7"/>
  <c r="I197" i="7"/>
  <c r="J195" i="7"/>
  <c r="J194" i="7"/>
  <c r="J193" i="7"/>
  <c r="J192" i="7"/>
  <c r="J191" i="7"/>
  <c r="J190" i="7"/>
  <c r="J189" i="7"/>
  <c r="I188" i="7"/>
  <c r="J186" i="7"/>
  <c r="J185" i="7"/>
  <c r="J184" i="7"/>
  <c r="J183" i="7"/>
  <c r="J182" i="7"/>
  <c r="J181" i="7"/>
  <c r="J180" i="7"/>
  <c r="J179" i="7"/>
  <c r="J178" i="7"/>
  <c r="I177" i="7"/>
  <c r="J174" i="7"/>
  <c r="J173" i="7"/>
  <c r="J172" i="7"/>
  <c r="J171" i="7"/>
  <c r="J170" i="7"/>
  <c r="J169" i="7"/>
  <c r="J168" i="7"/>
  <c r="J167" i="7"/>
  <c r="I166" i="7"/>
  <c r="J163" i="7"/>
  <c r="J162" i="7"/>
  <c r="J161" i="7"/>
  <c r="J160" i="7"/>
  <c r="J159" i="7"/>
  <c r="J158" i="7"/>
  <c r="J157" i="7"/>
  <c r="J156" i="7"/>
  <c r="I155" i="7"/>
  <c r="J143" i="7"/>
  <c r="J142" i="7"/>
  <c r="J141" i="7"/>
  <c r="J140" i="7"/>
  <c r="J139" i="7"/>
  <c r="J138" i="7"/>
  <c r="J137" i="7"/>
  <c r="J136" i="7"/>
  <c r="J135" i="7"/>
  <c r="J134" i="7"/>
  <c r="J133" i="7"/>
  <c r="J132" i="7"/>
  <c r="J131" i="7"/>
  <c r="J130" i="7"/>
  <c r="J129" i="7"/>
  <c r="J128" i="7"/>
  <c r="J127" i="7"/>
  <c r="J126" i="7"/>
  <c r="I125" i="7"/>
  <c r="I124" i="7" s="1"/>
  <c r="J123" i="7"/>
  <c r="I122" i="7"/>
  <c r="J121" i="7"/>
  <c r="I120" i="7"/>
  <c r="J115" i="7"/>
  <c r="J114" i="7"/>
  <c r="J113" i="7"/>
  <c r="J112" i="7"/>
  <c r="J111" i="7"/>
  <c r="J109" i="7"/>
  <c r="J108" i="7"/>
  <c r="I107" i="7"/>
  <c r="J105" i="7"/>
  <c r="J104" i="7"/>
  <c r="J103" i="7"/>
  <c r="I102" i="7"/>
  <c r="J100" i="7"/>
  <c r="J99" i="7"/>
  <c r="J97" i="7"/>
  <c r="J96" i="7"/>
  <c r="J95" i="7"/>
  <c r="I94" i="7"/>
  <c r="J92" i="7"/>
  <c r="J91" i="7"/>
  <c r="J90" i="7"/>
  <c r="J89" i="7"/>
  <c r="I88" i="7"/>
  <c r="J84" i="7"/>
  <c r="J83" i="7"/>
  <c r="J80" i="7"/>
  <c r="J78" i="7"/>
  <c r="J77" i="7"/>
  <c r="J75" i="7"/>
  <c r="J74" i="7"/>
  <c r="I73" i="7"/>
  <c r="I72" i="7" s="1"/>
  <c r="I52" i="7"/>
  <c r="I50" i="7" s="1"/>
  <c r="J48" i="7"/>
  <c r="J47" i="7"/>
  <c r="I46" i="7"/>
  <c r="J44" i="7"/>
  <c r="J42" i="7"/>
  <c r="J41" i="7"/>
  <c r="J40" i="7"/>
  <c r="J39" i="7"/>
  <c r="J38" i="7"/>
  <c r="I37" i="7"/>
  <c r="I36" i="7" s="1"/>
  <c r="J34" i="7"/>
  <c r="J33" i="7"/>
  <c r="J32" i="7"/>
  <c r="J30" i="7"/>
  <c r="I29" i="7"/>
  <c r="I27" i="7" s="1"/>
  <c r="I26" i="7" s="1"/>
  <c r="J28" i="7"/>
  <c r="J22" i="7"/>
  <c r="J21" i="7"/>
  <c r="J20" i="7"/>
  <c r="J19" i="7"/>
  <c r="I18" i="7"/>
  <c r="J16" i="7"/>
  <c r="J15" i="7"/>
  <c r="J14" i="7"/>
  <c r="I12" i="7"/>
  <c r="I9" i="7"/>
  <c r="B1343" i="21" l="1"/>
  <c r="B1344" i="21" s="1"/>
  <c r="B1345" i="21" s="1"/>
  <c r="B1346" i="21" s="1"/>
  <c r="B1347" i="21" s="1"/>
  <c r="B1348" i="21" s="1"/>
  <c r="B1349" i="21" s="1"/>
  <c r="B1350" i="21" s="1"/>
  <c r="B1351" i="21" s="1"/>
  <c r="B1352" i="21" s="1"/>
  <c r="B1353" i="21" s="1"/>
  <c r="B1354" i="21" s="1"/>
  <c r="B1355" i="21" s="1"/>
  <c r="B1356" i="21" s="1"/>
  <c r="B1357" i="21" s="1"/>
  <c r="B1358" i="21" s="1"/>
  <c r="B1359" i="21" s="1"/>
  <c r="B1360" i="21" s="1"/>
  <c r="B1361" i="21" s="1"/>
  <c r="B1362" i="21" s="1"/>
  <c r="B1363" i="21" s="1"/>
  <c r="B1364" i="21" s="1"/>
  <c r="B1365" i="21" s="1"/>
  <c r="B1366" i="21" s="1"/>
  <c r="B1367" i="21" s="1"/>
  <c r="B1368" i="21" s="1"/>
  <c r="B1369" i="21" s="1"/>
  <c r="B1370" i="21" s="1"/>
  <c r="B1371" i="21" s="1"/>
  <c r="B1372" i="21" s="1"/>
  <c r="B1373" i="21" s="1"/>
  <c r="B1374" i="21" s="1"/>
  <c r="B1375" i="21" s="1"/>
  <c r="B1376" i="21" s="1"/>
  <c r="B1377" i="21" s="1"/>
  <c r="B1378" i="21" s="1"/>
  <c r="B1379" i="21" s="1"/>
  <c r="B1380" i="21" s="1"/>
  <c r="B1381" i="21" s="1"/>
  <c r="B1382" i="21" s="1"/>
  <c r="B1383" i="21" s="1"/>
  <c r="B1384" i="21" s="1"/>
  <c r="B1385" i="21" s="1"/>
  <c r="B1386" i="21" s="1"/>
  <c r="B1387" i="21" s="1"/>
  <c r="B1388" i="21" s="1"/>
  <c r="B1389" i="21" s="1"/>
  <c r="B1390" i="21" s="1"/>
  <c r="B1391" i="21" s="1"/>
  <c r="B1392" i="21" s="1"/>
  <c r="B1393" i="21" s="1"/>
  <c r="B1394" i="21" s="1"/>
  <c r="B1395" i="21" s="1"/>
  <c r="B1396" i="21" s="1"/>
  <c r="B1397" i="21" s="1"/>
  <c r="B1398" i="21" s="1"/>
  <c r="B1399" i="21" s="1"/>
  <c r="B1400" i="21" s="1"/>
  <c r="B1401" i="21" s="1"/>
  <c r="B1402" i="21" s="1"/>
  <c r="B1403" i="21" s="1"/>
  <c r="B1404" i="21" s="1"/>
  <c r="B1405" i="21" s="1"/>
  <c r="B1406" i="21" s="1"/>
  <c r="B1407" i="21" s="1"/>
  <c r="J1559" i="21"/>
  <c r="R1559" i="21" s="1"/>
  <c r="N1379" i="21"/>
  <c r="B1465" i="21"/>
  <c r="B1466" i="21" s="1"/>
  <c r="B1467" i="21" s="1"/>
  <c r="B1468" i="21" s="1"/>
  <c r="B1469" i="21" s="1"/>
  <c r="B1470" i="21" s="1"/>
  <c r="B1471" i="21" s="1"/>
  <c r="B1472" i="21" s="1"/>
  <c r="B1473" i="21" s="1"/>
  <c r="B1474" i="21" s="1"/>
  <c r="B1475" i="21" s="1"/>
  <c r="B1476" i="21" s="1"/>
  <c r="B1477" i="21" s="1"/>
  <c r="B1478" i="21" s="1"/>
  <c r="B1479" i="21" s="1"/>
  <c r="B1480" i="21" s="1"/>
  <c r="B1481" i="21" s="1"/>
  <c r="B1482" i="21" s="1"/>
  <c r="B1483" i="21" s="1"/>
  <c r="B1484" i="21" s="1"/>
  <c r="B1485" i="21" s="1"/>
  <c r="B1486" i="21" s="1"/>
  <c r="B1487" i="21" s="1"/>
  <c r="B1488" i="21" s="1"/>
  <c r="B1489" i="21" s="1"/>
  <c r="B1490" i="21" s="1"/>
  <c r="B1491" i="21" s="1"/>
  <c r="B1492" i="21" s="1"/>
  <c r="B1493" i="21" s="1"/>
  <c r="B1494" i="21" s="1"/>
  <c r="B1495" i="21" s="1"/>
  <c r="J1636" i="21"/>
  <c r="R1636" i="21" s="1"/>
  <c r="H1632" i="21"/>
  <c r="I59" i="21"/>
  <c r="Q59" i="21" s="1"/>
  <c r="I677" i="21"/>
  <c r="B465" i="21"/>
  <c r="B466" i="21" s="1"/>
  <c r="Q137" i="21"/>
  <c r="R1335" i="21"/>
  <c r="R1174" i="21"/>
  <c r="B1733" i="21"/>
  <c r="B1734" i="21" s="1"/>
  <c r="B1735" i="21" s="1"/>
  <c r="B1736" i="21" s="1"/>
  <c r="B1737" i="21" s="1"/>
  <c r="B1738" i="21" s="1"/>
  <c r="B1739" i="21" s="1"/>
  <c r="B1740" i="21" s="1"/>
  <c r="B1741" i="21" s="1"/>
  <c r="B1742" i="21" s="1"/>
  <c r="B1743" i="21" s="1"/>
  <c r="B1744" i="21" s="1"/>
  <c r="B1745" i="21" s="1"/>
  <c r="B1746" i="21" s="1"/>
  <c r="B1747" i="21" s="1"/>
  <c r="B1748" i="21" s="1"/>
  <c r="B1749" i="21" s="1"/>
  <c r="B1750" i="21" s="1"/>
  <c r="B1751" i="21" s="1"/>
  <c r="B1752" i="21" s="1"/>
  <c r="B1753" i="21" s="1"/>
  <c r="B1754" i="21" s="1"/>
  <c r="B1755" i="21" s="1"/>
  <c r="B1756" i="21" s="1"/>
  <c r="H655" i="21"/>
  <c r="B368" i="21"/>
  <c r="B369" i="21" s="1"/>
  <c r="B370" i="21" s="1"/>
  <c r="B371" i="21" s="1"/>
  <c r="B372" i="21" s="1"/>
  <c r="B373" i="21" s="1"/>
  <c r="B374" i="21" s="1"/>
  <c r="B375" i="21" s="1"/>
  <c r="B376" i="21" s="1"/>
  <c r="B377" i="21" s="1"/>
  <c r="B378" i="21" s="1"/>
  <c r="B379" i="21" s="1"/>
  <c r="B380" i="21" s="1"/>
  <c r="B381" i="21" s="1"/>
  <c r="B382" i="21" s="1"/>
  <c r="B383" i="21" s="1"/>
  <c r="B384" i="21" s="1"/>
  <c r="B385" i="21" s="1"/>
  <c r="B386" i="21" s="1"/>
  <c r="B387" i="21" s="1"/>
  <c r="B388" i="21" s="1"/>
  <c r="B389" i="21" s="1"/>
  <c r="B390" i="21" s="1"/>
  <c r="B391" i="21" s="1"/>
  <c r="B392" i="21" s="1"/>
  <c r="B393" i="21" s="1"/>
  <c r="B394" i="21" s="1"/>
  <c r="B395" i="21" s="1"/>
  <c r="B396" i="21" s="1"/>
  <c r="B397" i="21" s="1"/>
  <c r="B398" i="21" s="1"/>
  <c r="B399" i="21" s="1"/>
  <c r="B400" i="21" s="1"/>
  <c r="B401" i="21" s="1"/>
  <c r="I86" i="7"/>
  <c r="Q1377" i="21"/>
  <c r="B1536" i="21"/>
  <c r="B1537" i="21" s="1"/>
  <c r="B1538" i="21" s="1"/>
  <c r="B1539" i="21" s="1"/>
  <c r="B1540" i="21" s="1"/>
  <c r="B1541" i="21" s="1"/>
  <c r="B1542" i="21" s="1"/>
  <c r="B1543" i="21" s="1"/>
  <c r="B1544" i="21" s="1"/>
  <c r="B1545" i="21" s="1"/>
  <c r="B1546" i="21" s="1"/>
  <c r="B1547" i="21" s="1"/>
  <c r="B1548" i="21" s="1"/>
  <c r="B1549" i="21" s="1"/>
  <c r="B1550" i="21" s="1"/>
  <c r="B1551" i="21" s="1"/>
  <c r="B1552" i="21" s="1"/>
  <c r="B1553" i="21" s="1"/>
  <c r="B1554" i="21" s="1"/>
  <c r="B1555" i="21" s="1"/>
  <c r="B1556" i="21" s="1"/>
  <c r="B1557" i="21" s="1"/>
  <c r="B1558" i="21" s="1"/>
  <c r="B1559" i="21" s="1"/>
  <c r="B1560" i="21" s="1"/>
  <c r="B1561" i="21" s="1"/>
  <c r="B1562" i="21" s="1"/>
  <c r="B1563" i="21" s="1"/>
  <c r="B1564" i="21" s="1"/>
  <c r="B1565" i="21" s="1"/>
  <c r="B1566" i="21" s="1"/>
  <c r="B1567" i="21" s="1"/>
  <c r="B1568" i="21" s="1"/>
  <c r="B1569" i="21" s="1"/>
  <c r="B1570" i="21" s="1"/>
  <c r="B1571" i="21" s="1"/>
  <c r="B1572" i="21" s="1"/>
  <c r="B1573" i="21" s="1"/>
  <c r="B1574" i="21" s="1"/>
  <c r="B1575" i="21" s="1"/>
  <c r="B1576" i="21" s="1"/>
  <c r="B1577" i="21" s="1"/>
  <c r="B1578" i="21" s="1"/>
  <c r="B1579" i="21" s="1"/>
  <c r="B1580" i="21" s="1"/>
  <c r="I234" i="7"/>
  <c r="N1114" i="21"/>
  <c r="J557" i="21"/>
  <c r="R557" i="21" s="1"/>
  <c r="H556" i="21"/>
  <c r="H637" i="21"/>
  <c r="J648" i="21"/>
  <c r="R648" i="21" s="1"/>
  <c r="H647" i="21"/>
  <c r="N1040" i="21"/>
  <c r="Q1114" i="21"/>
  <c r="Q540" i="21"/>
  <c r="I537" i="21"/>
  <c r="Q537" i="21" s="1"/>
  <c r="Q1074" i="21"/>
  <c r="Q1040" i="21"/>
  <c r="Q772" i="21"/>
  <c r="R1406" i="21"/>
  <c r="B545" i="21"/>
  <c r="B546" i="21" s="1"/>
  <c r="B547" i="21" s="1"/>
  <c r="B548" i="21" s="1"/>
  <c r="B549" i="21" s="1"/>
  <c r="B550" i="21" s="1"/>
  <c r="B551" i="21" s="1"/>
  <c r="B552" i="21" s="1"/>
  <c r="B553" i="21" s="1"/>
  <c r="B554" i="21" s="1"/>
  <c r="B555" i="21" s="1"/>
  <c r="R1025" i="21"/>
  <c r="P1099" i="21"/>
  <c r="R292" i="21"/>
  <c r="J287" i="21"/>
  <c r="Q122" i="21"/>
  <c r="Q1361" i="21"/>
  <c r="P419" i="21"/>
  <c r="Q1352" i="21"/>
  <c r="R1360" i="21"/>
  <c r="N122" i="21"/>
  <c r="N616" i="21"/>
  <c r="N1057" i="21"/>
  <c r="Q1395" i="21"/>
  <c r="P1136" i="21"/>
  <c r="R1407" i="21"/>
  <c r="R1059" i="21"/>
  <c r="P184" i="21"/>
  <c r="H1134" i="21"/>
  <c r="P1134" i="21" s="1"/>
  <c r="R1063" i="21"/>
  <c r="Q35" i="21"/>
  <c r="N298" i="21"/>
  <c r="H895" i="21"/>
  <c r="P895" i="21" s="1"/>
  <c r="H1797" i="21"/>
  <c r="P1797" i="21" s="1"/>
  <c r="P82" i="21"/>
  <c r="J1630" i="21"/>
  <c r="R1630" i="21" s="1"/>
  <c r="P1801" i="21"/>
  <c r="Q822" i="21"/>
  <c r="Q604" i="21"/>
  <c r="H1482" i="21"/>
  <c r="H1481" i="21" s="1"/>
  <c r="P1481" i="21" s="1"/>
  <c r="P916" i="21"/>
  <c r="P1117" i="21"/>
  <c r="P1135" i="21"/>
  <c r="N1451" i="21"/>
  <c r="R1064" i="21"/>
  <c r="P1146" i="21"/>
  <c r="H1145" i="21"/>
  <c r="J1145" i="21" s="1"/>
  <c r="R1145" i="21" s="1"/>
  <c r="Q1082" i="21"/>
  <c r="R1061" i="21"/>
  <c r="N1163" i="21"/>
  <c r="R1121" i="21"/>
  <c r="R1065" i="21"/>
  <c r="Q1049" i="21"/>
  <c r="N1049" i="21"/>
  <c r="R1495" i="21"/>
  <c r="N276" i="21"/>
  <c r="P665" i="21"/>
  <c r="H683" i="21"/>
  <c r="J683" i="21" s="1"/>
  <c r="R683" i="21" s="1"/>
  <c r="P749" i="21"/>
  <c r="P785" i="21"/>
  <c r="J1678" i="21"/>
  <c r="R1678" i="21" s="1"/>
  <c r="R130" i="21"/>
  <c r="R1058" i="21"/>
  <c r="N1352" i="21"/>
  <c r="J1552" i="21"/>
  <c r="Q149" i="21"/>
  <c r="J129" i="21"/>
  <c r="P639" i="21"/>
  <c r="P658" i="21"/>
  <c r="P676" i="21"/>
  <c r="P684" i="21"/>
  <c r="P738" i="21"/>
  <c r="J1729" i="21"/>
  <c r="R1729" i="21" s="1"/>
  <c r="R1243" i="21"/>
  <c r="Q1451" i="21"/>
  <c r="N1552" i="21"/>
  <c r="B135" i="21"/>
  <c r="B136" i="21" s="1"/>
  <c r="B137" i="21" s="1"/>
  <c r="B138" i="21" s="1"/>
  <c r="B139" i="21" s="1"/>
  <c r="B140" i="21" s="1"/>
  <c r="B141" i="21" s="1"/>
  <c r="B142" i="21" s="1"/>
  <c r="B143" i="21" s="1"/>
  <c r="B144" i="21" s="1"/>
  <c r="B145" i="21" s="1"/>
  <c r="B146" i="21" s="1"/>
  <c r="B147" i="21" s="1"/>
  <c r="B148" i="21" s="1"/>
  <c r="B149" i="21" s="1"/>
  <c r="B150" i="21" s="1"/>
  <c r="R132" i="21"/>
  <c r="R1393" i="21"/>
  <c r="R131" i="21"/>
  <c r="R286" i="21"/>
  <c r="R293" i="21"/>
  <c r="R146" i="21"/>
  <c r="R1232" i="21"/>
  <c r="Q1481" i="21"/>
  <c r="J259" i="21"/>
  <c r="R259" i="21" s="1"/>
  <c r="P259" i="21"/>
  <c r="J1349" i="21"/>
  <c r="R1349" i="21" s="1"/>
  <c r="P1349" i="21"/>
  <c r="J1478" i="21"/>
  <c r="R1478" i="21" s="1"/>
  <c r="P1478" i="21"/>
  <c r="I425" i="21"/>
  <c r="Q425" i="21" s="1"/>
  <c r="Q428" i="21"/>
  <c r="N137" i="21"/>
  <c r="J538" i="21"/>
  <c r="P538" i="21"/>
  <c r="J568" i="21"/>
  <c r="R568" i="21" s="1"/>
  <c r="P568" i="21"/>
  <c r="J595" i="21"/>
  <c r="R595" i="21" s="1"/>
  <c r="P595" i="21"/>
  <c r="H594" i="21"/>
  <c r="P594" i="21" s="1"/>
  <c r="N1066" i="21"/>
  <c r="J1206" i="21"/>
  <c r="R1206" i="21" s="1"/>
  <c r="P1206" i="21"/>
  <c r="J1708" i="21"/>
  <c r="R1708" i="21" s="1"/>
  <c r="H1703" i="21"/>
  <c r="J1703" i="21" s="1"/>
  <c r="R1703" i="21" s="1"/>
  <c r="J547" i="21"/>
  <c r="R547" i="21" s="1"/>
  <c r="P547" i="21"/>
  <c r="J575" i="21"/>
  <c r="R575" i="21" s="1"/>
  <c r="P575" i="21"/>
  <c r="H574" i="21"/>
  <c r="P574" i="21" s="1"/>
  <c r="J1050" i="21"/>
  <c r="R1050" i="21" s="1"/>
  <c r="P1050" i="21"/>
  <c r="H1467" i="21"/>
  <c r="J1467" i="21" s="1"/>
  <c r="R1467" i="21" s="1"/>
  <c r="J1691" i="21"/>
  <c r="R1691" i="21" s="1"/>
  <c r="H1689" i="21"/>
  <c r="J1689" i="21" s="1"/>
  <c r="R1689" i="21" s="1"/>
  <c r="I1561" i="21"/>
  <c r="Q1561" i="21" s="1"/>
  <c r="Q1562" i="21"/>
  <c r="N760" i="21"/>
  <c r="R788" i="21"/>
  <c r="R953" i="21"/>
  <c r="N1018" i="21"/>
  <c r="H1510" i="21"/>
  <c r="J1510" i="21" s="1"/>
  <c r="R1510" i="21" s="1"/>
  <c r="H1529" i="21"/>
  <c r="J1529" i="21" s="1"/>
  <c r="R1529" i="21" s="1"/>
  <c r="R1545" i="21"/>
  <c r="H1621" i="21"/>
  <c r="J1621" i="21" s="1"/>
  <c r="R1621" i="21" s="1"/>
  <c r="H1647" i="21"/>
  <c r="J1647" i="21" s="1"/>
  <c r="R1647" i="21" s="1"/>
  <c r="H1675" i="21"/>
  <c r="H1674" i="21" s="1"/>
  <c r="H1719" i="21"/>
  <c r="J1719" i="21" s="1"/>
  <c r="R1719" i="21" s="1"/>
  <c r="Q180" i="21"/>
  <c r="I256" i="21"/>
  <c r="Q256" i="21" s="1"/>
  <c r="M241" i="21"/>
  <c r="H9" i="15" s="1"/>
  <c r="R283" i="21"/>
  <c r="R279" i="21"/>
  <c r="Q1018" i="21"/>
  <c r="R554" i="21"/>
  <c r="R550" i="21"/>
  <c r="R578" i="21"/>
  <c r="R591" i="21"/>
  <c r="R600" i="21"/>
  <c r="R641" i="21"/>
  <c r="R673" i="21"/>
  <c r="R689" i="21"/>
  <c r="R697" i="21"/>
  <c r="R718" i="21"/>
  <c r="R769" i="21"/>
  <c r="R796" i="21"/>
  <c r="R804" i="21"/>
  <c r="R830" i="21"/>
  <c r="R899" i="21"/>
  <c r="R957" i="21"/>
  <c r="R997" i="21"/>
  <c r="R1017" i="21"/>
  <c r="R1070" i="21"/>
  <c r="R1119" i="21"/>
  <c r="R1201" i="21"/>
  <c r="R1240" i="21"/>
  <c r="R1296" i="21"/>
  <c r="R1398" i="21"/>
  <c r="R1475" i="21"/>
  <c r="R1488" i="21"/>
  <c r="R1492" i="21"/>
  <c r="R1515" i="21"/>
  <c r="R1523" i="21"/>
  <c r="Q1510" i="21"/>
  <c r="R875" i="21"/>
  <c r="R1101" i="21"/>
  <c r="R1177" i="21"/>
  <c r="R1197" i="21"/>
  <c r="R1280" i="21"/>
  <c r="N1361" i="21"/>
  <c r="R1567" i="21"/>
  <c r="R128" i="21"/>
  <c r="R134" i="21"/>
  <c r="R150" i="21"/>
  <c r="R158" i="21"/>
  <c r="R154" i="21"/>
  <c r="R182" i="21"/>
  <c r="R295" i="21"/>
  <c r="M360" i="21"/>
  <c r="H10" i="15" s="1"/>
  <c r="R544" i="21"/>
  <c r="R582" i="21"/>
  <c r="R730" i="21"/>
  <c r="R782" i="21"/>
  <c r="R808" i="21"/>
  <c r="R817" i="21"/>
  <c r="R826" i="21"/>
  <c r="R851" i="21"/>
  <c r="R1022" i="21"/>
  <c r="R1030" i="21"/>
  <c r="R1038" i="21"/>
  <c r="R1080" i="21"/>
  <c r="R1096" i="21"/>
  <c r="R1231" i="21"/>
  <c r="R1250" i="21"/>
  <c r="R1292" i="21"/>
  <c r="R1388" i="21"/>
  <c r="R1484" i="21"/>
  <c r="R1511" i="21"/>
  <c r="R1519" i="21"/>
  <c r="R1550" i="21"/>
  <c r="R1555" i="21"/>
  <c r="N546" i="21"/>
  <c r="R609" i="21"/>
  <c r="R665" i="21"/>
  <c r="R669" i="21"/>
  <c r="R714" i="21"/>
  <c r="R871" i="21"/>
  <c r="R887" i="21"/>
  <c r="P984" i="21"/>
  <c r="P1041" i="21"/>
  <c r="P1059" i="21"/>
  <c r="R1136" i="21"/>
  <c r="R1165" i="21"/>
  <c r="R1209" i="21"/>
  <c r="P1235" i="21"/>
  <c r="P1239" i="21"/>
  <c r="P1485" i="21"/>
  <c r="R1527" i="21"/>
  <c r="R1531" i="21"/>
  <c r="R1576" i="21"/>
  <c r="R1580" i="21"/>
  <c r="J1657" i="21"/>
  <c r="R1657" i="21" s="1"/>
  <c r="R142" i="21"/>
  <c r="R145" i="21"/>
  <c r="R167" i="21"/>
  <c r="R178" i="21"/>
  <c r="Q152" i="21"/>
  <c r="Q287" i="21"/>
  <c r="R245" i="21"/>
  <c r="R285" i="21"/>
  <c r="R281" i="21"/>
  <c r="Q1066" i="21"/>
  <c r="Q760" i="21"/>
  <c r="R660" i="21"/>
  <c r="R681" i="21"/>
  <c r="R710" i="21"/>
  <c r="R751" i="21"/>
  <c r="R765" i="21"/>
  <c r="R821" i="21"/>
  <c r="R855" i="21"/>
  <c r="R879" i="21"/>
  <c r="R917" i="21"/>
  <c r="R925" i="21"/>
  <c r="R933" i="21"/>
  <c r="R941" i="21"/>
  <c r="R973" i="21"/>
  <c r="R977" i="21"/>
  <c r="R1056" i="21"/>
  <c r="R1152" i="21"/>
  <c r="R1160" i="21"/>
  <c r="R1169" i="21"/>
  <c r="R1173" i="21"/>
  <c r="R1181" i="21"/>
  <c r="R1262" i="21"/>
  <c r="R1384" i="21"/>
  <c r="R1458" i="21"/>
  <c r="R1462" i="21"/>
  <c r="Q1467" i="21"/>
  <c r="R1535" i="21"/>
  <c r="R1563" i="21"/>
  <c r="N1090" i="21"/>
  <c r="R1097" i="21"/>
  <c r="Q1090" i="21"/>
  <c r="Q1057" i="21"/>
  <c r="M1009" i="21"/>
  <c r="R1048" i="21"/>
  <c r="N1010" i="21"/>
  <c r="Q1010" i="21"/>
  <c r="P136" i="21"/>
  <c r="N136" i="21"/>
  <c r="R136" i="21" s="1"/>
  <c r="P284" i="21"/>
  <c r="J284" i="21"/>
  <c r="R284" i="21" s="1"/>
  <c r="P418" i="21"/>
  <c r="J418" i="21"/>
  <c r="R418" i="21" s="1"/>
  <c r="P422" i="21"/>
  <c r="J422" i="21"/>
  <c r="R422" i="21" s="1"/>
  <c r="P450" i="21"/>
  <c r="N450" i="21"/>
  <c r="R450" i="21" s="1"/>
  <c r="P460" i="21"/>
  <c r="N460" i="21"/>
  <c r="R460" i="21" s="1"/>
  <c r="P473" i="21"/>
  <c r="N473" i="21"/>
  <c r="R473" i="21" s="1"/>
  <c r="P567" i="21"/>
  <c r="J567" i="21"/>
  <c r="R567" i="21" s="1"/>
  <c r="P577" i="21"/>
  <c r="J577" i="21"/>
  <c r="R577" i="21" s="1"/>
  <c r="P597" i="21"/>
  <c r="J597" i="21"/>
  <c r="R597" i="21" s="1"/>
  <c r="P129" i="21"/>
  <c r="L133" i="21"/>
  <c r="N133" i="21" s="1"/>
  <c r="P137" i="21"/>
  <c r="J137" i="21"/>
  <c r="H149" i="21"/>
  <c r="P149" i="21" s="1"/>
  <c r="P174" i="21"/>
  <c r="P247" i="21"/>
  <c r="J247" i="21"/>
  <c r="R247" i="21" s="1"/>
  <c r="P252" i="21"/>
  <c r="J252" i="21"/>
  <c r="R252" i="21" s="1"/>
  <c r="P264" i="21"/>
  <c r="J264" i="21"/>
  <c r="R264" i="21" s="1"/>
  <c r="P302" i="21"/>
  <c r="J302" i="21"/>
  <c r="R302" i="21" s="1"/>
  <c r="P372" i="21"/>
  <c r="P376" i="21"/>
  <c r="H381" i="21"/>
  <c r="P381" i="21" s="1"/>
  <c r="P387" i="21"/>
  <c r="P391" i="21"/>
  <c r="N391" i="21"/>
  <c r="R391" i="21" s="1"/>
  <c r="P428" i="21"/>
  <c r="J428" i="21"/>
  <c r="R428" i="21" s="1"/>
  <c r="P432" i="21"/>
  <c r="J432" i="21"/>
  <c r="R432" i="21" s="1"/>
  <c r="P444" i="21"/>
  <c r="P447" i="21"/>
  <c r="P454" i="21"/>
  <c r="P457" i="21"/>
  <c r="P461" i="21"/>
  <c r="N461" i="21"/>
  <c r="R461" i="21" s="1"/>
  <c r="P464" i="21"/>
  <c r="P557" i="21"/>
  <c r="P589" i="21"/>
  <c r="J589" i="21"/>
  <c r="R589" i="21" s="1"/>
  <c r="P606" i="21"/>
  <c r="P609" i="21"/>
  <c r="P617" i="21"/>
  <c r="J617" i="21"/>
  <c r="R617" i="21" s="1"/>
  <c r="H619" i="21"/>
  <c r="H616" i="21" s="1"/>
  <c r="J621" i="21"/>
  <c r="R621" i="21" s="1"/>
  <c r="P629" i="21"/>
  <c r="J629" i="21"/>
  <c r="R629" i="21" s="1"/>
  <c r="P650" i="21"/>
  <c r="J650" i="21"/>
  <c r="R650" i="21" s="1"/>
  <c r="J656" i="21"/>
  <c r="R656" i="21" s="1"/>
  <c r="P678" i="21"/>
  <c r="J678" i="21"/>
  <c r="R678" i="21" s="1"/>
  <c r="P685" i="21"/>
  <c r="J685" i="21"/>
  <c r="R685" i="21" s="1"/>
  <c r="P694" i="21"/>
  <c r="J694" i="21"/>
  <c r="R694" i="21" s="1"/>
  <c r="P725" i="21"/>
  <c r="J725" i="21"/>
  <c r="R725" i="21" s="1"/>
  <c r="P739" i="21"/>
  <c r="J739" i="21"/>
  <c r="R739" i="21" s="1"/>
  <c r="P762" i="21"/>
  <c r="J762" i="21"/>
  <c r="R762" i="21" s="1"/>
  <c r="P795" i="21"/>
  <c r="J795" i="21"/>
  <c r="R795" i="21" s="1"/>
  <c r="P800" i="21"/>
  <c r="J800" i="21"/>
  <c r="R800" i="21" s="1"/>
  <c r="P809" i="21"/>
  <c r="J809" i="21"/>
  <c r="R809" i="21" s="1"/>
  <c r="P824" i="21"/>
  <c r="J824" i="21"/>
  <c r="R824" i="21" s="1"/>
  <c r="P861" i="21"/>
  <c r="J861" i="21"/>
  <c r="R861" i="21" s="1"/>
  <c r="P891" i="21"/>
  <c r="J891" i="21"/>
  <c r="R891" i="21" s="1"/>
  <c r="P909" i="21"/>
  <c r="J909" i="21"/>
  <c r="R909" i="21" s="1"/>
  <c r="P931" i="21"/>
  <c r="J931" i="21"/>
  <c r="R931" i="21" s="1"/>
  <c r="P939" i="21"/>
  <c r="P947" i="21"/>
  <c r="J947" i="21"/>
  <c r="R947" i="21" s="1"/>
  <c r="P955" i="21"/>
  <c r="P969" i="21"/>
  <c r="J969" i="21"/>
  <c r="R969" i="21" s="1"/>
  <c r="P988" i="21"/>
  <c r="J988" i="21"/>
  <c r="R988" i="21" s="1"/>
  <c r="P1011" i="21"/>
  <c r="J1011" i="21"/>
  <c r="R1011" i="21" s="1"/>
  <c r="P1019" i="21"/>
  <c r="J1019" i="21"/>
  <c r="R1019" i="21" s="1"/>
  <c r="P1028" i="21"/>
  <c r="J1028" i="21"/>
  <c r="R1028" i="21" s="1"/>
  <c r="P1051" i="21"/>
  <c r="J1051" i="21"/>
  <c r="R1051" i="21" s="1"/>
  <c r="P1075" i="21"/>
  <c r="J1075" i="21"/>
  <c r="R1075" i="21" s="1"/>
  <c r="P1084" i="21"/>
  <c r="J1084" i="21"/>
  <c r="R1084" i="21" s="1"/>
  <c r="P1091" i="21"/>
  <c r="P1107" i="21"/>
  <c r="J1107" i="21"/>
  <c r="R1107" i="21" s="1"/>
  <c r="P1115" i="21"/>
  <c r="J1115" i="21"/>
  <c r="R1115" i="21" s="1"/>
  <c r="P1125" i="21"/>
  <c r="J1125" i="21"/>
  <c r="R1125" i="21" s="1"/>
  <c r="P1147" i="21"/>
  <c r="J1147" i="21"/>
  <c r="R1147" i="21" s="1"/>
  <c r="P1156" i="21"/>
  <c r="J1156" i="21"/>
  <c r="R1156" i="21" s="1"/>
  <c r="H1164" i="21"/>
  <c r="P1167" i="21"/>
  <c r="J1167" i="21"/>
  <c r="R1167" i="21" s="1"/>
  <c r="P1178" i="21"/>
  <c r="P1187" i="21"/>
  <c r="P1191" i="21"/>
  <c r="J1191" i="21"/>
  <c r="R1191" i="21" s="1"/>
  <c r="P1200" i="21"/>
  <c r="J1200" i="21"/>
  <c r="R1200" i="21" s="1"/>
  <c r="P1209" i="21"/>
  <c r="P1212" i="21"/>
  <c r="J1212" i="21"/>
  <c r="R1212" i="21" s="1"/>
  <c r="P1221" i="21"/>
  <c r="J1221" i="21"/>
  <c r="R1221" i="21" s="1"/>
  <c r="P1225" i="21"/>
  <c r="J1225" i="21"/>
  <c r="R1225" i="21" s="1"/>
  <c r="L1264" i="21"/>
  <c r="N1264" i="21" s="1"/>
  <c r="N1265" i="21"/>
  <c r="P1280" i="21"/>
  <c r="P1288" i="21"/>
  <c r="J1288" i="21"/>
  <c r="R1288" i="21" s="1"/>
  <c r="P1336" i="21"/>
  <c r="J1336" i="21"/>
  <c r="R1336" i="21" s="1"/>
  <c r="P1358" i="21"/>
  <c r="J1358" i="21"/>
  <c r="R1358" i="21" s="1"/>
  <c r="P1365" i="21"/>
  <c r="J1365" i="21"/>
  <c r="R1365" i="21" s="1"/>
  <c r="P1391" i="21"/>
  <c r="N1391" i="21"/>
  <c r="R1391" i="21" s="1"/>
  <c r="H1741" i="21"/>
  <c r="J1741" i="21" s="1"/>
  <c r="R1741" i="21" s="1"/>
  <c r="I7" i="15"/>
  <c r="J80" i="21"/>
  <c r="R80" i="21" s="1"/>
  <c r="J84" i="21"/>
  <c r="R84" i="21" s="1"/>
  <c r="Q173" i="21"/>
  <c r="J125" i="21"/>
  <c r="R125" i="21" s="1"/>
  <c r="R143" i="21"/>
  <c r="R161" i="21"/>
  <c r="N129" i="21"/>
  <c r="P383" i="21"/>
  <c r="J383" i="21"/>
  <c r="R383" i="21" s="1"/>
  <c r="P437" i="21"/>
  <c r="N437" i="21"/>
  <c r="R437" i="21" s="1"/>
  <c r="P181" i="21"/>
  <c r="J181" i="21"/>
  <c r="R181" i="21" s="1"/>
  <c r="P265" i="21"/>
  <c r="J265" i="21"/>
  <c r="R265" i="21" s="1"/>
  <c r="L374" i="21"/>
  <c r="N374" i="21" s="1"/>
  <c r="P377" i="21"/>
  <c r="J377" i="21"/>
  <c r="R377" i="21" s="1"/>
  <c r="P424" i="21"/>
  <c r="J424" i="21"/>
  <c r="R424" i="21" s="1"/>
  <c r="P434" i="21"/>
  <c r="N434" i="21"/>
  <c r="R434" i="21" s="1"/>
  <c r="P442" i="21"/>
  <c r="N442" i="21"/>
  <c r="R442" i="21" s="1"/>
  <c r="P480" i="21"/>
  <c r="N480" i="21"/>
  <c r="R480" i="21" s="1"/>
  <c r="P558" i="21"/>
  <c r="J558" i="21"/>
  <c r="R558" i="21" s="1"/>
  <c r="H607" i="21"/>
  <c r="P607" i="21" s="1"/>
  <c r="P657" i="21"/>
  <c r="J657" i="21"/>
  <c r="R657" i="21" s="1"/>
  <c r="P683" i="21"/>
  <c r="P686" i="21"/>
  <c r="J686" i="21"/>
  <c r="R686" i="21" s="1"/>
  <c r="H726" i="21"/>
  <c r="H723" i="21" s="1"/>
  <c r="J731" i="21"/>
  <c r="R731" i="21" s="1"/>
  <c r="P735" i="21"/>
  <c r="J735" i="21"/>
  <c r="R735" i="21" s="1"/>
  <c r="P758" i="21"/>
  <c r="J758" i="21"/>
  <c r="R758" i="21" s="1"/>
  <c r="P768" i="21"/>
  <c r="J768" i="21"/>
  <c r="R768" i="21" s="1"/>
  <c r="P773" i="21"/>
  <c r="J773" i="21"/>
  <c r="R773" i="21" s="1"/>
  <c r="P778" i="21"/>
  <c r="J778" i="21"/>
  <c r="R778" i="21" s="1"/>
  <c r="P801" i="21"/>
  <c r="J801" i="21"/>
  <c r="R801" i="21" s="1"/>
  <c r="P810" i="21"/>
  <c r="J810" i="21"/>
  <c r="R810" i="21" s="1"/>
  <c r="P825" i="21"/>
  <c r="J825" i="21"/>
  <c r="R825" i="21" s="1"/>
  <c r="P829" i="21"/>
  <c r="J829" i="21"/>
  <c r="R829" i="21" s="1"/>
  <c r="P852" i="21"/>
  <c r="J852" i="21"/>
  <c r="R852" i="21" s="1"/>
  <c r="P856" i="21"/>
  <c r="J856" i="21"/>
  <c r="R856" i="21" s="1"/>
  <c r="P862" i="21"/>
  <c r="J862" i="21"/>
  <c r="R862" i="21" s="1"/>
  <c r="P867" i="21"/>
  <c r="J867" i="21"/>
  <c r="R867" i="21" s="1"/>
  <c r="P872" i="21"/>
  <c r="J872" i="21"/>
  <c r="R872" i="21" s="1"/>
  <c r="P877" i="21"/>
  <c r="J877" i="21"/>
  <c r="R877" i="21" s="1"/>
  <c r="P888" i="21"/>
  <c r="J888" i="21"/>
  <c r="R888" i="21" s="1"/>
  <c r="P897" i="21"/>
  <c r="J897" i="21"/>
  <c r="R897" i="21" s="1"/>
  <c r="P901" i="21"/>
  <c r="J901" i="21"/>
  <c r="R901" i="21" s="1"/>
  <c r="P915" i="21"/>
  <c r="J915" i="21"/>
  <c r="R915" i="21" s="1"/>
  <c r="P923" i="21"/>
  <c r="J923" i="21"/>
  <c r="R923" i="21" s="1"/>
  <c r="P932" i="21"/>
  <c r="J932" i="21"/>
  <c r="R932" i="21" s="1"/>
  <c r="P949" i="21"/>
  <c r="J949" i="21"/>
  <c r="R949" i="21" s="1"/>
  <c r="P970" i="21"/>
  <c r="J970" i="21"/>
  <c r="R970" i="21" s="1"/>
  <c r="P989" i="21"/>
  <c r="J989" i="21"/>
  <c r="R989" i="21" s="1"/>
  <c r="P1012" i="21"/>
  <c r="J1012" i="21"/>
  <c r="R1012" i="21" s="1"/>
  <c r="P1029" i="21"/>
  <c r="J1029" i="21"/>
  <c r="R1029" i="21" s="1"/>
  <c r="H1033" i="21"/>
  <c r="J1034" i="21"/>
  <c r="R1034" i="21" s="1"/>
  <c r="P1052" i="21"/>
  <c r="J1052" i="21"/>
  <c r="R1052" i="21" s="1"/>
  <c r="P1067" i="21"/>
  <c r="J1067" i="21"/>
  <c r="R1067" i="21" s="1"/>
  <c r="P1076" i="21"/>
  <c r="J1076" i="21"/>
  <c r="R1076" i="21" s="1"/>
  <c r="P1085" i="21"/>
  <c r="J1085" i="21"/>
  <c r="R1085" i="21" s="1"/>
  <c r="P1089" i="21"/>
  <c r="N1089" i="21"/>
  <c r="R1089" i="21" s="1"/>
  <c r="P1108" i="21"/>
  <c r="J1108" i="21"/>
  <c r="R1108" i="21" s="1"/>
  <c r="P1116" i="21"/>
  <c r="J1116" i="21"/>
  <c r="R1116" i="21" s="1"/>
  <c r="P1126" i="21"/>
  <c r="J1126" i="21"/>
  <c r="R1126" i="21" s="1"/>
  <c r="P1148" i="21"/>
  <c r="J1148" i="21"/>
  <c r="R1148" i="21" s="1"/>
  <c r="P1157" i="21"/>
  <c r="J1157" i="21"/>
  <c r="R1157" i="21" s="1"/>
  <c r="P1234" i="21"/>
  <c r="J1234" i="21"/>
  <c r="R1234" i="21" s="1"/>
  <c r="H1236" i="21"/>
  <c r="H1233" i="21" s="1"/>
  <c r="P1233" i="21" s="1"/>
  <c r="J1238" i="21"/>
  <c r="R1238" i="21" s="1"/>
  <c r="P1246" i="21"/>
  <c r="J1246" i="21"/>
  <c r="R1246" i="21" s="1"/>
  <c r="P1251" i="21"/>
  <c r="J1251" i="21"/>
  <c r="R1251" i="21" s="1"/>
  <c r="P1256" i="21"/>
  <c r="J1256" i="21"/>
  <c r="R1256" i="21" s="1"/>
  <c r="H1265" i="21"/>
  <c r="P1265" i="21" s="1"/>
  <c r="J1266" i="21"/>
  <c r="R1266" i="21" s="1"/>
  <c r="P1270" i="21"/>
  <c r="J1270" i="21"/>
  <c r="R1270" i="21" s="1"/>
  <c r="P1355" i="21"/>
  <c r="J1355" i="21"/>
  <c r="R1355" i="21" s="1"/>
  <c r="P1362" i="21"/>
  <c r="J1362" i="21"/>
  <c r="R1362" i="21" s="1"/>
  <c r="P1399" i="21"/>
  <c r="J1399" i="21"/>
  <c r="R1399" i="21" s="1"/>
  <c r="P1455" i="21"/>
  <c r="J1455" i="21"/>
  <c r="R1455" i="21" s="1"/>
  <c r="P1469" i="21"/>
  <c r="J1469" i="21"/>
  <c r="R1469" i="21" s="1"/>
  <c r="P1480" i="21"/>
  <c r="J1480" i="21"/>
  <c r="R1480" i="21" s="1"/>
  <c r="P1798" i="21"/>
  <c r="J1798" i="21"/>
  <c r="R1798" i="21" s="1"/>
  <c r="P1805" i="21"/>
  <c r="J1805" i="21"/>
  <c r="R1805" i="21" s="1"/>
  <c r="Q25" i="21"/>
  <c r="J135" i="21"/>
  <c r="R135" i="21" s="1"/>
  <c r="J166" i="21"/>
  <c r="R166" i="21" s="1"/>
  <c r="J176" i="21"/>
  <c r="R176" i="21" s="1"/>
  <c r="N184" i="21"/>
  <c r="R184" i="21" s="1"/>
  <c r="P144" i="21"/>
  <c r="N144" i="21"/>
  <c r="R144" i="21" s="1"/>
  <c r="P242" i="21"/>
  <c r="J242" i="21"/>
  <c r="R242" i="21" s="1"/>
  <c r="P296" i="21"/>
  <c r="N296" i="21"/>
  <c r="R296" i="21" s="1"/>
  <c r="P127" i="21"/>
  <c r="J127" i="21"/>
  <c r="R127" i="21" s="1"/>
  <c r="P175" i="21"/>
  <c r="J175" i="21"/>
  <c r="R175" i="21" s="1"/>
  <c r="P248" i="21"/>
  <c r="J248" i="21"/>
  <c r="R248" i="21" s="1"/>
  <c r="H280" i="21"/>
  <c r="J280" i="21" s="1"/>
  <c r="R280" i="21" s="1"/>
  <c r="J282" i="21"/>
  <c r="R282" i="21" s="1"/>
  <c r="P294" i="21"/>
  <c r="N294" i="21"/>
  <c r="R294" i="21" s="1"/>
  <c r="P362" i="21"/>
  <c r="J362" i="21"/>
  <c r="R362" i="21" s="1"/>
  <c r="I265" i="7"/>
  <c r="I263" i="7" s="1"/>
  <c r="I276" i="7" s="1"/>
  <c r="I286" i="7" s="1"/>
  <c r="H3" i="15" s="1"/>
  <c r="P165" i="21"/>
  <c r="J165" i="21"/>
  <c r="R165" i="21" s="1"/>
  <c r="P169" i="21"/>
  <c r="J169" i="21"/>
  <c r="R169" i="21" s="1"/>
  <c r="P250" i="21"/>
  <c r="J250" i="21"/>
  <c r="R250" i="21" s="1"/>
  <c r="P254" i="21"/>
  <c r="J254" i="21"/>
  <c r="R254" i="21" s="1"/>
  <c r="P273" i="21"/>
  <c r="J273" i="21"/>
  <c r="R273" i="21" s="1"/>
  <c r="P367" i="21"/>
  <c r="P371" i="21"/>
  <c r="J371" i="21"/>
  <c r="R371" i="21" s="1"/>
  <c r="H375" i="21"/>
  <c r="P375" i="21" s="1"/>
  <c r="P382" i="21"/>
  <c r="P385" i="21"/>
  <c r="P392" i="21"/>
  <c r="P417" i="21"/>
  <c r="J417" i="21"/>
  <c r="R417" i="21" s="1"/>
  <c r="P421" i="21"/>
  <c r="J421" i="21"/>
  <c r="R421" i="21" s="1"/>
  <c r="P439" i="21"/>
  <c r="P443" i="21"/>
  <c r="N443" i="21"/>
  <c r="R443" i="21" s="1"/>
  <c r="P449" i="21"/>
  <c r="N449" i="21"/>
  <c r="R449" i="21" s="1"/>
  <c r="P468" i="21"/>
  <c r="R468" i="21"/>
  <c r="P472" i="21"/>
  <c r="N472" i="21"/>
  <c r="R472" i="21" s="1"/>
  <c r="P539" i="21"/>
  <c r="J539" i="21"/>
  <c r="R539" i="21" s="1"/>
  <c r="P559" i="21"/>
  <c r="J559" i="21"/>
  <c r="R559" i="21" s="1"/>
  <c r="P566" i="21"/>
  <c r="J566" i="21"/>
  <c r="R566" i="21" s="1"/>
  <c r="P576" i="21"/>
  <c r="J576" i="21"/>
  <c r="R576" i="21" s="1"/>
  <c r="P586" i="21"/>
  <c r="J586" i="21"/>
  <c r="R586" i="21" s="1"/>
  <c r="P596" i="21"/>
  <c r="J596" i="21"/>
  <c r="R596" i="21" s="1"/>
  <c r="P605" i="21"/>
  <c r="J605" i="21"/>
  <c r="R605" i="21" s="1"/>
  <c r="P615" i="21"/>
  <c r="P618" i="21"/>
  <c r="P627" i="21"/>
  <c r="J627" i="21"/>
  <c r="R627" i="21" s="1"/>
  <c r="P635" i="21"/>
  <c r="N635" i="21"/>
  <c r="R635" i="21" s="1"/>
  <c r="P640" i="21"/>
  <c r="J640" i="21"/>
  <c r="R640" i="21" s="1"/>
  <c r="P648" i="21"/>
  <c r="P666" i="21"/>
  <c r="J666" i="21"/>
  <c r="R666" i="21" s="1"/>
  <c r="P704" i="21"/>
  <c r="P714" i="21"/>
  <c r="P722" i="21"/>
  <c r="J722" i="21"/>
  <c r="R722" i="21" s="1"/>
  <c r="P731" i="21"/>
  <c r="P742" i="21"/>
  <c r="J742" i="21"/>
  <c r="R742" i="21" s="1"/>
  <c r="P746" i="21"/>
  <c r="J746" i="21"/>
  <c r="R746" i="21" s="1"/>
  <c r="P774" i="21"/>
  <c r="J774" i="21"/>
  <c r="R774" i="21" s="1"/>
  <c r="H802" i="21"/>
  <c r="J802" i="21" s="1"/>
  <c r="R802" i="21" s="1"/>
  <c r="J807" i="21"/>
  <c r="R807" i="21" s="1"/>
  <c r="P813" i="21"/>
  <c r="J813" i="21"/>
  <c r="R813" i="21" s="1"/>
  <c r="L811" i="21"/>
  <c r="N811" i="21" s="1"/>
  <c r="N822" i="21"/>
  <c r="P842" i="21"/>
  <c r="J842" i="21"/>
  <c r="R842" i="21" s="1"/>
  <c r="P848" i="21"/>
  <c r="J848" i="21"/>
  <c r="R848" i="21" s="1"/>
  <c r="P853" i="21"/>
  <c r="J853" i="21"/>
  <c r="R853" i="21" s="1"/>
  <c r="P878" i="21"/>
  <c r="J878" i="21"/>
  <c r="R878" i="21" s="1"/>
  <c r="P884" i="21"/>
  <c r="J884" i="21"/>
  <c r="R884" i="21" s="1"/>
  <c r="P894" i="21"/>
  <c r="J894" i="21"/>
  <c r="R894" i="21" s="1"/>
  <c r="P898" i="21"/>
  <c r="J898" i="21"/>
  <c r="R898" i="21" s="1"/>
  <c r="P907" i="21"/>
  <c r="J907" i="21"/>
  <c r="R907" i="21" s="1"/>
  <c r="P924" i="21"/>
  <c r="J924" i="21"/>
  <c r="R924" i="21" s="1"/>
  <c r="P940" i="21"/>
  <c r="P950" i="21"/>
  <c r="J950" i="21"/>
  <c r="R950" i="21" s="1"/>
  <c r="P954" i="21"/>
  <c r="P962" i="21"/>
  <c r="J962" i="21"/>
  <c r="R962" i="21" s="1"/>
  <c r="P966" i="21"/>
  <c r="P995" i="21"/>
  <c r="J995" i="21"/>
  <c r="R995" i="21" s="1"/>
  <c r="P1013" i="21"/>
  <c r="J1013" i="21"/>
  <c r="R1013" i="21" s="1"/>
  <c r="P1021" i="21"/>
  <c r="J1021" i="21"/>
  <c r="R1021" i="21" s="1"/>
  <c r="P1035" i="21"/>
  <c r="J1035" i="21"/>
  <c r="R1035" i="21" s="1"/>
  <c r="P1042" i="21"/>
  <c r="J1042" i="21"/>
  <c r="R1042" i="21" s="1"/>
  <c r="P1060" i="21"/>
  <c r="J1060" i="21"/>
  <c r="R1060" i="21" s="1"/>
  <c r="P1068" i="21"/>
  <c r="J1068" i="21"/>
  <c r="R1068" i="21" s="1"/>
  <c r="P1078" i="21"/>
  <c r="J1078" i="21"/>
  <c r="R1078" i="21" s="1"/>
  <c r="L1082" i="21"/>
  <c r="N1082" i="21" s="1"/>
  <c r="P1093" i="21"/>
  <c r="J1093" i="21"/>
  <c r="R1093" i="21" s="1"/>
  <c r="P1100" i="21"/>
  <c r="J1100" i="21"/>
  <c r="R1100" i="21" s="1"/>
  <c r="P1109" i="21"/>
  <c r="J1109" i="21"/>
  <c r="R1109" i="21" s="1"/>
  <c r="P1127" i="21"/>
  <c r="J1127" i="21"/>
  <c r="R1127" i="21" s="1"/>
  <c r="P1137" i="21"/>
  <c r="J1137" i="21"/>
  <c r="R1137" i="21" s="1"/>
  <c r="P1165" i="21"/>
  <c r="P1177" i="21"/>
  <c r="P1188" i="21"/>
  <c r="P1193" i="21"/>
  <c r="J1193" i="21"/>
  <c r="R1193" i="21" s="1"/>
  <c r="P1197" i="21"/>
  <c r="P1202" i="21"/>
  <c r="J1202" i="21"/>
  <c r="R1202" i="21" s="1"/>
  <c r="P1207" i="21"/>
  <c r="J1207" i="21"/>
  <c r="R1207" i="21" s="1"/>
  <c r="P1210" i="21"/>
  <c r="P1215" i="21"/>
  <c r="J1215" i="21"/>
  <c r="R1215" i="21" s="1"/>
  <c r="P1219" i="21"/>
  <c r="L1223" i="21"/>
  <c r="P1227" i="21"/>
  <c r="J1227" i="21"/>
  <c r="R1227" i="21" s="1"/>
  <c r="P1252" i="21"/>
  <c r="J1252" i="21"/>
  <c r="R1252" i="21" s="1"/>
  <c r="P1257" i="21"/>
  <c r="J1257" i="21"/>
  <c r="R1257" i="21" s="1"/>
  <c r="P1266" i="21"/>
  <c r="H1279" i="21"/>
  <c r="H1278" i="21" s="1"/>
  <c r="P1278" i="21" s="1"/>
  <c r="J1282" i="21"/>
  <c r="R1282" i="21" s="1"/>
  <c r="P1290" i="21"/>
  <c r="J1290" i="21"/>
  <c r="R1290" i="21" s="1"/>
  <c r="P1298" i="21"/>
  <c r="J1298" i="21"/>
  <c r="R1298" i="21" s="1"/>
  <c r="P1470" i="21"/>
  <c r="J1470" i="21"/>
  <c r="R1470" i="21" s="1"/>
  <c r="P1474" i="21"/>
  <c r="J1474" i="21"/>
  <c r="R1474" i="21" s="1"/>
  <c r="P1580" i="21"/>
  <c r="H1747" i="21"/>
  <c r="J1747" i="21" s="1"/>
  <c r="R1747" i="21" s="1"/>
  <c r="P1799" i="21"/>
  <c r="J1799" i="21"/>
  <c r="R1799" i="21" s="1"/>
  <c r="Q60" i="21"/>
  <c r="I78" i="21"/>
  <c r="Q79" i="21"/>
  <c r="R164" i="21"/>
  <c r="J170" i="21"/>
  <c r="R170" i="21" s="1"/>
  <c r="R179" i="21"/>
  <c r="N147" i="21"/>
  <c r="R147" i="21" s="1"/>
  <c r="Q163" i="21"/>
  <c r="P251" i="21"/>
  <c r="J251" i="21"/>
  <c r="R251" i="21" s="1"/>
  <c r="P365" i="21"/>
  <c r="J365" i="21"/>
  <c r="R365" i="21" s="1"/>
  <c r="P549" i="21"/>
  <c r="J549" i="21"/>
  <c r="R549" i="21" s="1"/>
  <c r="P628" i="21"/>
  <c r="J628" i="21"/>
  <c r="R628" i="21" s="1"/>
  <c r="P638" i="21"/>
  <c r="J638" i="21"/>
  <c r="R638" i="21" s="1"/>
  <c r="L637" i="21"/>
  <c r="N646" i="21"/>
  <c r="R646" i="21" s="1"/>
  <c r="P649" i="21"/>
  <c r="J649" i="21"/>
  <c r="R649" i="21" s="1"/>
  <c r="P706" i="21"/>
  <c r="J706" i="21"/>
  <c r="R706" i="21" s="1"/>
  <c r="H715" i="21"/>
  <c r="H712" i="21" s="1"/>
  <c r="J712" i="21" s="1"/>
  <c r="R712" i="21" s="1"/>
  <c r="J720" i="21"/>
  <c r="R720" i="21" s="1"/>
  <c r="P724" i="21"/>
  <c r="J724" i="21"/>
  <c r="R724" i="21" s="1"/>
  <c r="P761" i="21"/>
  <c r="J761" i="21"/>
  <c r="R761" i="21" s="1"/>
  <c r="P789" i="21"/>
  <c r="J789" i="21"/>
  <c r="R789" i="21" s="1"/>
  <c r="P798" i="21"/>
  <c r="J798" i="21"/>
  <c r="R798" i="21" s="1"/>
  <c r="P814" i="21"/>
  <c r="J814" i="21"/>
  <c r="R814" i="21" s="1"/>
  <c r="P823" i="21"/>
  <c r="J823" i="21"/>
  <c r="R823" i="21" s="1"/>
  <c r="P838" i="21"/>
  <c r="J838" i="21"/>
  <c r="R838" i="21" s="1"/>
  <c r="P843" i="21"/>
  <c r="J843" i="21"/>
  <c r="R843" i="21" s="1"/>
  <c r="P849" i="21"/>
  <c r="J849" i="21"/>
  <c r="R849" i="21" s="1"/>
  <c r="P854" i="21"/>
  <c r="J854" i="21"/>
  <c r="R854" i="21" s="1"/>
  <c r="P865" i="21"/>
  <c r="J865" i="21"/>
  <c r="R865" i="21" s="1"/>
  <c r="P908" i="21"/>
  <c r="J908" i="21"/>
  <c r="R908" i="21" s="1"/>
  <c r="P964" i="21"/>
  <c r="J964" i="21"/>
  <c r="R964" i="21" s="1"/>
  <c r="P1002" i="21"/>
  <c r="J1002" i="21"/>
  <c r="R1002" i="21" s="1"/>
  <c r="P1027" i="21"/>
  <c r="J1027" i="21"/>
  <c r="R1027" i="21" s="1"/>
  <c r="P1036" i="21"/>
  <c r="J1036" i="21"/>
  <c r="R1036" i="21" s="1"/>
  <c r="P1043" i="21"/>
  <c r="J1043" i="21"/>
  <c r="R1043" i="21" s="1"/>
  <c r="P1047" i="21"/>
  <c r="J1047" i="21"/>
  <c r="R1047" i="21" s="1"/>
  <c r="P1069" i="21"/>
  <c r="J1069" i="21"/>
  <c r="R1069" i="21" s="1"/>
  <c r="P1073" i="21"/>
  <c r="N1073" i="21"/>
  <c r="R1073" i="21" s="1"/>
  <c r="P1105" i="21"/>
  <c r="N1105" i="21"/>
  <c r="R1105" i="21" s="1"/>
  <c r="P1166" i="21"/>
  <c r="J1166" i="21"/>
  <c r="R1166" i="21" s="1"/>
  <c r="P1216" i="21"/>
  <c r="J1216" i="21"/>
  <c r="R1216" i="21" s="1"/>
  <c r="P1295" i="21"/>
  <c r="J1295" i="21"/>
  <c r="R1295" i="21" s="1"/>
  <c r="P1361" i="21"/>
  <c r="J1361" i="21"/>
  <c r="P1385" i="21"/>
  <c r="J1385" i="21"/>
  <c r="R1385" i="21" s="1"/>
  <c r="P1390" i="21"/>
  <c r="J1390" i="21"/>
  <c r="R1390" i="21" s="1"/>
  <c r="P1471" i="21"/>
  <c r="J1471" i="21"/>
  <c r="R1471" i="21" s="1"/>
  <c r="L1450" i="21"/>
  <c r="G17" i="15"/>
  <c r="I17" i="15" s="1"/>
  <c r="N1794" i="21"/>
  <c r="J152" i="21"/>
  <c r="R152" i="21" s="1"/>
  <c r="R387" i="21"/>
  <c r="R82" i="21"/>
  <c r="Q302" i="21"/>
  <c r="Q280" i="21"/>
  <c r="Q270" i="21"/>
  <c r="N392" i="21"/>
  <c r="I1265" i="21"/>
  <c r="Q1266" i="21"/>
  <c r="I835" i="21"/>
  <c r="Q835" i="21" s="1"/>
  <c r="Q836" i="21"/>
  <c r="J392" i="21"/>
  <c r="Q392" i="21"/>
  <c r="Q389" i="21"/>
  <c r="N180" i="21"/>
  <c r="M126" i="21"/>
  <c r="M121" i="21" s="1"/>
  <c r="Q299" i="21"/>
  <c r="Q277" i="21"/>
  <c r="Q267" i="21"/>
  <c r="Q249" i="21"/>
  <c r="J389" i="21"/>
  <c r="I546" i="21"/>
  <c r="Q546" i="21" s="1"/>
  <c r="Q549" i="21"/>
  <c r="R1081" i="21"/>
  <c r="J394" i="21"/>
  <c r="R394" i="21" s="1"/>
  <c r="Q381" i="21"/>
  <c r="Q364" i="21"/>
  <c r="I1269" i="21"/>
  <c r="Q1269" i="21" s="1"/>
  <c r="Q1270" i="21"/>
  <c r="N1244" i="21"/>
  <c r="R1254" i="21"/>
  <c r="N1233" i="21"/>
  <c r="Q1098" i="21"/>
  <c r="R1268" i="21"/>
  <c r="Q1482" i="21"/>
  <c r="Q1453" i="21"/>
  <c r="R1566" i="21"/>
  <c r="N1548" i="21"/>
  <c r="R1548" i="21" s="1"/>
  <c r="L1541" i="21"/>
  <c r="N1541" i="21" s="1"/>
  <c r="I1737" i="21"/>
  <c r="Q1737" i="21" s="1"/>
  <c r="Q1738" i="21"/>
  <c r="I1699" i="21"/>
  <c r="Q1699" i="21" s="1"/>
  <c r="Q1700" i="21"/>
  <c r="I1646" i="21"/>
  <c r="Q1646" i="21" s="1"/>
  <c r="Q1647" i="21"/>
  <c r="Q1396" i="21"/>
  <c r="Q1379" i="21"/>
  <c r="Q1362" i="21"/>
  <c r="M1450" i="21"/>
  <c r="H14" i="15" s="1"/>
  <c r="N1569" i="21"/>
  <c r="I1688" i="21"/>
  <c r="Q1688" i="21" s="1"/>
  <c r="Q1689" i="21"/>
  <c r="I1675" i="21"/>
  <c r="Q1678" i="21"/>
  <c r="I1541" i="21"/>
  <c r="Q1541" i="21" s="1"/>
  <c r="I1746" i="21"/>
  <c r="Q1746" i="21" s="1"/>
  <c r="Q1747" i="21"/>
  <c r="I1718" i="21"/>
  <c r="Q1718" i="21" s="1"/>
  <c r="Q1719" i="21"/>
  <c r="I1656" i="21"/>
  <c r="Q1657" i="21"/>
  <c r="I1620" i="21"/>
  <c r="Q1621" i="21"/>
  <c r="M1619" i="21"/>
  <c r="H16" i="15" s="1"/>
  <c r="I1794" i="21"/>
  <c r="Q1796" i="21"/>
  <c r="M415" i="21"/>
  <c r="N173" i="21"/>
  <c r="N1245" i="21"/>
  <c r="Q1245" i="21"/>
  <c r="Q1279" i="21"/>
  <c r="N1098" i="21"/>
  <c r="P1755" i="21"/>
  <c r="M1505" i="21"/>
  <c r="H15" i="15" s="1"/>
  <c r="P1577" i="21"/>
  <c r="P1578" i="21"/>
  <c r="P1579" i="21"/>
  <c r="I1570" i="21"/>
  <c r="I1506" i="21"/>
  <c r="Q1506" i="21" s="1"/>
  <c r="I1450" i="21"/>
  <c r="M1348" i="21"/>
  <c r="M1334" i="21" s="1"/>
  <c r="H13" i="15" s="1"/>
  <c r="I1348" i="21"/>
  <c r="M1122" i="21"/>
  <c r="M536" i="21"/>
  <c r="M759" i="21"/>
  <c r="I1244" i="21"/>
  <c r="Q1244" i="21" s="1"/>
  <c r="I1163" i="21"/>
  <c r="Q1163" i="21" s="1"/>
  <c r="I859" i="21"/>
  <c r="Q859" i="21" s="1"/>
  <c r="I811" i="21"/>
  <c r="Q811" i="21" s="1"/>
  <c r="I759" i="21"/>
  <c r="I711" i="21"/>
  <c r="Q711" i="21" s="1"/>
  <c r="I701" i="21"/>
  <c r="I1144" i="21"/>
  <c r="I1009" i="21"/>
  <c r="I1214" i="21"/>
  <c r="I1195" i="21"/>
  <c r="Q1195" i="21" s="1"/>
  <c r="I1186" i="21"/>
  <c r="Q1186" i="21" s="1"/>
  <c r="I787" i="21"/>
  <c r="I736" i="21"/>
  <c r="Q736" i="21" s="1"/>
  <c r="I702" i="21"/>
  <c r="Q702" i="21" s="1"/>
  <c r="I616" i="21"/>
  <c r="Q616" i="21" s="1"/>
  <c r="I584" i="21"/>
  <c r="Q584" i="21" s="1"/>
  <c r="I1278" i="21"/>
  <c r="I1123" i="21"/>
  <c r="Q1123" i="21" s="1"/>
  <c r="I960" i="21"/>
  <c r="I881" i="21"/>
  <c r="I378" i="21"/>
  <c r="Q378" i="21" s="1"/>
  <c r="I361" i="21"/>
  <c r="I126" i="21"/>
  <c r="R86" i="21"/>
  <c r="R85" i="21"/>
  <c r="R81" i="21"/>
  <c r="M5" i="21"/>
  <c r="I6" i="21"/>
  <c r="H163" i="21"/>
  <c r="H160" i="21" s="1"/>
  <c r="H587" i="21"/>
  <c r="H584" i="21" s="1"/>
  <c r="N626" i="21"/>
  <c r="H740" i="21"/>
  <c r="J740" i="21" s="1"/>
  <c r="R740" i="21" s="1"/>
  <c r="H885" i="21"/>
  <c r="H882" i="21" s="1"/>
  <c r="J882" i="21" s="1"/>
  <c r="R882" i="21" s="1"/>
  <c r="H1208" i="21"/>
  <c r="H1205" i="21" s="1"/>
  <c r="J1205" i="21" s="1"/>
  <c r="R1205" i="21" s="1"/>
  <c r="H1656" i="21"/>
  <c r="H133" i="21"/>
  <c r="H126" i="21" s="1"/>
  <c r="H180" i="21"/>
  <c r="H249" i="21"/>
  <c r="H246" i="21" s="1"/>
  <c r="P282" i="21"/>
  <c r="L420" i="21"/>
  <c r="N420" i="21" s="1"/>
  <c r="H565" i="21"/>
  <c r="P565" i="21" s="1"/>
  <c r="H626" i="21"/>
  <c r="P646" i="21"/>
  <c r="P656" i="21"/>
  <c r="H677" i="21"/>
  <c r="H705" i="21"/>
  <c r="H775" i="21"/>
  <c r="H772" i="21" s="1"/>
  <c r="P807" i="21"/>
  <c r="P1034" i="21"/>
  <c r="H1106" i="21"/>
  <c r="H1124" i="21"/>
  <c r="J1124" i="21" s="1"/>
  <c r="R1124" i="21" s="1"/>
  <c r="L1377" i="21"/>
  <c r="H1520" i="21"/>
  <c r="J1520" i="21" s="1"/>
  <c r="R1520" i="21" s="1"/>
  <c r="H122" i="21"/>
  <c r="L287" i="21"/>
  <c r="H873" i="21"/>
  <c r="H870" i="21" s="1"/>
  <c r="P887" i="21"/>
  <c r="H1114" i="21"/>
  <c r="H1248" i="21"/>
  <c r="H1245" i="21" s="1"/>
  <c r="J1245" i="21" s="1"/>
  <c r="P1282" i="21"/>
  <c r="J1632" i="21"/>
  <c r="R1632" i="21" s="1"/>
  <c r="H1731" i="21"/>
  <c r="J1731" i="21" s="1"/>
  <c r="R1731" i="21" s="1"/>
  <c r="H1565" i="21"/>
  <c r="J1565" i="21" s="1"/>
  <c r="R1565" i="21" s="1"/>
  <c r="H1573" i="21"/>
  <c r="J1573" i="21" s="1"/>
  <c r="R1573" i="21" s="1"/>
  <c r="H1542" i="21"/>
  <c r="J1542" i="21" s="1"/>
  <c r="R1542" i="21" s="1"/>
  <c r="J1453" i="21"/>
  <c r="R1453" i="21" s="1"/>
  <c r="H1382" i="21"/>
  <c r="J1382" i="21" s="1"/>
  <c r="R1382" i="21" s="1"/>
  <c r="H1352" i="21"/>
  <c r="J1352" i="21" s="1"/>
  <c r="H1396" i="21"/>
  <c r="J1396" i="21" s="1"/>
  <c r="R1396" i="21" s="1"/>
  <c r="P548" i="21"/>
  <c r="H546" i="21"/>
  <c r="P585" i="21"/>
  <c r="L604" i="21"/>
  <c r="N604" i="21" s="1"/>
  <c r="P613" i="21"/>
  <c r="P938" i="21"/>
  <c r="H937" i="21"/>
  <c r="P983" i="21"/>
  <c r="P1058" i="21"/>
  <c r="H1057" i="21"/>
  <c r="P1092" i="21"/>
  <c r="H1090" i="21"/>
  <c r="P1101" i="21"/>
  <c r="H1098" i="21"/>
  <c r="P766" i="21"/>
  <c r="H763" i="21"/>
  <c r="H760" i="21" s="1"/>
  <c r="J760" i="21" s="1"/>
  <c r="P868" i="21"/>
  <c r="H863" i="21"/>
  <c r="P971" i="21"/>
  <c r="H968" i="21"/>
  <c r="P968" i="21" s="1"/>
  <c r="P542" i="21"/>
  <c r="H540" i="21"/>
  <c r="J540" i="21" s="1"/>
  <c r="R540" i="21" s="1"/>
  <c r="H667" i="21"/>
  <c r="J667" i="21" s="1"/>
  <c r="R667" i="21" s="1"/>
  <c r="P669" i="21"/>
  <c r="P703" i="21"/>
  <c r="H750" i="21"/>
  <c r="P752" i="21"/>
  <c r="P784" i="21"/>
  <c r="L772" i="21"/>
  <c r="N772" i="21" s="1"/>
  <c r="P788" i="21"/>
  <c r="P893" i="21"/>
  <c r="P1083" i="21"/>
  <c r="H1082" i="21"/>
  <c r="P675" i="21"/>
  <c r="P713" i="21"/>
  <c r="P748" i="21"/>
  <c r="P819" i="21"/>
  <c r="H815" i="21"/>
  <c r="P871" i="21"/>
  <c r="P953" i="21"/>
  <c r="H952" i="21"/>
  <c r="H822" i="21"/>
  <c r="H850" i="21"/>
  <c r="J850" i="21" s="1"/>
  <c r="R850" i="21" s="1"/>
  <c r="P922" i="21"/>
  <c r="H921" i="21"/>
  <c r="P1199" i="21"/>
  <c r="H1198" i="21"/>
  <c r="P837" i="21"/>
  <c r="P914" i="21"/>
  <c r="H913" i="21"/>
  <c r="P946" i="21"/>
  <c r="P961" i="21"/>
  <c r="P994" i="21"/>
  <c r="P1081" i="21"/>
  <c r="L1074" i="21"/>
  <c r="P1155" i="21"/>
  <c r="H1154" i="21"/>
  <c r="P1154" i="21" s="1"/>
  <c r="P1196" i="21"/>
  <c r="P1238" i="21"/>
  <c r="P1176" i="21"/>
  <c r="H1175" i="21"/>
  <c r="P1218" i="21"/>
  <c r="H1217" i="21"/>
  <c r="P1226" i="21"/>
  <c r="H1224" i="21"/>
  <c r="J1224" i="21" s="1"/>
  <c r="R1224" i="21" s="1"/>
  <c r="P883" i="21"/>
  <c r="P930" i="21"/>
  <c r="H929" i="21"/>
  <c r="P929" i="21" s="1"/>
  <c r="P1020" i="21"/>
  <c r="H1018" i="21"/>
  <c r="P1190" i="21"/>
  <c r="H1189" i="21"/>
  <c r="J1189" i="21" s="1"/>
  <c r="R1189" i="21" s="1"/>
  <c r="P1247" i="21"/>
  <c r="P1261" i="21"/>
  <c r="H1258" i="21"/>
  <c r="P875" i="21"/>
  <c r="H906" i="21"/>
  <c r="J906" i="21" s="1"/>
  <c r="R906" i="21" s="1"/>
  <c r="H1010" i="21"/>
  <c r="J1010" i="21" s="1"/>
  <c r="H790" i="21"/>
  <c r="H839" i="21"/>
  <c r="H948" i="21"/>
  <c r="H963" i="21"/>
  <c r="H985" i="21"/>
  <c r="H996" i="21"/>
  <c r="H1026" i="21"/>
  <c r="H1040" i="21"/>
  <c r="H1049" i="21"/>
  <c r="H1066" i="21"/>
  <c r="H1077" i="21"/>
  <c r="H1269" i="21"/>
  <c r="H416" i="21"/>
  <c r="J416" i="21" s="1"/>
  <c r="R416" i="21" s="1"/>
  <c r="L436" i="21"/>
  <c r="N436" i="21" s="1"/>
  <c r="R436" i="21" s="1"/>
  <c r="H425" i="21"/>
  <c r="P425" i="21" s="1"/>
  <c r="H364" i="21"/>
  <c r="J364" i="21" s="1"/>
  <c r="R364" i="21" s="1"/>
  <c r="L389" i="21"/>
  <c r="H256" i="21"/>
  <c r="H270" i="21"/>
  <c r="J270" i="21" s="1"/>
  <c r="R270" i="21" s="1"/>
  <c r="H299" i="21"/>
  <c r="J299" i="21" s="1"/>
  <c r="R299" i="21" s="1"/>
  <c r="L141" i="21"/>
  <c r="H173" i="21"/>
  <c r="H79" i="21"/>
  <c r="J79" i="21" s="1"/>
  <c r="R79" i="21" s="1"/>
  <c r="I187" i="7"/>
  <c r="I154" i="7"/>
  <c r="I165" i="7"/>
  <c r="I176" i="7"/>
  <c r="I7" i="7"/>
  <c r="H892" i="21" l="1"/>
  <c r="P892" i="21" s="1"/>
  <c r="B556" i="21"/>
  <c r="B557" i="21" s="1"/>
  <c r="B558" i="21" s="1"/>
  <c r="B559" i="21" s="1"/>
  <c r="B560" i="21" s="1"/>
  <c r="B561" i="21" s="1"/>
  <c r="B562" i="21" s="1"/>
  <c r="B563" i="21" s="1"/>
  <c r="B564" i="21" s="1"/>
  <c r="B565" i="21" s="1"/>
  <c r="B566" i="21" s="1"/>
  <c r="B567" i="21" s="1"/>
  <c r="B568" i="21" s="1"/>
  <c r="B569" i="21" s="1"/>
  <c r="B570" i="21" s="1"/>
  <c r="B571" i="21" s="1"/>
  <c r="B572" i="21" s="1"/>
  <c r="B573" i="21" s="1"/>
  <c r="B574" i="21" s="1"/>
  <c r="B575" i="21" s="1"/>
  <c r="B576" i="21" s="1"/>
  <c r="B577" i="21" s="1"/>
  <c r="B578" i="21" s="1"/>
  <c r="B579" i="21" s="1"/>
  <c r="B580" i="21" s="1"/>
  <c r="B581" i="21" s="1"/>
  <c r="B582" i="21" s="1"/>
  <c r="B583" i="21" s="1"/>
  <c r="B584" i="21" s="1"/>
  <c r="B585" i="21" s="1"/>
  <c r="B586" i="21" s="1"/>
  <c r="B587" i="21" s="1"/>
  <c r="B588" i="21" s="1"/>
  <c r="B589" i="21" s="1"/>
  <c r="B590" i="21" s="1"/>
  <c r="B591" i="21" s="1"/>
  <c r="B592" i="21" s="1"/>
  <c r="B593" i="21" s="1"/>
  <c r="B594" i="21" s="1"/>
  <c r="B595" i="21" s="1"/>
  <c r="B596" i="21" s="1"/>
  <c r="B597" i="21" s="1"/>
  <c r="B598" i="21" s="1"/>
  <c r="B599" i="21" s="1"/>
  <c r="B600" i="21" s="1"/>
  <c r="B601" i="21" s="1"/>
  <c r="B602" i="21" s="1"/>
  <c r="B603" i="21" s="1"/>
  <c r="B604" i="21" s="1"/>
  <c r="B605" i="21" s="1"/>
  <c r="B606" i="21" s="1"/>
  <c r="B607" i="21" s="1"/>
  <c r="B608" i="21" s="1"/>
  <c r="B609" i="21" s="1"/>
  <c r="B610" i="21" s="1"/>
  <c r="B611" i="21" s="1"/>
  <c r="B612" i="21" s="1"/>
  <c r="B613" i="21" s="1"/>
  <c r="B614" i="21" s="1"/>
  <c r="B615" i="21" s="1"/>
  <c r="B616" i="21" s="1"/>
  <c r="B617" i="21" s="1"/>
  <c r="B618" i="21" s="1"/>
  <c r="B619" i="21" s="1"/>
  <c r="B620" i="21" s="1"/>
  <c r="B621" i="21" s="1"/>
  <c r="B622" i="21" s="1"/>
  <c r="B623" i="21" s="1"/>
  <c r="B624" i="21" s="1"/>
  <c r="B625" i="21" s="1"/>
  <c r="B626" i="21" s="1"/>
  <c r="B627" i="21" s="1"/>
  <c r="B628" i="21" s="1"/>
  <c r="B629" i="21" s="1"/>
  <c r="B630" i="21" s="1"/>
  <c r="B631" i="21" s="1"/>
  <c r="B632" i="21" s="1"/>
  <c r="B633" i="21" s="1"/>
  <c r="B634" i="21" s="1"/>
  <c r="B635" i="21" s="1"/>
  <c r="B636" i="21" s="1"/>
  <c r="B637" i="21" s="1"/>
  <c r="B638" i="21" s="1"/>
  <c r="B639" i="21" s="1"/>
  <c r="B640" i="21" s="1"/>
  <c r="B641" i="21" s="1"/>
  <c r="B642" i="21" s="1"/>
  <c r="B643" i="21" s="1"/>
  <c r="B644" i="21" s="1"/>
  <c r="B467" i="21"/>
  <c r="B468" i="21" s="1"/>
  <c r="B469" i="21" s="1"/>
  <c r="B470" i="21" s="1"/>
  <c r="B471" i="21" s="1"/>
  <c r="B472" i="21" s="1"/>
  <c r="B473" i="21" s="1"/>
  <c r="B474" i="21" s="1"/>
  <c r="B475" i="21" s="1"/>
  <c r="B476" i="21" s="1"/>
  <c r="B477" i="21" s="1"/>
  <c r="B478" i="21" s="1"/>
  <c r="B479" i="21" s="1"/>
  <c r="B480" i="21" s="1"/>
  <c r="B481" i="21" s="1"/>
  <c r="B482" i="21" s="1"/>
  <c r="B483" i="21" s="1"/>
  <c r="I674" i="21"/>
  <c r="Q674" i="21" s="1"/>
  <c r="Q677" i="21"/>
  <c r="B151" i="21"/>
  <c r="B152" i="21" s="1"/>
  <c r="B153" i="21" s="1"/>
  <c r="B154" i="21" s="1"/>
  <c r="B155" i="21" s="1"/>
  <c r="B156" i="21" s="1"/>
  <c r="B157" i="21" s="1"/>
  <c r="B158" i="21" s="1"/>
  <c r="B159" i="21" s="1"/>
  <c r="B160" i="21" s="1"/>
  <c r="B161" i="21" s="1"/>
  <c r="B162" i="21" s="1"/>
  <c r="B163" i="21" s="1"/>
  <c r="B164" i="21" s="1"/>
  <c r="B165" i="21" s="1"/>
  <c r="B166" i="21" s="1"/>
  <c r="B167" i="21" s="1"/>
  <c r="B168" i="21" s="1"/>
  <c r="B169" i="21" s="1"/>
  <c r="B170" i="21" s="1"/>
  <c r="B171" i="21" s="1"/>
  <c r="B172" i="21" s="1"/>
  <c r="B173" i="21" s="1"/>
  <c r="B174" i="21" s="1"/>
  <c r="B175" i="21" s="1"/>
  <c r="B176" i="21" s="1"/>
  <c r="B177" i="21" s="1"/>
  <c r="B178" i="21" s="1"/>
  <c r="B179" i="21" s="1"/>
  <c r="B180" i="21" s="1"/>
  <c r="B181" i="21" s="1"/>
  <c r="B182" i="21" s="1"/>
  <c r="B183" i="21" s="1"/>
  <c r="B184" i="21" s="1"/>
  <c r="Q1656" i="21"/>
  <c r="H537" i="21"/>
  <c r="N637" i="21"/>
  <c r="L536" i="21"/>
  <c r="L535" i="21" s="1"/>
  <c r="R538" i="21"/>
  <c r="J537" i="21"/>
  <c r="R537" i="21" s="1"/>
  <c r="J895" i="21"/>
  <c r="R895" i="21" s="1"/>
  <c r="J1134" i="21"/>
  <c r="R1134" i="21" s="1"/>
  <c r="H1746" i="21"/>
  <c r="J1746" i="21" s="1"/>
  <c r="R1746" i="21" s="1"/>
  <c r="L126" i="21"/>
  <c r="P126" i="21" s="1"/>
  <c r="J1797" i="21"/>
  <c r="R1797" i="21" s="1"/>
  <c r="H1466" i="21"/>
  <c r="P1466" i="21" s="1"/>
  <c r="H1796" i="21"/>
  <c r="J1796" i="21" s="1"/>
  <c r="R1796" i="21" s="1"/>
  <c r="J375" i="21"/>
  <c r="R375" i="21" s="1"/>
  <c r="H1718" i="21"/>
  <c r="J1718" i="21" s="1"/>
  <c r="R1718" i="21" s="1"/>
  <c r="I241" i="21"/>
  <c r="Q241" i="21" s="1"/>
  <c r="J1656" i="21"/>
  <c r="R1656" i="21" s="1"/>
  <c r="P1145" i="21"/>
  <c r="H1526" i="21"/>
  <c r="J1526" i="21" s="1"/>
  <c r="R1526" i="21" s="1"/>
  <c r="J126" i="21"/>
  <c r="J574" i="21"/>
  <c r="R574" i="21" s="1"/>
  <c r="H604" i="21"/>
  <c r="J604" i="21" s="1"/>
  <c r="R604" i="21" s="1"/>
  <c r="J607" i="21"/>
  <c r="R607" i="21" s="1"/>
  <c r="H378" i="21"/>
  <c r="H374" i="21" s="1"/>
  <c r="P374" i="21" s="1"/>
  <c r="H1507" i="21"/>
  <c r="J1507" i="21" s="1"/>
  <c r="R1507" i="21" s="1"/>
  <c r="H1620" i="21"/>
  <c r="J1620" i="21" s="1"/>
  <c r="R1620" i="21" s="1"/>
  <c r="J1481" i="21"/>
  <c r="R1481" i="21" s="1"/>
  <c r="H1738" i="21"/>
  <c r="J1738" i="21" s="1"/>
  <c r="R1738" i="21" s="1"/>
  <c r="J1482" i="21"/>
  <c r="R1482" i="21" s="1"/>
  <c r="I420" i="21"/>
  <c r="Q420" i="21" s="1"/>
  <c r="P1482" i="21"/>
  <c r="L360" i="21"/>
  <c r="G10" i="15" s="1"/>
  <c r="I10" i="15" s="1"/>
  <c r="Q701" i="21"/>
  <c r="L1122" i="21"/>
  <c r="N1122" i="21" s="1"/>
  <c r="H1518" i="21"/>
  <c r="J1518" i="21" s="1"/>
  <c r="R1518" i="21" s="1"/>
  <c r="P1467" i="21"/>
  <c r="R129" i="21"/>
  <c r="R1552" i="21"/>
  <c r="R1352" i="21"/>
  <c r="P1279" i="21"/>
  <c r="H799" i="21"/>
  <c r="J799" i="21" s="1"/>
  <c r="R799" i="21" s="1"/>
  <c r="H1700" i="21"/>
  <c r="J1279" i="21"/>
  <c r="R1279" i="21" s="1"/>
  <c r="P802" i="21"/>
  <c r="R137" i="21"/>
  <c r="R760" i="21"/>
  <c r="H1688" i="21"/>
  <c r="J1688" i="21" s="1"/>
  <c r="R1688" i="21" s="1"/>
  <c r="J381" i="21"/>
  <c r="R381" i="21" s="1"/>
  <c r="R1361" i="21"/>
  <c r="J594" i="21"/>
  <c r="R594" i="21" s="1"/>
  <c r="P280" i="21"/>
  <c r="R392" i="21"/>
  <c r="H277" i="21"/>
  <c r="J277" i="21" s="1"/>
  <c r="R277" i="21" s="1"/>
  <c r="R1010" i="21"/>
  <c r="P1124" i="21"/>
  <c r="H1646" i="21"/>
  <c r="J1646" i="21" s="1"/>
  <c r="R1646" i="21" s="1"/>
  <c r="P996" i="21"/>
  <c r="J996" i="21"/>
  <c r="R996" i="21" s="1"/>
  <c r="P839" i="21"/>
  <c r="J839" i="21"/>
  <c r="R839" i="21" s="1"/>
  <c r="P1217" i="21"/>
  <c r="J1217" i="21"/>
  <c r="R1217" i="21" s="1"/>
  <c r="H993" i="21"/>
  <c r="P952" i="21"/>
  <c r="J952" i="21"/>
  <c r="R952" i="21" s="1"/>
  <c r="P256" i="21"/>
  <c r="J256" i="21"/>
  <c r="R256" i="21" s="1"/>
  <c r="P1049" i="21"/>
  <c r="J1049" i="21"/>
  <c r="R1049" i="21" s="1"/>
  <c r="P985" i="21"/>
  <c r="J985" i="21"/>
  <c r="R985" i="21" s="1"/>
  <c r="P790" i="21"/>
  <c r="J790" i="21"/>
  <c r="R790" i="21" s="1"/>
  <c r="H1214" i="21"/>
  <c r="P921" i="21"/>
  <c r="J921" i="21"/>
  <c r="R921" i="21" s="1"/>
  <c r="P1082" i="21"/>
  <c r="J1082" i="21"/>
  <c r="R1082" i="21" s="1"/>
  <c r="P750" i="21"/>
  <c r="J750" i="21"/>
  <c r="R750" i="21" s="1"/>
  <c r="P763" i="21"/>
  <c r="J763" i="21"/>
  <c r="R763" i="21" s="1"/>
  <c r="P584" i="21"/>
  <c r="J584" i="21"/>
  <c r="R584" i="21" s="1"/>
  <c r="L759" i="21"/>
  <c r="L700" i="21" s="1"/>
  <c r="P1114" i="21"/>
  <c r="J1114" i="21"/>
  <c r="R1114" i="21" s="1"/>
  <c r="P122" i="21"/>
  <c r="J122" i="21"/>
  <c r="R122" i="21" s="1"/>
  <c r="L1348" i="21"/>
  <c r="N1377" i="21"/>
  <c r="P637" i="21"/>
  <c r="J637" i="21"/>
  <c r="P163" i="21"/>
  <c r="J163" i="21"/>
  <c r="R163" i="21" s="1"/>
  <c r="H6" i="15"/>
  <c r="I121" i="21"/>
  <c r="E8" i="15" s="1"/>
  <c r="Q126" i="21"/>
  <c r="Q361" i="21"/>
  <c r="I786" i="21"/>
  <c r="Q786" i="21" s="1"/>
  <c r="Q787" i="21"/>
  <c r="I1334" i="21"/>
  <c r="Q1348" i="21"/>
  <c r="I1569" i="21"/>
  <c r="Q1569" i="21" s="1"/>
  <c r="Q1570" i="21"/>
  <c r="J892" i="21"/>
  <c r="R892" i="21" s="1"/>
  <c r="R1245" i="21"/>
  <c r="Q1620" i="21"/>
  <c r="E7" i="15"/>
  <c r="Q78" i="21"/>
  <c r="P1033" i="21"/>
  <c r="J1033" i="21"/>
  <c r="R1033" i="21" s="1"/>
  <c r="P655" i="21"/>
  <c r="J655" i="21"/>
  <c r="R655" i="21" s="1"/>
  <c r="P173" i="21"/>
  <c r="J173" i="21"/>
  <c r="R173" i="21" s="1"/>
  <c r="P1269" i="21"/>
  <c r="J1269" i="21"/>
  <c r="R1269" i="21" s="1"/>
  <c r="P1175" i="21"/>
  <c r="J1175" i="21"/>
  <c r="R1175" i="21" s="1"/>
  <c r="L1009" i="21"/>
  <c r="N1009" i="21" s="1"/>
  <c r="N1074" i="21"/>
  <c r="P870" i="21"/>
  <c r="J870" i="21"/>
  <c r="R870" i="21" s="1"/>
  <c r="P616" i="21"/>
  <c r="J616" i="21"/>
  <c r="R616" i="21" s="1"/>
  <c r="P1090" i="21"/>
  <c r="J1090" i="21"/>
  <c r="R1090" i="21" s="1"/>
  <c r="P775" i="21"/>
  <c r="J775" i="21"/>
  <c r="R775" i="21" s="1"/>
  <c r="P133" i="21"/>
  <c r="J133" i="21"/>
  <c r="R133" i="21" s="1"/>
  <c r="P1208" i="21"/>
  <c r="J1208" i="21"/>
  <c r="R1208" i="21" s="1"/>
  <c r="I905" i="21"/>
  <c r="Q905" i="21" s="1"/>
  <c r="Q960" i="21"/>
  <c r="J968" i="21"/>
  <c r="R968" i="21" s="1"/>
  <c r="J565" i="21"/>
  <c r="R565" i="21" s="1"/>
  <c r="I1674" i="21"/>
  <c r="Q1674" i="21" s="1"/>
  <c r="Q1675" i="21"/>
  <c r="M1008" i="21"/>
  <c r="I1264" i="21"/>
  <c r="Q1264" i="21" s="1"/>
  <c r="Q1265" i="21"/>
  <c r="P715" i="21"/>
  <c r="J715" i="21"/>
  <c r="R715" i="21" s="1"/>
  <c r="J1675" i="21"/>
  <c r="R1675" i="21" s="1"/>
  <c r="H141" i="21"/>
  <c r="J141" i="21" s="1"/>
  <c r="J149" i="21"/>
  <c r="R149" i="21" s="1"/>
  <c r="P1040" i="21"/>
  <c r="J1040" i="21"/>
  <c r="R1040" i="21" s="1"/>
  <c r="P963" i="21"/>
  <c r="J963" i="21"/>
  <c r="R963" i="21" s="1"/>
  <c r="P772" i="21"/>
  <c r="J772" i="21"/>
  <c r="R772" i="21" s="1"/>
  <c r="P1258" i="21"/>
  <c r="J1258" i="21"/>
  <c r="R1258" i="21" s="1"/>
  <c r="P160" i="21"/>
  <c r="J160" i="21"/>
  <c r="R160" i="21" s="1"/>
  <c r="P1077" i="21"/>
  <c r="J1077" i="21"/>
  <c r="R1077" i="21" s="1"/>
  <c r="P1026" i="21"/>
  <c r="J1026" i="21"/>
  <c r="R1026" i="21" s="1"/>
  <c r="P948" i="21"/>
  <c r="J948" i="21"/>
  <c r="R948" i="21" s="1"/>
  <c r="P723" i="21"/>
  <c r="J723" i="21"/>
  <c r="R723" i="21" s="1"/>
  <c r="P1198" i="21"/>
  <c r="J1198" i="21"/>
  <c r="R1198" i="21" s="1"/>
  <c r="H1123" i="21"/>
  <c r="J1123" i="21" s="1"/>
  <c r="R1123" i="21" s="1"/>
  <c r="P863" i="21"/>
  <c r="J863" i="21"/>
  <c r="R863" i="21" s="1"/>
  <c r="P937" i="21"/>
  <c r="J937" i="21"/>
  <c r="R937" i="21" s="1"/>
  <c r="P546" i="21"/>
  <c r="J546" i="21"/>
  <c r="R546" i="21" s="1"/>
  <c r="P873" i="21"/>
  <c r="J873" i="21"/>
  <c r="R873" i="21" s="1"/>
  <c r="P1106" i="21"/>
  <c r="J1106" i="21"/>
  <c r="R1106" i="21" s="1"/>
  <c r="P705" i="21"/>
  <c r="J705" i="21"/>
  <c r="R705" i="21" s="1"/>
  <c r="P626" i="21"/>
  <c r="P249" i="21"/>
  <c r="J249" i="21"/>
  <c r="P885" i="21"/>
  <c r="J885" i="21"/>
  <c r="R885" i="21" s="1"/>
  <c r="P587" i="21"/>
  <c r="J587" i="21"/>
  <c r="R587" i="21" s="1"/>
  <c r="H701" i="21"/>
  <c r="J425" i="21"/>
  <c r="R425" i="21" s="1"/>
  <c r="E14" i="15"/>
  <c r="Q1450" i="21"/>
  <c r="J929" i="21"/>
  <c r="R929" i="21" s="1"/>
  <c r="J626" i="21"/>
  <c r="R626" i="21" s="1"/>
  <c r="G14" i="15"/>
  <c r="I14" i="15" s="1"/>
  <c r="N1450" i="21"/>
  <c r="P556" i="21"/>
  <c r="J556" i="21"/>
  <c r="R556" i="21" s="1"/>
  <c r="N389" i="21"/>
  <c r="R389" i="21" s="1"/>
  <c r="J1265" i="21"/>
  <c r="R1265" i="21" s="1"/>
  <c r="P1236" i="21"/>
  <c r="J1236" i="21"/>
  <c r="R1236" i="21" s="1"/>
  <c r="P726" i="21"/>
  <c r="J726" i="21"/>
  <c r="R726" i="21" s="1"/>
  <c r="N141" i="21"/>
  <c r="P1066" i="21"/>
  <c r="J1066" i="21"/>
  <c r="R1066" i="21" s="1"/>
  <c r="P1018" i="21"/>
  <c r="J1018" i="21"/>
  <c r="R1018" i="21" s="1"/>
  <c r="P913" i="21"/>
  <c r="J913" i="21"/>
  <c r="R913" i="21" s="1"/>
  <c r="P822" i="21"/>
  <c r="J822" i="21"/>
  <c r="R822" i="21" s="1"/>
  <c r="P815" i="21"/>
  <c r="J815" i="21"/>
  <c r="R815" i="21" s="1"/>
  <c r="P1098" i="21"/>
  <c r="J1098" i="21"/>
  <c r="P1057" i="21"/>
  <c r="J1057" i="21"/>
  <c r="R1057" i="21" s="1"/>
  <c r="P1248" i="21"/>
  <c r="J1248" i="21"/>
  <c r="R1248" i="21" s="1"/>
  <c r="L241" i="21"/>
  <c r="N287" i="21"/>
  <c r="R287" i="21" s="1"/>
  <c r="P677" i="21"/>
  <c r="J677" i="21"/>
  <c r="R677" i="21" s="1"/>
  <c r="P180" i="21"/>
  <c r="J180" i="21"/>
  <c r="P287" i="21"/>
  <c r="I5" i="21"/>
  <c r="Q6" i="21"/>
  <c r="I1204" i="21"/>
  <c r="Q1204" i="21" s="1"/>
  <c r="Q1214" i="21"/>
  <c r="R1098" i="21"/>
  <c r="J1154" i="21"/>
  <c r="R1154" i="21" s="1"/>
  <c r="R180" i="21"/>
  <c r="P1164" i="21"/>
  <c r="J1164" i="21"/>
  <c r="R1164" i="21" s="1"/>
  <c r="P647" i="21"/>
  <c r="J647" i="21"/>
  <c r="R647" i="21" s="1"/>
  <c r="P619" i="21"/>
  <c r="J619" i="21"/>
  <c r="R619" i="21" s="1"/>
  <c r="E17" i="15"/>
  <c r="Q1794" i="21"/>
  <c r="H11" i="15"/>
  <c r="H8" i="15"/>
  <c r="M700" i="21"/>
  <c r="Q759" i="21"/>
  <c r="N1223" i="21"/>
  <c r="Q1278" i="21"/>
  <c r="J1278" i="21"/>
  <c r="R1278" i="21" s="1"/>
  <c r="Q1144" i="21"/>
  <c r="I1223" i="21"/>
  <c r="J1233" i="21"/>
  <c r="R1233" i="21" s="1"/>
  <c r="Q1233" i="21"/>
  <c r="Q881" i="21"/>
  <c r="Q1009" i="21"/>
  <c r="P1754" i="21"/>
  <c r="P1576" i="21"/>
  <c r="M535" i="21"/>
  <c r="I1185" i="21"/>
  <c r="Q1185" i="21" s="1"/>
  <c r="J378" i="21"/>
  <c r="R378" i="21" s="1"/>
  <c r="I374" i="21"/>
  <c r="P389" i="21"/>
  <c r="H812" i="21"/>
  <c r="P812" i="21" s="1"/>
  <c r="H674" i="21"/>
  <c r="H420" i="21"/>
  <c r="P420" i="21" s="1"/>
  <c r="H945" i="21"/>
  <c r="H747" i="21"/>
  <c r="H702" i="21"/>
  <c r="P740" i="21"/>
  <c r="H737" i="21"/>
  <c r="H787" i="21"/>
  <c r="H1264" i="21"/>
  <c r="H1737" i="21"/>
  <c r="J1737" i="21" s="1"/>
  <c r="R1737" i="21" s="1"/>
  <c r="H1541" i="21"/>
  <c r="J1541" i="21" s="1"/>
  <c r="R1541" i="21" s="1"/>
  <c r="H1570" i="21"/>
  <c r="J1570" i="21" s="1"/>
  <c r="R1570" i="21" s="1"/>
  <c r="H1562" i="21"/>
  <c r="J1562" i="21" s="1"/>
  <c r="R1562" i="21" s="1"/>
  <c r="H1451" i="21"/>
  <c r="J1451" i="21" s="1"/>
  <c r="R1451" i="21" s="1"/>
  <c r="P1453" i="21"/>
  <c r="P1352" i="21"/>
  <c r="H1395" i="21"/>
  <c r="P1396" i="21"/>
  <c r="H1379" i="21"/>
  <c r="J1379" i="21" s="1"/>
  <c r="R1379" i="21" s="1"/>
  <c r="P1382" i="21"/>
  <c r="P1010" i="21"/>
  <c r="P850" i="21"/>
  <c r="H847" i="21"/>
  <c r="P1189" i="21"/>
  <c r="H1186" i="21"/>
  <c r="J1186" i="21" s="1"/>
  <c r="R1186" i="21" s="1"/>
  <c r="P760" i="21"/>
  <c r="H759" i="21"/>
  <c r="P1205" i="21"/>
  <c r="P540" i="21"/>
  <c r="H836" i="21"/>
  <c r="J836" i="21" s="1"/>
  <c r="R836" i="21" s="1"/>
  <c r="H982" i="21"/>
  <c r="H860" i="21"/>
  <c r="J860" i="21" s="1"/>
  <c r="R860" i="21" s="1"/>
  <c r="H1163" i="21"/>
  <c r="H1074" i="21"/>
  <c r="H960" i="21"/>
  <c r="H1195" i="21"/>
  <c r="H711" i="21"/>
  <c r="J711" i="21" s="1"/>
  <c r="R711" i="21" s="1"/>
  <c r="P712" i="21"/>
  <c r="H1223" i="21"/>
  <c r="P1223" i="21" s="1"/>
  <c r="P1224" i="21"/>
  <c r="P906" i="21"/>
  <c r="P1245" i="21"/>
  <c r="P882" i="21"/>
  <c r="H881" i="21"/>
  <c r="P881" i="21" s="1"/>
  <c r="H664" i="21"/>
  <c r="P667" i="21"/>
  <c r="H1144" i="21"/>
  <c r="P1144" i="21" s="1"/>
  <c r="H1255" i="21"/>
  <c r="P416" i="21"/>
  <c r="P436" i="21"/>
  <c r="L415" i="21"/>
  <c r="G11" i="15" s="1"/>
  <c r="H361" i="21"/>
  <c r="J361" i="21" s="1"/>
  <c r="R361" i="21" s="1"/>
  <c r="P364" i="21"/>
  <c r="H298" i="21"/>
  <c r="P299" i="21"/>
  <c r="P270" i="21"/>
  <c r="H267" i="21"/>
  <c r="J267" i="21" s="1"/>
  <c r="R267" i="21" s="1"/>
  <c r="P246" i="21"/>
  <c r="H78" i="21"/>
  <c r="P79" i="21"/>
  <c r="I153" i="7"/>
  <c r="I24" i="7" s="1"/>
  <c r="I256" i="7" s="1"/>
  <c r="I536" i="21" l="1"/>
  <c r="I535" i="21" s="1"/>
  <c r="J1466" i="21"/>
  <c r="R1466" i="21" s="1"/>
  <c r="P799" i="21"/>
  <c r="N126" i="21"/>
  <c r="R126" i="21" s="1"/>
  <c r="E9" i="15"/>
  <c r="K9" i="15" s="1"/>
  <c r="Q121" i="21"/>
  <c r="I1655" i="21"/>
  <c r="P378" i="21"/>
  <c r="B645" i="21"/>
  <c r="B646" i="21" s="1"/>
  <c r="B647" i="21" s="1"/>
  <c r="B648" i="21" s="1"/>
  <c r="B649" i="21" s="1"/>
  <c r="B650" i="21" s="1"/>
  <c r="B651" i="21" s="1"/>
  <c r="B652" i="21" s="1"/>
  <c r="B653" i="21" s="1"/>
  <c r="R637" i="21"/>
  <c r="P1796" i="21"/>
  <c r="L121" i="21"/>
  <c r="G8" i="15" s="1"/>
  <c r="I8" i="15" s="1"/>
  <c r="H276" i="21"/>
  <c r="P276" i="21" s="1"/>
  <c r="I415" i="21"/>
  <c r="E11" i="15" s="1"/>
  <c r="K11" i="15" s="1"/>
  <c r="N360" i="21"/>
  <c r="H1794" i="21"/>
  <c r="J1794" i="21" s="1"/>
  <c r="R1794" i="21" s="1"/>
  <c r="N700" i="21"/>
  <c r="P604" i="21"/>
  <c r="H1506" i="21"/>
  <c r="J1506" i="21" s="1"/>
  <c r="R1506" i="21" s="1"/>
  <c r="I700" i="21"/>
  <c r="Q700" i="21" s="1"/>
  <c r="J881" i="21"/>
  <c r="R881" i="21" s="1"/>
  <c r="L1008" i="21"/>
  <c r="L534" i="21" s="1"/>
  <c r="G12" i="15" s="1"/>
  <c r="H736" i="21"/>
  <c r="P736" i="21" s="1"/>
  <c r="J1700" i="21"/>
  <c r="R1700" i="21" s="1"/>
  <c r="H1699" i="21"/>
  <c r="J1699" i="21" s="1"/>
  <c r="R1699" i="21" s="1"/>
  <c r="H1655" i="21"/>
  <c r="J1655" i="21" s="1"/>
  <c r="R1655" i="21" s="1"/>
  <c r="N535" i="21"/>
  <c r="N759" i="21"/>
  <c r="N536" i="21"/>
  <c r="P1123" i="21"/>
  <c r="H121" i="21"/>
  <c r="J121" i="21" s="1"/>
  <c r="P277" i="21"/>
  <c r="H905" i="21"/>
  <c r="P905" i="21" s="1"/>
  <c r="I1505" i="21"/>
  <c r="E15" i="15" s="1"/>
  <c r="K15" i="15" s="1"/>
  <c r="I285" i="7"/>
  <c r="E3" i="15" s="1"/>
  <c r="N415" i="21"/>
  <c r="R141" i="21"/>
  <c r="P1214" i="21"/>
  <c r="J1214" i="21"/>
  <c r="R1214" i="21" s="1"/>
  <c r="J276" i="21"/>
  <c r="R276" i="21" s="1"/>
  <c r="P1255" i="21"/>
  <c r="J1255" i="21"/>
  <c r="R1255" i="21" s="1"/>
  <c r="P1195" i="21"/>
  <c r="J1195" i="21"/>
  <c r="R1195" i="21" s="1"/>
  <c r="P1163" i="21"/>
  <c r="J1163" i="21"/>
  <c r="R1163" i="21" s="1"/>
  <c r="P759" i="21"/>
  <c r="J759" i="21"/>
  <c r="P847" i="21"/>
  <c r="J847" i="21"/>
  <c r="R847" i="21" s="1"/>
  <c r="P1264" i="21"/>
  <c r="J1264" i="21"/>
  <c r="R1264" i="21" s="1"/>
  <c r="P702" i="21"/>
  <c r="J702" i="21"/>
  <c r="R702" i="21" s="1"/>
  <c r="P674" i="21"/>
  <c r="J674" i="21"/>
  <c r="R674" i="21" s="1"/>
  <c r="J420" i="21"/>
  <c r="R420" i="21" s="1"/>
  <c r="I1122" i="21"/>
  <c r="I1008" i="21" s="1"/>
  <c r="P141" i="21"/>
  <c r="P701" i="21"/>
  <c r="J701" i="21"/>
  <c r="R701" i="21" s="1"/>
  <c r="E13" i="15"/>
  <c r="Q1334" i="21"/>
  <c r="P78" i="21"/>
  <c r="D7" i="15"/>
  <c r="F7" i="15" s="1"/>
  <c r="J78" i="21"/>
  <c r="R78" i="21" s="1"/>
  <c r="H786" i="21"/>
  <c r="J787" i="21"/>
  <c r="R787" i="21" s="1"/>
  <c r="R249" i="21"/>
  <c r="J246" i="21"/>
  <c r="R246" i="21" s="1"/>
  <c r="P664" i="21"/>
  <c r="J664" i="21"/>
  <c r="R664" i="21" s="1"/>
  <c r="E6" i="15"/>
  <c r="K6" i="15" s="1"/>
  <c r="Q5" i="21"/>
  <c r="K14" i="15"/>
  <c r="P960" i="21"/>
  <c r="J960" i="21"/>
  <c r="R960" i="21" s="1"/>
  <c r="P747" i="21"/>
  <c r="J747" i="21"/>
  <c r="R747" i="21" s="1"/>
  <c r="H811" i="21"/>
  <c r="J812" i="21"/>
  <c r="R812" i="21" s="1"/>
  <c r="J374" i="21"/>
  <c r="R374" i="21" s="1"/>
  <c r="Q374" i="21"/>
  <c r="J1144" i="21"/>
  <c r="R1144" i="21" s="1"/>
  <c r="P298" i="21"/>
  <c r="J298" i="21"/>
  <c r="R298" i="21" s="1"/>
  <c r="H415" i="21"/>
  <c r="D11" i="15" s="1"/>
  <c r="P1074" i="21"/>
  <c r="J1074" i="21"/>
  <c r="R1074" i="21" s="1"/>
  <c r="P982" i="21"/>
  <c r="J982" i="21"/>
  <c r="R982" i="21" s="1"/>
  <c r="H1204" i="21"/>
  <c r="P1395" i="21"/>
  <c r="J1395" i="21"/>
  <c r="R1395" i="21" s="1"/>
  <c r="P737" i="21"/>
  <c r="J737" i="21"/>
  <c r="R737" i="21" s="1"/>
  <c r="P945" i="21"/>
  <c r="J945" i="21"/>
  <c r="R945" i="21" s="1"/>
  <c r="G9" i="15"/>
  <c r="I9" i="15" s="1"/>
  <c r="N241" i="21"/>
  <c r="J1674" i="21"/>
  <c r="R1674" i="21" s="1"/>
  <c r="K7" i="15"/>
  <c r="L1334" i="21"/>
  <c r="N1348" i="21"/>
  <c r="P993" i="21"/>
  <c r="J993" i="21"/>
  <c r="R993" i="21" s="1"/>
  <c r="K17" i="15"/>
  <c r="I11" i="15"/>
  <c r="K8" i="15"/>
  <c r="Q535" i="21"/>
  <c r="Q536" i="21"/>
  <c r="J1223" i="21"/>
  <c r="R1223" i="21" s="1"/>
  <c r="Q1223" i="21"/>
  <c r="P1753" i="21"/>
  <c r="P1575" i="21"/>
  <c r="I360" i="21"/>
  <c r="P787" i="21"/>
  <c r="H1569" i="21"/>
  <c r="J1569" i="21" s="1"/>
  <c r="R1569" i="21" s="1"/>
  <c r="H1561" i="21"/>
  <c r="J1561" i="21" s="1"/>
  <c r="R1561" i="21" s="1"/>
  <c r="H1450" i="21"/>
  <c r="P1451" i="21"/>
  <c r="P1379" i="21"/>
  <c r="H1377" i="21"/>
  <c r="J1377" i="21" s="1"/>
  <c r="R1377" i="21" s="1"/>
  <c r="P711" i="21"/>
  <c r="P1186" i="21"/>
  <c r="H1185" i="21"/>
  <c r="P860" i="21"/>
  <c r="H859" i="21"/>
  <c r="P537" i="21"/>
  <c r="H536" i="21"/>
  <c r="J536" i="21" s="1"/>
  <c r="P836" i="21"/>
  <c r="H835" i="21"/>
  <c r="H1244" i="21"/>
  <c r="H1009" i="21"/>
  <c r="J1009" i="21" s="1"/>
  <c r="R1009" i="21" s="1"/>
  <c r="H360" i="21"/>
  <c r="P361" i="21"/>
  <c r="H266" i="21"/>
  <c r="J266" i="21" s="1"/>
  <c r="R266" i="21" s="1"/>
  <c r="P267" i="21"/>
  <c r="J736" i="21" l="1"/>
  <c r="R736" i="21" s="1"/>
  <c r="H700" i="21"/>
  <c r="Q1505" i="21"/>
  <c r="Q1655" i="21"/>
  <c r="I1619" i="21"/>
  <c r="Q415" i="21"/>
  <c r="B654" i="21"/>
  <c r="B655" i="21" s="1"/>
  <c r="B656" i="21" s="1"/>
  <c r="B657" i="21" s="1"/>
  <c r="B658" i="21" s="1"/>
  <c r="B659" i="21" s="1"/>
  <c r="B660" i="21" s="1"/>
  <c r="B661" i="21" s="1"/>
  <c r="B662" i="21" s="1"/>
  <c r="N121" i="21"/>
  <c r="R121" i="21" s="1"/>
  <c r="D17" i="15"/>
  <c r="F17" i="15" s="1"/>
  <c r="P415" i="21"/>
  <c r="N1008" i="21"/>
  <c r="P1794" i="21"/>
  <c r="H1619" i="21"/>
  <c r="D16" i="15" s="1"/>
  <c r="R536" i="21"/>
  <c r="Q1122" i="21"/>
  <c r="R759" i="21"/>
  <c r="I287" i="7"/>
  <c r="D8" i="15"/>
  <c r="F8" i="15" s="1"/>
  <c r="P121" i="21"/>
  <c r="J905" i="21"/>
  <c r="R905" i="21" s="1"/>
  <c r="P1244" i="21"/>
  <c r="J1244" i="21"/>
  <c r="R1244" i="21" s="1"/>
  <c r="J360" i="21"/>
  <c r="R360" i="21" s="1"/>
  <c r="E10" i="15"/>
  <c r="Q360" i="21"/>
  <c r="P360" i="21"/>
  <c r="D10" i="15"/>
  <c r="P835" i="21"/>
  <c r="J835" i="21"/>
  <c r="R835" i="21" s="1"/>
  <c r="P859" i="21"/>
  <c r="J859" i="21"/>
  <c r="R859" i="21" s="1"/>
  <c r="P1450" i="21"/>
  <c r="D14" i="15"/>
  <c r="F14" i="15" s="1"/>
  <c r="J1450" i="21"/>
  <c r="R1450" i="21" s="1"/>
  <c r="K13" i="15"/>
  <c r="P786" i="21"/>
  <c r="J786" i="21"/>
  <c r="R786" i="21" s="1"/>
  <c r="H1122" i="21"/>
  <c r="H1008" i="21" s="1"/>
  <c r="P1008" i="21" s="1"/>
  <c r="P1185" i="21"/>
  <c r="J1185" i="21"/>
  <c r="R1185" i="21" s="1"/>
  <c r="G13" i="15"/>
  <c r="I13" i="15" s="1"/>
  <c r="N1334" i="21"/>
  <c r="P811" i="21"/>
  <c r="J811" i="21"/>
  <c r="R811" i="21" s="1"/>
  <c r="F11" i="15"/>
  <c r="P1204" i="21"/>
  <c r="J1204" i="21"/>
  <c r="R1204" i="21" s="1"/>
  <c r="J415" i="21"/>
  <c r="R415" i="21" s="1"/>
  <c r="K3" i="15"/>
  <c r="M534" i="21"/>
  <c r="H12" i="15" s="1"/>
  <c r="I534" i="21"/>
  <c r="E12" i="15" s="1"/>
  <c r="Q1008" i="21"/>
  <c r="P1752" i="21"/>
  <c r="P1574" i="21"/>
  <c r="H1505" i="21"/>
  <c r="P1377" i="21"/>
  <c r="H1348" i="21"/>
  <c r="J1348" i="21" s="1"/>
  <c r="R1348" i="21" s="1"/>
  <c r="P536" i="21"/>
  <c r="H535" i="21"/>
  <c r="J535" i="21" s="1"/>
  <c r="R535" i="21" s="1"/>
  <c r="P1009" i="21"/>
  <c r="P266" i="21"/>
  <c r="H241" i="21"/>
  <c r="Q1619" i="21" l="1"/>
  <c r="E16" i="15"/>
  <c r="K16" i="15" s="1"/>
  <c r="B663" i="21"/>
  <c r="B664" i="21" s="1"/>
  <c r="B665" i="21" s="1"/>
  <c r="B666" i="21" s="1"/>
  <c r="B667" i="21" s="1"/>
  <c r="B668" i="21" s="1"/>
  <c r="B669" i="21" s="1"/>
  <c r="B670" i="21" s="1"/>
  <c r="B671" i="21" s="1"/>
  <c r="B672" i="21" s="1"/>
  <c r="B673" i="21" s="1"/>
  <c r="B674" i="21" s="1"/>
  <c r="B675" i="21" s="1"/>
  <c r="B676" i="21" s="1"/>
  <c r="B677" i="21" s="1"/>
  <c r="B678" i="21" s="1"/>
  <c r="B679" i="21" s="1"/>
  <c r="B680" i="21" s="1"/>
  <c r="B681" i="21" s="1"/>
  <c r="B682" i="21" s="1"/>
  <c r="B683" i="21" s="1"/>
  <c r="B684" i="21" s="1"/>
  <c r="B685" i="21" s="1"/>
  <c r="B686" i="21" s="1"/>
  <c r="B687" i="21" s="1"/>
  <c r="B688" i="21" s="1"/>
  <c r="B689" i="21" s="1"/>
  <c r="B690" i="21" s="1"/>
  <c r="B691" i="21" s="1"/>
  <c r="B692" i="21" s="1"/>
  <c r="B693" i="21" s="1"/>
  <c r="B694" i="21" s="1"/>
  <c r="B695" i="21" s="1"/>
  <c r="B696" i="21" s="1"/>
  <c r="B697" i="21" s="1"/>
  <c r="B698" i="21" s="1"/>
  <c r="B699" i="21" s="1"/>
  <c r="B700" i="21" s="1"/>
  <c r="B701" i="21" s="1"/>
  <c r="B702" i="21" s="1"/>
  <c r="B703" i="21" s="1"/>
  <c r="B704" i="21" s="1"/>
  <c r="B705" i="21" s="1"/>
  <c r="B706" i="21" s="1"/>
  <c r="B707" i="21" s="1"/>
  <c r="B708" i="21" s="1"/>
  <c r="B709" i="21" s="1"/>
  <c r="B710" i="21" s="1"/>
  <c r="B711" i="21" s="1"/>
  <c r="B712" i="21" s="1"/>
  <c r="B713" i="21" s="1"/>
  <c r="B714" i="21" s="1"/>
  <c r="B715" i="21" s="1"/>
  <c r="B716" i="21" s="1"/>
  <c r="B717" i="21" s="1"/>
  <c r="B718" i="21" s="1"/>
  <c r="B719" i="21" s="1"/>
  <c r="B720" i="21" s="1"/>
  <c r="B721" i="21" s="1"/>
  <c r="B722" i="21" s="1"/>
  <c r="B723" i="21" s="1"/>
  <c r="B724" i="21" s="1"/>
  <c r="B725" i="21" s="1"/>
  <c r="B726" i="21" s="1"/>
  <c r="B727" i="21" s="1"/>
  <c r="B728" i="21" s="1"/>
  <c r="B729" i="21" s="1"/>
  <c r="B730" i="21" s="1"/>
  <c r="B731" i="21" s="1"/>
  <c r="J1619" i="21"/>
  <c r="P241" i="21"/>
  <c r="D9" i="15"/>
  <c r="F9" i="15" s="1"/>
  <c r="J241" i="21"/>
  <c r="R241" i="21" s="1"/>
  <c r="F10" i="15"/>
  <c r="K10" i="15"/>
  <c r="P1122" i="21"/>
  <c r="J1122" i="21"/>
  <c r="R1122" i="21" s="1"/>
  <c r="J1008" i="21"/>
  <c r="R1008" i="21" s="1"/>
  <c r="D15" i="15"/>
  <c r="F15" i="15" s="1"/>
  <c r="J1505" i="21"/>
  <c r="P700" i="21"/>
  <c r="J700" i="21"/>
  <c r="R700" i="21" s="1"/>
  <c r="N534" i="21"/>
  <c r="Q534" i="21"/>
  <c r="K12" i="15"/>
  <c r="H4" i="15"/>
  <c r="I12" i="15"/>
  <c r="P1751" i="21"/>
  <c r="P1573" i="21"/>
  <c r="H1334" i="21"/>
  <c r="P1348" i="21"/>
  <c r="P535" i="21"/>
  <c r="H534" i="21"/>
  <c r="J534" i="21" s="1"/>
  <c r="B732" i="21" l="1"/>
  <c r="B733" i="21" s="1"/>
  <c r="B734" i="21" s="1"/>
  <c r="B735" i="21" s="1"/>
  <c r="B736" i="21" s="1"/>
  <c r="B737" i="21" s="1"/>
  <c r="B738" i="21" s="1"/>
  <c r="B739" i="21" s="1"/>
  <c r="B740" i="21" s="1"/>
  <c r="B741" i="21" s="1"/>
  <c r="B742" i="21" s="1"/>
  <c r="B743" i="21" s="1"/>
  <c r="B744" i="21" s="1"/>
  <c r="B745" i="21" s="1"/>
  <c r="B746" i="21" s="1"/>
  <c r="B747" i="21" s="1"/>
  <c r="B748" i="21" s="1"/>
  <c r="B749" i="21" s="1"/>
  <c r="B750" i="21" s="1"/>
  <c r="B751" i="21" s="1"/>
  <c r="B752" i="21" s="1"/>
  <c r="B753" i="21" s="1"/>
  <c r="B754" i="21" s="1"/>
  <c r="B755" i="21" s="1"/>
  <c r="B756" i="21" s="1"/>
  <c r="B757" i="21" s="1"/>
  <c r="B758" i="21" s="1"/>
  <c r="B759" i="21" s="1"/>
  <c r="B760" i="21" s="1"/>
  <c r="B761" i="21" s="1"/>
  <c r="B762" i="21" s="1"/>
  <c r="B763" i="21" s="1"/>
  <c r="B764" i="21" s="1"/>
  <c r="B765" i="21" s="1"/>
  <c r="B766" i="21" s="1"/>
  <c r="B767" i="21" s="1"/>
  <c r="B768" i="21" s="1"/>
  <c r="B769" i="21" s="1"/>
  <c r="B770" i="21" s="1"/>
  <c r="B771" i="21" s="1"/>
  <c r="B772" i="21" s="1"/>
  <c r="B773" i="21" s="1"/>
  <c r="B774" i="21" s="1"/>
  <c r="B775" i="21" s="1"/>
  <c r="B776" i="21" s="1"/>
  <c r="B777" i="21" s="1"/>
  <c r="B778" i="21" s="1"/>
  <c r="B779" i="21" s="1"/>
  <c r="B780" i="21" s="1"/>
  <c r="B781" i="21" s="1"/>
  <c r="B782" i="21" s="1"/>
  <c r="B783" i="21" s="1"/>
  <c r="B784" i="21" s="1"/>
  <c r="B785" i="21" s="1"/>
  <c r="B786" i="21" s="1"/>
  <c r="B787" i="21" s="1"/>
  <c r="B788" i="21" s="1"/>
  <c r="B789" i="21" s="1"/>
  <c r="B790" i="21" s="1"/>
  <c r="B791" i="21" s="1"/>
  <c r="B792" i="21" s="1"/>
  <c r="B793" i="21" s="1"/>
  <c r="B794" i="21" s="1"/>
  <c r="B795" i="21" s="1"/>
  <c r="B796" i="21" s="1"/>
  <c r="B797" i="21" s="1"/>
  <c r="B798" i="21" s="1"/>
  <c r="B799" i="21" s="1"/>
  <c r="B800" i="21" s="1"/>
  <c r="B801" i="21" s="1"/>
  <c r="B802" i="21" s="1"/>
  <c r="B803" i="21" s="1"/>
  <c r="B804" i="21" s="1"/>
  <c r="B805" i="21" s="1"/>
  <c r="B806" i="21" s="1"/>
  <c r="B807" i="21" s="1"/>
  <c r="B808" i="21" s="1"/>
  <c r="B809" i="21" s="1"/>
  <c r="B810" i="21" s="1"/>
  <c r="B811" i="21" s="1"/>
  <c r="B812" i="21" s="1"/>
  <c r="B813" i="21" s="1"/>
  <c r="B814" i="21" s="1"/>
  <c r="B815" i="21" s="1"/>
  <c r="B816" i="21" s="1"/>
  <c r="B817" i="21" s="1"/>
  <c r="B818" i="21" s="1"/>
  <c r="B819" i="21" s="1"/>
  <c r="B820" i="21" s="1"/>
  <c r="B821" i="21" s="1"/>
  <c r="B822" i="21" s="1"/>
  <c r="B823" i="21" s="1"/>
  <c r="B824" i="21" s="1"/>
  <c r="B825" i="21" s="1"/>
  <c r="B826" i="21" s="1"/>
  <c r="B827" i="21" s="1"/>
  <c r="B828" i="21" s="1"/>
  <c r="B829" i="21" s="1"/>
  <c r="B830" i="21" s="1"/>
  <c r="B831" i="21" s="1"/>
  <c r="B832" i="21" s="1"/>
  <c r="B833" i="21" s="1"/>
  <c r="B834" i="21" s="1"/>
  <c r="B835" i="21" s="1"/>
  <c r="B836" i="21" s="1"/>
  <c r="B837" i="21" s="1"/>
  <c r="B838" i="21" s="1"/>
  <c r="B839" i="21" s="1"/>
  <c r="B840" i="21" s="1"/>
  <c r="B841" i="21" s="1"/>
  <c r="B842" i="21" s="1"/>
  <c r="B843" i="21" s="1"/>
  <c r="E4" i="15"/>
  <c r="E18" i="15" s="1"/>
  <c r="F16" i="15"/>
  <c r="P1334" i="21"/>
  <c r="D13" i="15"/>
  <c r="F13" i="15" s="1"/>
  <c r="J1334" i="21"/>
  <c r="R1334" i="21" s="1"/>
  <c r="R534" i="21"/>
  <c r="P534" i="21"/>
  <c r="D12" i="15"/>
  <c r="F12" i="15" s="1"/>
  <c r="H20" i="15"/>
  <c r="P1750" i="21"/>
  <c r="P1572" i="21"/>
  <c r="B844" i="21" l="1"/>
  <c r="B845" i="21" s="1"/>
  <c r="B846" i="21" s="1"/>
  <c r="B847" i="21" s="1"/>
  <c r="B848" i="21" s="1"/>
  <c r="B849" i="21" s="1"/>
  <c r="B850" i="21" s="1"/>
  <c r="B851" i="21" s="1"/>
  <c r="B852" i="21" s="1"/>
  <c r="B853" i="21" s="1"/>
  <c r="B854" i="21" s="1"/>
  <c r="B855" i="21" s="1"/>
  <c r="B856" i="21" s="1"/>
  <c r="B857" i="21" s="1"/>
  <c r="B858" i="21" s="1"/>
  <c r="B859" i="21" s="1"/>
  <c r="B860" i="21" s="1"/>
  <c r="B861" i="21" s="1"/>
  <c r="B862" i="21" s="1"/>
  <c r="B863" i="21" s="1"/>
  <c r="B864" i="21" s="1"/>
  <c r="B865" i="21" s="1"/>
  <c r="B866" i="21" s="1"/>
  <c r="B867" i="21" s="1"/>
  <c r="B868" i="21" s="1"/>
  <c r="B869" i="21" s="1"/>
  <c r="B870" i="21" s="1"/>
  <c r="B871" i="21" s="1"/>
  <c r="B872" i="21" s="1"/>
  <c r="B873" i="21" s="1"/>
  <c r="B874" i="21" s="1"/>
  <c r="B875" i="21" s="1"/>
  <c r="B876" i="21" s="1"/>
  <c r="B877" i="21" s="1"/>
  <c r="B878" i="21" s="1"/>
  <c r="B879" i="21" s="1"/>
  <c r="B880" i="21" s="1"/>
  <c r="B881" i="21" s="1"/>
  <c r="B882" i="21" s="1"/>
  <c r="B883" i="21" s="1"/>
  <c r="B884" i="21" s="1"/>
  <c r="B885" i="21" s="1"/>
  <c r="B886" i="21" s="1"/>
  <c r="B887" i="21" s="1"/>
  <c r="B888" i="21" s="1"/>
  <c r="B889" i="21" s="1"/>
  <c r="B890" i="21" s="1"/>
  <c r="B891" i="21" s="1"/>
  <c r="B892" i="21" s="1"/>
  <c r="B893" i="21" s="1"/>
  <c r="B894" i="21" s="1"/>
  <c r="B895" i="21" s="1"/>
  <c r="B896" i="21" s="1"/>
  <c r="B897" i="21" s="1"/>
  <c r="B898" i="21" s="1"/>
  <c r="B899" i="21" s="1"/>
  <c r="B900" i="21" s="1"/>
  <c r="B901" i="21" s="1"/>
  <c r="B902" i="21" s="1"/>
  <c r="B903" i="21" s="1"/>
  <c r="B904" i="21" s="1"/>
  <c r="B905" i="21" s="1"/>
  <c r="B906" i="21" s="1"/>
  <c r="B907" i="21" s="1"/>
  <c r="B908" i="21" s="1"/>
  <c r="B909" i="21" s="1"/>
  <c r="B910" i="21" s="1"/>
  <c r="B911" i="21" s="1"/>
  <c r="B912" i="21" s="1"/>
  <c r="B913" i="21" s="1"/>
  <c r="B914" i="21" s="1"/>
  <c r="B915" i="21" s="1"/>
  <c r="B916" i="21" s="1"/>
  <c r="B917" i="21" s="1"/>
  <c r="B918" i="21" s="1"/>
  <c r="B919" i="21" s="1"/>
  <c r="B920" i="21" s="1"/>
  <c r="B921" i="21" s="1"/>
  <c r="B922" i="21" s="1"/>
  <c r="B923" i="21" s="1"/>
  <c r="B924" i="21" s="1"/>
  <c r="B925" i="21" s="1"/>
  <c r="B926" i="21" s="1"/>
  <c r="B927" i="21" s="1"/>
  <c r="B928" i="21" s="1"/>
  <c r="B929" i="21" s="1"/>
  <c r="B930" i="21" s="1"/>
  <c r="B931" i="21" s="1"/>
  <c r="B932" i="21" s="1"/>
  <c r="B933" i="21" s="1"/>
  <c r="B934" i="21" s="1"/>
  <c r="B935" i="21" s="1"/>
  <c r="B936" i="21" s="1"/>
  <c r="B937" i="21" s="1"/>
  <c r="B938" i="21" s="1"/>
  <c r="B939" i="21" s="1"/>
  <c r="B940" i="21" s="1"/>
  <c r="B941" i="21" s="1"/>
  <c r="B942" i="21" s="1"/>
  <c r="B943" i="21" s="1"/>
  <c r="B944" i="21" s="1"/>
  <c r="B945" i="21" s="1"/>
  <c r="B946" i="21" s="1"/>
  <c r="B947" i="21" s="1"/>
  <c r="B948" i="21" s="1"/>
  <c r="B949" i="21" s="1"/>
  <c r="B950" i="21" s="1"/>
  <c r="B951" i="21" s="1"/>
  <c r="B952" i="21" s="1"/>
  <c r="B953" i="21" s="1"/>
  <c r="B954" i="21" s="1"/>
  <c r="B955" i="21" s="1"/>
  <c r="B956" i="21" s="1"/>
  <c r="B957" i="21" s="1"/>
  <c r="B958" i="21" s="1"/>
  <c r="B959" i="21" s="1"/>
  <c r="B960" i="21" s="1"/>
  <c r="B961" i="21" s="1"/>
  <c r="B962" i="21" s="1"/>
  <c r="B963" i="21" s="1"/>
  <c r="B964" i="21" s="1"/>
  <c r="B965" i="21" s="1"/>
  <c r="B966" i="21" s="1"/>
  <c r="B967" i="21" s="1"/>
  <c r="B968" i="21" s="1"/>
  <c r="B969" i="21" s="1"/>
  <c r="B970" i="21" s="1"/>
  <c r="B971" i="21" s="1"/>
  <c r="B972" i="21" s="1"/>
  <c r="B973" i="21" s="1"/>
  <c r="B974" i="21" s="1"/>
  <c r="B975" i="21" s="1"/>
  <c r="B976" i="21" s="1"/>
  <c r="B977" i="21" s="1"/>
  <c r="B978" i="21" s="1"/>
  <c r="B979" i="21" s="1"/>
  <c r="B980" i="21" s="1"/>
  <c r="B981" i="21" s="1"/>
  <c r="B982" i="21" s="1"/>
  <c r="B983" i="21" s="1"/>
  <c r="B984" i="21" s="1"/>
  <c r="B985" i="21" s="1"/>
  <c r="B986" i="21" s="1"/>
  <c r="B987" i="21" s="1"/>
  <c r="B988" i="21" s="1"/>
  <c r="B989" i="21" s="1"/>
  <c r="B990" i="21" s="1"/>
  <c r="B991" i="21" s="1"/>
  <c r="B992" i="21" s="1"/>
  <c r="B993" i="21" s="1"/>
  <c r="B994" i="21" s="1"/>
  <c r="B995" i="21" s="1"/>
  <c r="B996" i="21" s="1"/>
  <c r="B997" i="21" s="1"/>
  <c r="B998" i="21" s="1"/>
  <c r="B999" i="21" s="1"/>
  <c r="B1000" i="21" s="1"/>
  <c r="B1001" i="21" s="1"/>
  <c r="B1002" i="21" s="1"/>
  <c r="B1003" i="21" s="1"/>
  <c r="B1004" i="21" s="1"/>
  <c r="B1005" i="21" s="1"/>
  <c r="B1006" i="21" s="1"/>
  <c r="B1007" i="21" s="1"/>
  <c r="B1008" i="21" s="1"/>
  <c r="B1009" i="21" s="1"/>
  <c r="B1010" i="21" s="1"/>
  <c r="B1011" i="21" s="1"/>
  <c r="B1012" i="21" s="1"/>
  <c r="B1013" i="21" s="1"/>
  <c r="B1014" i="21" s="1"/>
  <c r="B1015" i="21" s="1"/>
  <c r="B1016" i="21" s="1"/>
  <c r="B1017" i="21" s="1"/>
  <c r="B1018" i="21" s="1"/>
  <c r="B1019" i="21" s="1"/>
  <c r="B1020" i="21" s="1"/>
  <c r="B1021" i="21" s="1"/>
  <c r="B1022" i="21" s="1"/>
  <c r="B1023" i="21" s="1"/>
  <c r="B1024" i="21" s="1"/>
  <c r="B1025" i="21" s="1"/>
  <c r="B1026" i="21" s="1"/>
  <c r="B1027" i="21" s="1"/>
  <c r="B1028" i="21" s="1"/>
  <c r="B1029" i="21" s="1"/>
  <c r="B1030" i="21" s="1"/>
  <c r="B1031" i="21" s="1"/>
  <c r="B1032" i="21" s="1"/>
  <c r="B1033" i="21" s="1"/>
  <c r="B1034" i="21" s="1"/>
  <c r="B1035" i="21" s="1"/>
  <c r="B1036" i="21" s="1"/>
  <c r="B1037" i="21" s="1"/>
  <c r="B1038" i="21" s="1"/>
  <c r="B1039" i="21" s="1"/>
  <c r="B1040" i="21" s="1"/>
  <c r="B1041" i="21" s="1"/>
  <c r="B1042" i="21" s="1"/>
  <c r="B1043" i="21" s="1"/>
  <c r="B1044" i="21" s="1"/>
  <c r="B1045" i="21" s="1"/>
  <c r="B1046" i="21" s="1"/>
  <c r="B1047" i="21" s="1"/>
  <c r="B1048" i="21" s="1"/>
  <c r="B1049" i="21" s="1"/>
  <c r="B1050" i="21" s="1"/>
  <c r="B1051" i="21" s="1"/>
  <c r="B1052" i="21" s="1"/>
  <c r="B1053" i="21" s="1"/>
  <c r="B1054" i="21" s="1"/>
  <c r="B1055" i="21" s="1"/>
  <c r="B1056" i="21" s="1"/>
  <c r="B1057" i="21" s="1"/>
  <c r="B1058" i="21" s="1"/>
  <c r="B1059" i="21" s="1"/>
  <c r="B1060" i="21" s="1"/>
  <c r="B1061" i="21" s="1"/>
  <c r="B1062" i="21" s="1"/>
  <c r="B1063" i="21" s="1"/>
  <c r="B1064" i="21" s="1"/>
  <c r="B1065" i="21" s="1"/>
  <c r="B1066" i="21" s="1"/>
  <c r="B1067" i="21" s="1"/>
  <c r="B1068" i="21" s="1"/>
  <c r="B1069" i="21" s="1"/>
  <c r="B1070" i="21" s="1"/>
  <c r="B1071" i="21" s="1"/>
  <c r="B1072" i="21" s="1"/>
  <c r="B1073" i="21" s="1"/>
  <c r="B1074" i="21" s="1"/>
  <c r="B1075" i="21" s="1"/>
  <c r="B1076" i="21" s="1"/>
  <c r="B1077" i="21" s="1"/>
  <c r="B1078" i="21" s="1"/>
  <c r="B1079" i="21" s="1"/>
  <c r="B1080" i="21" s="1"/>
  <c r="B1081" i="21" s="1"/>
  <c r="B1082" i="21" s="1"/>
  <c r="B1083" i="21" s="1"/>
  <c r="B1084" i="21" s="1"/>
  <c r="B1085" i="21" s="1"/>
  <c r="B1086" i="21" s="1"/>
  <c r="B1087" i="21" s="1"/>
  <c r="B1088" i="21" s="1"/>
  <c r="B1089" i="21" s="1"/>
  <c r="B1090" i="21" s="1"/>
  <c r="B1091" i="21" s="1"/>
  <c r="B1092" i="21" s="1"/>
  <c r="B1093" i="21" s="1"/>
  <c r="B1094" i="21" s="1"/>
  <c r="B1095" i="21" s="1"/>
  <c r="B1096" i="21" s="1"/>
  <c r="B1097" i="21" s="1"/>
  <c r="B1098" i="21" s="1"/>
  <c r="B1099" i="21" s="1"/>
  <c r="B1100" i="21" s="1"/>
  <c r="B1101" i="21" s="1"/>
  <c r="B1102" i="21" s="1"/>
  <c r="B1103" i="21" s="1"/>
  <c r="B1104" i="21" s="1"/>
  <c r="B1105" i="21" s="1"/>
  <c r="B1106" i="21" s="1"/>
  <c r="B1107" i="21" s="1"/>
  <c r="B1108" i="21" s="1"/>
  <c r="B1109" i="21" s="1"/>
  <c r="B1110" i="21" s="1"/>
  <c r="B1111" i="21" s="1"/>
  <c r="B1112" i="21" s="1"/>
  <c r="B1113" i="21" s="1"/>
  <c r="B1114" i="21" s="1"/>
  <c r="B1115" i="21" s="1"/>
  <c r="B1116" i="21" s="1"/>
  <c r="B1117" i="21" s="1"/>
  <c r="B1118" i="21" s="1"/>
  <c r="B1119" i="21" s="1"/>
  <c r="B1120" i="21" s="1"/>
  <c r="B1121" i="21" s="1"/>
  <c r="B1122" i="21" s="1"/>
  <c r="B1123" i="21" s="1"/>
  <c r="B1124" i="21" s="1"/>
  <c r="B1125" i="21" s="1"/>
  <c r="B1126" i="21" s="1"/>
  <c r="B1127" i="21" s="1"/>
  <c r="B1128" i="21" s="1"/>
  <c r="B1129" i="21" s="1"/>
  <c r="B1130" i="21" s="1"/>
  <c r="B1131" i="21" s="1"/>
  <c r="B1132" i="21" s="1"/>
  <c r="B1133" i="21" s="1"/>
  <c r="B1134" i="21" s="1"/>
  <c r="B1135" i="21" s="1"/>
  <c r="B1136" i="21" s="1"/>
  <c r="B1137" i="21" s="1"/>
  <c r="B1138" i="21" s="1"/>
  <c r="B1139" i="21" s="1"/>
  <c r="B1140" i="21" s="1"/>
  <c r="B1141" i="21" s="1"/>
  <c r="B1142" i="21" s="1"/>
  <c r="B1143" i="21" s="1"/>
  <c r="B1144" i="21" s="1"/>
  <c r="B1145" i="21" s="1"/>
  <c r="B1146" i="21" s="1"/>
  <c r="B1147" i="21" s="1"/>
  <c r="B1148" i="21" s="1"/>
  <c r="B1149" i="21" s="1"/>
  <c r="B1150" i="21" s="1"/>
  <c r="B1151" i="21" s="1"/>
  <c r="B1152" i="21" s="1"/>
  <c r="B1153" i="21" s="1"/>
  <c r="B1154" i="21" s="1"/>
  <c r="B1155" i="21" s="1"/>
  <c r="B1156" i="21" s="1"/>
  <c r="B1157" i="21" s="1"/>
  <c r="B1158" i="21" s="1"/>
  <c r="B1159" i="21" s="1"/>
  <c r="B1160" i="21" s="1"/>
  <c r="B1161" i="21" s="1"/>
  <c r="B1162" i="21" s="1"/>
  <c r="B1163" i="21" s="1"/>
  <c r="B1164" i="21" s="1"/>
  <c r="B1165" i="21" s="1"/>
  <c r="B1166" i="21" s="1"/>
  <c r="B1167" i="21" s="1"/>
  <c r="B1168" i="21" s="1"/>
  <c r="B1169" i="21" s="1"/>
  <c r="B1170" i="21" s="1"/>
  <c r="B1171" i="21" s="1"/>
  <c r="B1172" i="21" s="1"/>
  <c r="B1173" i="21" s="1"/>
  <c r="B1174" i="21" s="1"/>
  <c r="B1175" i="21" s="1"/>
  <c r="B1176" i="21" s="1"/>
  <c r="B1177" i="21" s="1"/>
  <c r="B1178" i="21" s="1"/>
  <c r="B1179" i="21" s="1"/>
  <c r="B1180" i="21" s="1"/>
  <c r="B1181" i="21" s="1"/>
  <c r="B1182" i="21" s="1"/>
  <c r="B1183" i="21" s="1"/>
  <c r="B1184" i="21" s="1"/>
  <c r="B1185" i="21" s="1"/>
  <c r="B1186" i="21" s="1"/>
  <c r="B1187" i="21" s="1"/>
  <c r="B1188" i="21" s="1"/>
  <c r="B1189" i="21" s="1"/>
  <c r="B1190" i="21" s="1"/>
  <c r="B1191" i="21" s="1"/>
  <c r="B1192" i="21" s="1"/>
  <c r="B1193" i="21" s="1"/>
  <c r="B1195" i="21" s="1"/>
  <c r="B1196" i="21" s="1"/>
  <c r="B1197" i="21" s="1"/>
  <c r="B1198" i="21" s="1"/>
  <c r="B1199" i="21" s="1"/>
  <c r="B1200" i="21" s="1"/>
  <c r="B1201" i="21" s="1"/>
  <c r="B1202" i="21" s="1"/>
  <c r="B1204" i="21" s="1"/>
  <c r="B1205" i="21" s="1"/>
  <c r="B1206" i="21" s="1"/>
  <c r="B1207" i="21" s="1"/>
  <c r="B1208" i="21" s="1"/>
  <c r="B1209" i="21" s="1"/>
  <c r="B1210" i="21" s="1"/>
  <c r="B1211" i="21" s="1"/>
  <c r="B1212" i="21" s="1"/>
  <c r="B1213" i="21" s="1"/>
  <c r="B1214" i="21" s="1"/>
  <c r="B1215" i="21" s="1"/>
  <c r="B1216" i="21" s="1"/>
  <c r="B1217" i="21" s="1"/>
  <c r="B1218" i="21" s="1"/>
  <c r="B1219" i="21" s="1"/>
  <c r="B1220" i="21" s="1"/>
  <c r="B1221" i="21" s="1"/>
  <c r="B1222" i="21" s="1"/>
  <c r="B1223" i="21" s="1"/>
  <c r="B1224" i="21" s="1"/>
  <c r="B1225" i="21" s="1"/>
  <c r="B1226" i="21" s="1"/>
  <c r="B1227" i="21" s="1"/>
  <c r="B1228" i="21" s="1"/>
  <c r="B1229" i="21" s="1"/>
  <c r="B1230" i="21" s="1"/>
  <c r="B1231" i="21" s="1"/>
  <c r="B1232" i="21" s="1"/>
  <c r="B1233" i="21" s="1"/>
  <c r="B1234" i="21" s="1"/>
  <c r="B1235" i="21" s="1"/>
  <c r="B1236" i="21" s="1"/>
  <c r="B1237" i="21" s="1"/>
  <c r="B1238" i="21" s="1"/>
  <c r="B1239" i="21" s="1"/>
  <c r="B1240" i="21" s="1"/>
  <c r="B1241" i="21" s="1"/>
  <c r="B1242" i="21" s="1"/>
  <c r="B1243" i="21" s="1"/>
  <c r="B1244" i="21" s="1"/>
  <c r="B1245" i="21" s="1"/>
  <c r="B1246" i="21" s="1"/>
  <c r="B1247" i="21" s="1"/>
  <c r="B1248" i="21" s="1"/>
  <c r="B1249" i="21" s="1"/>
  <c r="B1250" i="21" s="1"/>
  <c r="B1251" i="21" s="1"/>
  <c r="B1252" i="21" s="1"/>
  <c r="B1253" i="21" s="1"/>
  <c r="B1254" i="21" s="1"/>
  <c r="B1255" i="21" s="1"/>
  <c r="B1256" i="21" s="1"/>
  <c r="B1257" i="21" s="1"/>
  <c r="B1258" i="21" s="1"/>
  <c r="B1259" i="21" s="1"/>
  <c r="B1260" i="21" s="1"/>
  <c r="B1261" i="21" s="1"/>
  <c r="B1262" i="21" s="1"/>
  <c r="B1263" i="21" s="1"/>
  <c r="B1264" i="21" s="1"/>
  <c r="B1265" i="21" s="1"/>
  <c r="B1266" i="21" s="1"/>
  <c r="B1267" i="21" s="1"/>
  <c r="B1268" i="21" s="1"/>
  <c r="B1269" i="21" s="1"/>
  <c r="B1270" i="21" s="1"/>
  <c r="B1271" i="21" s="1"/>
  <c r="B1272" i="21" s="1"/>
  <c r="B1273" i="21" s="1"/>
  <c r="B1274" i="21" s="1"/>
  <c r="B1275" i="21" s="1"/>
  <c r="B1276" i="21" s="1"/>
  <c r="B1277" i="21" s="1"/>
  <c r="B1278" i="21" s="1"/>
  <c r="B1279" i="21" s="1"/>
  <c r="B1280" i="21" s="1"/>
  <c r="B1281" i="21" s="1"/>
  <c r="B1282" i="21" s="1"/>
  <c r="B1283" i="21" s="1"/>
  <c r="B1284" i="21" s="1"/>
  <c r="B1285" i="21" s="1"/>
  <c r="B1286" i="21" s="1"/>
  <c r="B1287" i="21" s="1"/>
  <c r="B1288" i="21" s="1"/>
  <c r="B1289" i="21" s="1"/>
  <c r="B1290" i="21" s="1"/>
  <c r="B1291" i="21" s="1"/>
  <c r="B1292" i="21" s="1"/>
  <c r="B1293" i="21" s="1"/>
  <c r="B1294" i="21" s="1"/>
  <c r="B1295" i="21" s="1"/>
  <c r="B1296" i="21" s="1"/>
  <c r="B1297" i="21" s="1"/>
  <c r="B1298" i="21" s="1"/>
  <c r="B1299" i="21" s="1"/>
  <c r="B1300" i="21" s="1"/>
  <c r="B1301" i="21" s="1"/>
  <c r="B1302" i="21" s="1"/>
  <c r="B1303" i="21" s="1"/>
  <c r="B1304" i="21" s="1"/>
  <c r="B1305" i="21" s="1"/>
  <c r="K4" i="15"/>
  <c r="K22" i="15" s="1"/>
  <c r="K43" i="15" s="1"/>
  <c r="P1749" i="21"/>
  <c r="P1571" i="21"/>
  <c r="P1748" i="21" l="1"/>
  <c r="P1570" i="21"/>
  <c r="P1747" i="21" l="1"/>
  <c r="P1569" i="21"/>
  <c r="P1746" i="21" l="1"/>
  <c r="P1568" i="21"/>
  <c r="P1745" i="21" l="1"/>
  <c r="P1567" i="21"/>
  <c r="P1744" i="21" l="1"/>
  <c r="P1566" i="21"/>
  <c r="P1743" i="21" l="1"/>
  <c r="P1565" i="21"/>
  <c r="P1742" i="21" l="1"/>
  <c r="P1564" i="21"/>
  <c r="P1741" i="21" l="1"/>
  <c r="P1563" i="21"/>
  <c r="P1740" i="21" l="1"/>
  <c r="P1562" i="21"/>
  <c r="P1739" i="21" l="1"/>
  <c r="P1561" i="21"/>
  <c r="P1738" i="21" l="1"/>
  <c r="P1560" i="21"/>
  <c r="P1737" i="21" l="1"/>
  <c r="P1559" i="21"/>
  <c r="P1736" i="21" l="1"/>
  <c r="P1558" i="21"/>
  <c r="P1735" i="21" l="1"/>
  <c r="P1557" i="21"/>
  <c r="P1734" i="21" l="1"/>
  <c r="P1556" i="21"/>
  <c r="P1733" i="21" l="1"/>
  <c r="P1555" i="21"/>
  <c r="P1732" i="21" l="1"/>
  <c r="P1554" i="21"/>
  <c r="P1731" i="21" l="1"/>
  <c r="P1553" i="21"/>
  <c r="P1730" i="21" l="1"/>
  <c r="P1552" i="21"/>
  <c r="P1729" i="21" l="1"/>
  <c r="P1551" i="21"/>
  <c r="P1727" i="21" l="1"/>
  <c r="P1550" i="21"/>
  <c r="P1726" i="21" l="1"/>
  <c r="P1549" i="21"/>
  <c r="P1725" i="21" l="1"/>
  <c r="P1548" i="21"/>
  <c r="P1724" i="21" l="1"/>
  <c r="P1546" i="21"/>
  <c r="P1723" i="21" l="1"/>
  <c r="P1545" i="21"/>
  <c r="P1722" i="21" l="1"/>
  <c r="P1544" i="21"/>
  <c r="P1721" i="21" l="1"/>
  <c r="P1543" i="21"/>
  <c r="P1720" i="21" l="1"/>
  <c r="P1542" i="21"/>
  <c r="P1719" i="21" l="1"/>
  <c r="P1541" i="21"/>
  <c r="H236" i="7"/>
  <c r="J236" i="7" s="1"/>
  <c r="P1718" i="21" l="1"/>
  <c r="P1539" i="21"/>
  <c r="H8" i="21"/>
  <c r="J8" i="21" s="1"/>
  <c r="R8" i="21" s="1"/>
  <c r="H39" i="21"/>
  <c r="J39" i="21" s="1"/>
  <c r="R39" i="21" s="1"/>
  <c r="H36" i="21"/>
  <c r="J36" i="21" s="1"/>
  <c r="R36" i="21" s="1"/>
  <c r="H26" i="21"/>
  <c r="J26" i="21" s="1"/>
  <c r="R26" i="21" s="1"/>
  <c r="H11" i="21"/>
  <c r="J11" i="21" s="1"/>
  <c r="R11" i="21" s="1"/>
  <c r="H268" i="7"/>
  <c r="J268" i="7" s="1"/>
  <c r="H244" i="7"/>
  <c r="J244" i="7" s="1"/>
  <c r="J207" i="7"/>
  <c r="H206" i="7"/>
  <c r="J206" i="7" s="1"/>
  <c r="H199" i="7"/>
  <c r="J199" i="7" s="1"/>
  <c r="J198" i="7"/>
  <c r="H81" i="7"/>
  <c r="J81" i="7" s="1"/>
  <c r="H79" i="7"/>
  <c r="J79" i="7" s="1"/>
  <c r="H76" i="7"/>
  <c r="J76" i="7" s="1"/>
  <c r="H55" i="7"/>
  <c r="J55" i="7" s="1"/>
  <c r="H54" i="7"/>
  <c r="J54" i="7" s="1"/>
  <c r="H53" i="7"/>
  <c r="J53" i="7" s="1"/>
  <c r="H31" i="7"/>
  <c r="J31" i="7" s="1"/>
  <c r="H273" i="7"/>
  <c r="J273" i="7" s="1"/>
  <c r="P1716" i="21" l="1"/>
  <c r="P1535" i="21"/>
  <c r="L46" i="21"/>
  <c r="N46" i="21" s="1"/>
  <c r="R46" i="21" s="1"/>
  <c r="H249" i="7"/>
  <c r="J249" i="7" s="1"/>
  <c r="P1715" i="21" l="1"/>
  <c r="P1534" i="21"/>
  <c r="P45" i="21"/>
  <c r="J37" i="21"/>
  <c r="R37" i="21" s="1"/>
  <c r="P1713" i="21" l="1"/>
  <c r="P1533" i="21"/>
  <c r="J27" i="15"/>
  <c r="L27" i="15" s="1"/>
  <c r="J26" i="15"/>
  <c r="L26" i="15" s="1"/>
  <c r="P1712" i="21" l="1"/>
  <c r="P1532" i="21"/>
  <c r="J25" i="15"/>
  <c r="L25" i="15" s="1"/>
  <c r="P32" i="21"/>
  <c r="H269" i="7"/>
  <c r="J269" i="7" s="1"/>
  <c r="H267" i="7"/>
  <c r="P1710" i="21" l="1"/>
  <c r="P1531" i="21"/>
  <c r="H266" i="7"/>
  <c r="J267" i="7"/>
  <c r="P1709" i="21" l="1"/>
  <c r="P1530" i="21"/>
  <c r="H265" i="7"/>
  <c r="H263" i="7" s="1"/>
  <c r="J263" i="7" s="1"/>
  <c r="J266" i="7"/>
  <c r="J265" i="7" s="1"/>
  <c r="P1708" i="21" l="1"/>
  <c r="P1529" i="21"/>
  <c r="H276" i="7"/>
  <c r="J276" i="7" s="1"/>
  <c r="H241" i="7"/>
  <c r="H200" i="7"/>
  <c r="J200" i="7" s="1"/>
  <c r="H197" i="7"/>
  <c r="J197" i="7" s="1"/>
  <c r="J241" i="7" l="1"/>
  <c r="H240" i="7"/>
  <c r="P1707" i="21"/>
  <c r="P1528" i="21"/>
  <c r="L37" i="15"/>
  <c r="P1706" i="21" l="1"/>
  <c r="P1527" i="21"/>
  <c r="J36" i="15"/>
  <c r="L36" i="15" s="1"/>
  <c r="P1705" i="21" l="1"/>
  <c r="P1526" i="21"/>
  <c r="J240" i="7"/>
  <c r="H56" i="7"/>
  <c r="J56" i="7" s="1"/>
  <c r="P1704" i="21" l="1"/>
  <c r="P1525" i="21"/>
  <c r="H52" i="7"/>
  <c r="J52" i="7" s="1"/>
  <c r="P44" i="21"/>
  <c r="P31" i="21"/>
  <c r="H25" i="21"/>
  <c r="J25" i="21" s="1"/>
  <c r="P70" i="21"/>
  <c r="P69" i="21"/>
  <c r="P68" i="21"/>
  <c r="P67" i="21"/>
  <c r="P66" i="21"/>
  <c r="P65" i="21"/>
  <c r="P64" i="21"/>
  <c r="P63" i="21"/>
  <c r="P62" i="21"/>
  <c r="P61" i="21"/>
  <c r="H60" i="21"/>
  <c r="P58" i="21"/>
  <c r="P57" i="21"/>
  <c r="P56" i="21"/>
  <c r="P55" i="21"/>
  <c r="P54" i="21"/>
  <c r="P53" i="21"/>
  <c r="H52" i="21"/>
  <c r="P51" i="21"/>
  <c r="P50" i="21"/>
  <c r="P49" i="21"/>
  <c r="P48" i="21"/>
  <c r="P47" i="21"/>
  <c r="P46" i="21"/>
  <c r="P43" i="21"/>
  <c r="P42" i="21"/>
  <c r="P41" i="21"/>
  <c r="P40" i="21"/>
  <c r="P39" i="21"/>
  <c r="P38" i="21"/>
  <c r="P37" i="21"/>
  <c r="L35" i="21"/>
  <c r="N35" i="21" s="1"/>
  <c r="P34" i="21"/>
  <c r="P33" i="21"/>
  <c r="P30" i="21"/>
  <c r="P29" i="21"/>
  <c r="P28" i="21"/>
  <c r="P27" i="21"/>
  <c r="P26" i="21"/>
  <c r="L25" i="21"/>
  <c r="N25" i="21" s="1"/>
  <c r="P24" i="21"/>
  <c r="P23" i="21"/>
  <c r="H22" i="21"/>
  <c r="P21" i="21"/>
  <c r="P20" i="21"/>
  <c r="P18" i="21"/>
  <c r="H17" i="21"/>
  <c r="P16" i="21"/>
  <c r="H15" i="21"/>
  <c r="P14" i="21"/>
  <c r="H13" i="21"/>
  <c r="P12" i="21"/>
  <c r="P11" i="21"/>
  <c r="P10" i="21"/>
  <c r="P9" i="21"/>
  <c r="P8" i="21"/>
  <c r="H7" i="21"/>
  <c r="J7" i="21" s="1"/>
  <c r="R7" i="21" s="1"/>
  <c r="L6" i="21"/>
  <c r="N6" i="21" s="1"/>
  <c r="B6" i="21"/>
  <c r="B7" i="21" s="1"/>
  <c r="B8" i="21" s="1"/>
  <c r="B9" i="21" s="1"/>
  <c r="B10" i="21" s="1"/>
  <c r="B11" i="21" s="1"/>
  <c r="B12" i="21" s="1"/>
  <c r="B13" i="21" s="1"/>
  <c r="B14" i="21" s="1"/>
  <c r="B15" i="21" s="1"/>
  <c r="B16" i="21" s="1"/>
  <c r="B17" i="21" s="1"/>
  <c r="B18" i="21" s="1"/>
  <c r="B19" i="21" s="1"/>
  <c r="B20" i="21" s="1"/>
  <c r="B21" i="21" s="1"/>
  <c r="B22" i="21" s="1"/>
  <c r="B23" i="21" s="1"/>
  <c r="B24" i="21" s="1"/>
  <c r="B25" i="21" s="1"/>
  <c r="B26" i="21" s="1"/>
  <c r="B27" i="21" s="1"/>
  <c r="B28" i="21" s="1"/>
  <c r="B29" i="21" s="1"/>
  <c r="B30" i="21" s="1"/>
  <c r="B31" i="21" s="1"/>
  <c r="B32" i="21" s="1"/>
  <c r="B33" i="21" s="1"/>
  <c r="B34" i="21" s="1"/>
  <c r="B35" i="21" s="1"/>
  <c r="B36" i="21" s="1"/>
  <c r="B37" i="21" s="1"/>
  <c r="B38" i="21" s="1"/>
  <c r="B39" i="21" s="1"/>
  <c r="B40" i="21" s="1"/>
  <c r="B41" i="21" s="1"/>
  <c r="B42" i="21" s="1"/>
  <c r="B43" i="21" s="1"/>
  <c r="B44" i="21" s="1"/>
  <c r="B45" i="21" s="1"/>
  <c r="B46" i="21" s="1"/>
  <c r="B47" i="21" s="1"/>
  <c r="B48" i="21" s="1"/>
  <c r="B49" i="21" s="1"/>
  <c r="B50" i="21" s="1"/>
  <c r="B51" i="21" s="1"/>
  <c r="B52" i="21" s="1"/>
  <c r="B53" i="21" s="1"/>
  <c r="B54" i="21" s="1"/>
  <c r="B55" i="21" s="1"/>
  <c r="B56" i="21" s="1"/>
  <c r="B8" i="7"/>
  <c r="B9" i="7" s="1"/>
  <c r="B10" i="7" s="1"/>
  <c r="B11" i="7" s="1"/>
  <c r="B12" i="7" s="1"/>
  <c r="B13" i="7" s="1"/>
  <c r="B14" i="7" s="1"/>
  <c r="B15" i="7" s="1"/>
  <c r="B16" i="7" s="1"/>
  <c r="B17" i="7" s="1"/>
  <c r="B18" i="7" s="1"/>
  <c r="B19" i="7" s="1"/>
  <c r="H10" i="7"/>
  <c r="L31" i="15"/>
  <c r="H188" i="7"/>
  <c r="H239" i="7"/>
  <c r="H120" i="7"/>
  <c r="J120" i="7" s="1"/>
  <c r="H29" i="7"/>
  <c r="H13" i="7"/>
  <c r="H155" i="7"/>
  <c r="H166" i="7"/>
  <c r="H177" i="7"/>
  <c r="H122" i="7"/>
  <c r="J122" i="7" s="1"/>
  <c r="H125" i="7"/>
  <c r="H88" i="7"/>
  <c r="H94" i="7"/>
  <c r="J94" i="7" s="1"/>
  <c r="H102" i="7"/>
  <c r="J102" i="7" s="1"/>
  <c r="H107" i="7"/>
  <c r="J107" i="7" s="1"/>
  <c r="H73" i="7"/>
  <c r="H37" i="7"/>
  <c r="H46" i="7"/>
  <c r="J46" i="7" s="1"/>
  <c r="H18" i="7"/>
  <c r="J18" i="7" s="1"/>
  <c r="B4" i="15"/>
  <c r="B5" i="15" s="1"/>
  <c r="B6" i="15" s="1"/>
  <c r="B7" i="15" s="1"/>
  <c r="B8" i="15" s="1"/>
  <c r="B9" i="15" s="1"/>
  <c r="B10" i="15" s="1"/>
  <c r="B11" i="15" s="1"/>
  <c r="B12" i="15" s="1"/>
  <c r="B13" i="15" s="1"/>
  <c r="B14" i="15" s="1"/>
  <c r="B15" i="15" s="1"/>
  <c r="B16" i="15" s="1"/>
  <c r="B17" i="15" s="1"/>
  <c r="B18" i="15" s="1"/>
  <c r="B19" i="15" s="1"/>
  <c r="B20" i="15" s="1"/>
  <c r="B21" i="15" s="1"/>
  <c r="B22" i="15" s="1"/>
  <c r="B25" i="15" s="1"/>
  <c r="B26" i="15" s="1"/>
  <c r="B27" i="15" s="1"/>
  <c r="B264" i="7"/>
  <c r="B286" i="7"/>
  <c r="B287" i="7" s="1"/>
  <c r="J88" i="7" l="1"/>
  <c r="H86" i="7"/>
  <c r="P52" i="21"/>
  <c r="J52" i="21"/>
  <c r="R52" i="21" s="1"/>
  <c r="P15" i="21"/>
  <c r="J15" i="21"/>
  <c r="R15" i="21" s="1"/>
  <c r="R25" i="21"/>
  <c r="P13" i="21"/>
  <c r="J13" i="21"/>
  <c r="R13" i="21" s="1"/>
  <c r="P17" i="21"/>
  <c r="J17" i="21"/>
  <c r="R17" i="21" s="1"/>
  <c r="P22" i="21"/>
  <c r="J22" i="21"/>
  <c r="R22" i="21" s="1"/>
  <c r="H59" i="21"/>
  <c r="J60" i="21"/>
  <c r="R60" i="21" s="1"/>
  <c r="P1703" i="21"/>
  <c r="P1524" i="21"/>
  <c r="H187" i="7"/>
  <c r="J187" i="7" s="1"/>
  <c r="J188" i="7"/>
  <c r="H124" i="7"/>
  <c r="J124" i="7" s="1"/>
  <c r="J125" i="7"/>
  <c r="H154" i="7"/>
  <c r="J154" i="7" s="1"/>
  <c r="J155" i="7"/>
  <c r="J239" i="7"/>
  <c r="J238" i="7" s="1"/>
  <c r="H234" i="7"/>
  <c r="J234" i="7" s="1"/>
  <c r="H12" i="7"/>
  <c r="J12" i="7" s="1"/>
  <c r="J13" i="7"/>
  <c r="H72" i="7"/>
  <c r="J72" i="7" s="1"/>
  <c r="J73" i="7"/>
  <c r="H165" i="7"/>
  <c r="J165" i="7" s="1"/>
  <c r="J166" i="7"/>
  <c r="H9" i="7"/>
  <c r="J9" i="7" s="1"/>
  <c r="J10" i="7"/>
  <c r="H36" i="7"/>
  <c r="J36" i="7" s="1"/>
  <c r="J37" i="7"/>
  <c r="H176" i="7"/>
  <c r="J176" i="7" s="1"/>
  <c r="J177" i="7"/>
  <c r="H27" i="7"/>
  <c r="J29" i="7"/>
  <c r="J86" i="7"/>
  <c r="P60" i="21"/>
  <c r="P36" i="21"/>
  <c r="H35" i="21"/>
  <c r="B265" i="7"/>
  <c r="B266" i="7" s="1"/>
  <c r="B267" i="7" s="1"/>
  <c r="B268" i="7" s="1"/>
  <c r="B269" i="7" s="1"/>
  <c r="B270" i="7" s="1"/>
  <c r="B271" i="7" s="1"/>
  <c r="B272" i="7" s="1"/>
  <c r="B273" i="7" s="1"/>
  <c r="B274" i="7" s="1"/>
  <c r="B275" i="7" s="1"/>
  <c r="B276" i="7" s="1"/>
  <c r="B20" i="7"/>
  <c r="B21" i="7" s="1"/>
  <c r="B22" i="7" s="1"/>
  <c r="B23" i="7" s="1"/>
  <c r="B24" i="7" s="1"/>
  <c r="B25" i="7" s="1"/>
  <c r="B26" i="7" s="1"/>
  <c r="B27" i="7" s="1"/>
  <c r="B28" i="7" s="1"/>
  <c r="B29" i="7" s="1"/>
  <c r="B30" i="7" s="1"/>
  <c r="B31" i="7" s="1"/>
  <c r="B32" i="7" s="1"/>
  <c r="B33" i="7" s="1"/>
  <c r="B34" i="7" s="1"/>
  <c r="B35" i="7" s="1"/>
  <c r="B36" i="7" s="1"/>
  <c r="B37" i="7" s="1"/>
  <c r="B31" i="15"/>
  <c r="B32" i="15" s="1"/>
  <c r="B33" i="15" s="1"/>
  <c r="B28" i="15"/>
  <c r="B29" i="15" s="1"/>
  <c r="P25" i="21"/>
  <c r="H19" i="21"/>
  <c r="P7" i="21"/>
  <c r="J30" i="15"/>
  <c r="L30" i="15" s="1"/>
  <c r="H118" i="7"/>
  <c r="L5" i="21"/>
  <c r="G6" i="15" l="1"/>
  <c r="I6" i="15" s="1"/>
  <c r="N5" i="21"/>
  <c r="P19" i="21"/>
  <c r="J19" i="21"/>
  <c r="R19" i="21" s="1"/>
  <c r="P59" i="21"/>
  <c r="J59" i="21"/>
  <c r="R59" i="21" s="1"/>
  <c r="P35" i="21"/>
  <c r="J35" i="21"/>
  <c r="R35" i="21" s="1"/>
  <c r="P1702" i="21"/>
  <c r="P1523" i="21"/>
  <c r="H153" i="7"/>
  <c r="J153" i="7" s="1"/>
  <c r="H7" i="7"/>
  <c r="J7" i="7" s="1"/>
  <c r="H26" i="7"/>
  <c r="J27" i="7"/>
  <c r="H50" i="7"/>
  <c r="J118" i="7"/>
  <c r="B38" i="7"/>
  <c r="B39" i="7" s="1"/>
  <c r="B40" i="7" s="1"/>
  <c r="B41" i="7" s="1"/>
  <c r="B42" i="7" s="1"/>
  <c r="B43" i="7" s="1"/>
  <c r="B44" i="7" s="1"/>
  <c r="B45" i="7" s="1"/>
  <c r="B46" i="7" s="1"/>
  <c r="B47" i="7" s="1"/>
  <c r="B48" i="7" s="1"/>
  <c r="B49" i="7" s="1"/>
  <c r="B50" i="7" s="1"/>
  <c r="B51" i="7" s="1"/>
  <c r="B52" i="7" s="1"/>
  <c r="B53" i="7" s="1"/>
  <c r="B54" i="7" s="1"/>
  <c r="B55" i="7" s="1"/>
  <c r="B56" i="7" s="1"/>
  <c r="B72" i="7" s="1"/>
  <c r="B73" i="7" s="1"/>
  <c r="B74" i="7" s="1"/>
  <c r="B75" i="7" s="1"/>
  <c r="B76" i="7" s="1"/>
  <c r="B77" i="7" s="1"/>
  <c r="B78" i="7" s="1"/>
  <c r="B79" i="7" s="1"/>
  <c r="B80" i="7" s="1"/>
  <c r="B81" i="7" s="1"/>
  <c r="B82" i="7" s="1"/>
  <c r="B83" i="7" s="1"/>
  <c r="B84" i="7" s="1"/>
  <c r="B85" i="7" s="1"/>
  <c r="B86" i="7" s="1"/>
  <c r="B87" i="7" s="1"/>
  <c r="B88" i="7" s="1"/>
  <c r="B89" i="7" s="1"/>
  <c r="B90" i="7" s="1"/>
  <c r="B91" i="7" s="1"/>
  <c r="H286" i="7"/>
  <c r="J286" i="7" s="1"/>
  <c r="B34" i="15"/>
  <c r="B35" i="15" s="1"/>
  <c r="B36" i="15" s="1"/>
  <c r="H6" i="21"/>
  <c r="J7" i="15"/>
  <c r="L7" i="15" s="1"/>
  <c r="B57" i="21"/>
  <c r="B58" i="21" s="1"/>
  <c r="B59" i="21" s="1"/>
  <c r="B60" i="21" s="1"/>
  <c r="B61" i="21" s="1"/>
  <c r="B62" i="21" s="1"/>
  <c r="B63" i="21" s="1"/>
  <c r="B64" i="21" s="1"/>
  <c r="B65" i="21" s="1"/>
  <c r="B66" i="21" s="1"/>
  <c r="B67" i="21" s="1"/>
  <c r="B68" i="21" s="1"/>
  <c r="B69" i="21" s="1"/>
  <c r="B70" i="21" s="1"/>
  <c r="P6" i="21" l="1"/>
  <c r="J6" i="21"/>
  <c r="R6" i="21" s="1"/>
  <c r="J26" i="7"/>
  <c r="H24" i="7"/>
  <c r="H256" i="7" s="1"/>
  <c r="J256" i="7" s="1"/>
  <c r="P1701" i="21"/>
  <c r="P1522" i="21"/>
  <c r="J50" i="7"/>
  <c r="B92" i="7"/>
  <c r="B93" i="7" s="1"/>
  <c r="B94" i="7" s="1"/>
  <c r="B95" i="7" s="1"/>
  <c r="B96" i="7" s="1"/>
  <c r="B97" i="7" s="1"/>
  <c r="B98" i="7" s="1"/>
  <c r="B99" i="7" s="1"/>
  <c r="B100" i="7" s="1"/>
  <c r="B101" i="7" s="1"/>
  <c r="B102" i="7" s="1"/>
  <c r="B103" i="7" s="1"/>
  <c r="B104" i="7" s="1"/>
  <c r="B105" i="7" s="1"/>
  <c r="B106" i="7" s="1"/>
  <c r="B107" i="7" s="1"/>
  <c r="B108" i="7" s="1"/>
  <c r="B109" i="7" s="1"/>
  <c r="B110" i="7" s="1"/>
  <c r="B111" i="7" s="1"/>
  <c r="G3" i="15"/>
  <c r="I3" i="15" s="1"/>
  <c r="H5" i="21"/>
  <c r="B43" i="15"/>
  <c r="B37" i="15"/>
  <c r="B38" i="15" s="1"/>
  <c r="B39" i="15" s="1"/>
  <c r="B40" i="15" s="1"/>
  <c r="B41" i="15" s="1"/>
  <c r="B42" i="15" s="1"/>
  <c r="J17" i="15"/>
  <c r="L17" i="15" s="1"/>
  <c r="P5" i="21" l="1"/>
  <c r="J5" i="21"/>
  <c r="R5" i="21" s="1"/>
  <c r="P1700" i="21"/>
  <c r="P1521" i="21"/>
  <c r="H285" i="7"/>
  <c r="D3" i="15"/>
  <c r="F3" i="15" s="1"/>
  <c r="J24" i="7"/>
  <c r="B112" i="7"/>
  <c r="B113" i="7" s="1"/>
  <c r="J9" i="15"/>
  <c r="L9" i="15" s="1"/>
  <c r="D6" i="15"/>
  <c r="F6" i="15" s="1"/>
  <c r="J8" i="15"/>
  <c r="L8" i="15" s="1"/>
  <c r="J14" i="15"/>
  <c r="L14" i="15" s="1"/>
  <c r="B114" i="7" l="1"/>
  <c r="B115" i="7" s="1"/>
  <c r="B116" i="7" s="1"/>
  <c r="B117" i="7" s="1"/>
  <c r="B118" i="7" s="1"/>
  <c r="B119" i="7" s="1"/>
  <c r="B120" i="7" s="1"/>
  <c r="B121" i="7" s="1"/>
  <c r="B122" i="7" s="1"/>
  <c r="B123" i="7" s="1"/>
  <c r="B124" i="7" s="1"/>
  <c r="B125" i="7" s="1"/>
  <c r="B126" i="7" s="1"/>
  <c r="B127" i="7" s="1"/>
  <c r="B128" i="7" s="1"/>
  <c r="B129" i="7" s="1"/>
  <c r="B130" i="7" s="1"/>
  <c r="B131" i="7" s="1"/>
  <c r="B132" i="7" s="1"/>
  <c r="B133" i="7" s="1"/>
  <c r="B134" i="7" s="1"/>
  <c r="B135" i="7" s="1"/>
  <c r="B136" i="7" s="1"/>
  <c r="B137" i="7" s="1"/>
  <c r="B138" i="7" s="1"/>
  <c r="B139" i="7" s="1"/>
  <c r="B140" i="7" s="1"/>
  <c r="B141" i="7" s="1"/>
  <c r="B142" i="7" s="1"/>
  <c r="B143" i="7" s="1"/>
  <c r="B152" i="7" s="1"/>
  <c r="B153" i="7" s="1"/>
  <c r="B154" i="7" s="1"/>
  <c r="B155" i="7" s="1"/>
  <c r="B156" i="7" s="1"/>
  <c r="B157" i="7" s="1"/>
  <c r="B158" i="7" s="1"/>
  <c r="B159" i="7" s="1"/>
  <c r="B160" i="7" s="1"/>
  <c r="B161" i="7" s="1"/>
  <c r="B162" i="7" s="1"/>
  <c r="B163" i="7" s="1"/>
  <c r="B164" i="7" s="1"/>
  <c r="B165" i="7" s="1"/>
  <c r="B166" i="7" s="1"/>
  <c r="B167" i="7" s="1"/>
  <c r="B168" i="7" s="1"/>
  <c r="B169" i="7" s="1"/>
  <c r="B170" i="7" s="1"/>
  <c r="B171" i="7" s="1"/>
  <c r="B172" i="7" s="1"/>
  <c r="B173" i="7" s="1"/>
  <c r="B174" i="7" s="1"/>
  <c r="B175" i="7" s="1"/>
  <c r="B176" i="7" s="1"/>
  <c r="B177" i="7" s="1"/>
  <c r="B178" i="7" s="1"/>
  <c r="B179" i="7" s="1"/>
  <c r="B180" i="7" s="1"/>
  <c r="B181" i="7" s="1"/>
  <c r="B182" i="7" s="1"/>
  <c r="B183" i="7" s="1"/>
  <c r="B184" i="7" s="1"/>
  <c r="B185" i="7" s="1"/>
  <c r="B186" i="7" s="1"/>
  <c r="B187" i="7" s="1"/>
  <c r="B188" i="7" s="1"/>
  <c r="B189" i="7" s="1"/>
  <c r="B190" i="7" s="1"/>
  <c r="B191" i="7" s="1"/>
  <c r="B192" i="7" s="1"/>
  <c r="B193" i="7" s="1"/>
  <c r="B194" i="7" s="1"/>
  <c r="B195" i="7" s="1"/>
  <c r="B196" i="7" s="1"/>
  <c r="B197" i="7" s="1"/>
  <c r="B198" i="7" s="1"/>
  <c r="B199" i="7" s="1"/>
  <c r="B200" i="7" s="1"/>
  <c r="B201" i="7" s="1"/>
  <c r="J3" i="15"/>
  <c r="L3" i="15" s="1"/>
  <c r="P1699" i="21"/>
  <c r="P1520" i="21"/>
  <c r="H287" i="7"/>
  <c r="J285" i="7"/>
  <c r="J287" i="7" s="1"/>
  <c r="J6" i="15"/>
  <c r="L6" i="15" s="1"/>
  <c r="J13" i="15"/>
  <c r="L13" i="15" s="1"/>
  <c r="J11" i="15"/>
  <c r="L11" i="15" s="1"/>
  <c r="B202" i="7" l="1"/>
  <c r="B203" i="7" s="1"/>
  <c r="B204" i="7" s="1"/>
  <c r="B205" i="7" s="1"/>
  <c r="B206" i="7" s="1"/>
  <c r="B207" i="7" s="1"/>
  <c r="B208" i="7" s="1"/>
  <c r="B234" i="7" s="1"/>
  <c r="B235" i="7" s="1"/>
  <c r="B236" i="7" s="1"/>
  <c r="B237" i="7" s="1"/>
  <c r="B238" i="7" s="1"/>
  <c r="B239" i="7" s="1"/>
  <c r="B240" i="7" s="1"/>
  <c r="B241" i="7" s="1"/>
  <c r="B242" i="7" s="1"/>
  <c r="B243" i="7" s="1"/>
  <c r="B244" i="7" s="1"/>
  <c r="B245" i="7" s="1"/>
  <c r="B246" i="7" s="1"/>
  <c r="B247" i="7" s="1"/>
  <c r="B248" i="7" s="1"/>
  <c r="B249" i="7" s="1"/>
  <c r="B250" i="7" s="1"/>
  <c r="B251" i="7" s="1"/>
  <c r="B252" i="7" s="1"/>
  <c r="B253" i="7" s="1"/>
  <c r="B254" i="7" s="1"/>
  <c r="B255" i="7" s="1"/>
  <c r="B256" i="7" s="1"/>
  <c r="P1698" i="21"/>
  <c r="P1519" i="21"/>
  <c r="J10" i="15"/>
  <c r="L10" i="15" s="1"/>
  <c r="D4" i="15"/>
  <c r="F4" i="15" s="1"/>
  <c r="P1697" i="21" l="1"/>
  <c r="P1518" i="21"/>
  <c r="J12" i="15"/>
  <c r="L12" i="15" s="1"/>
  <c r="D18" i="15"/>
  <c r="F18" i="15" s="1"/>
  <c r="P1696" i="21" l="1"/>
  <c r="P1517" i="21"/>
  <c r="P1695" i="21" l="1"/>
  <c r="P1516" i="21"/>
  <c r="P1693" i="21" l="1"/>
  <c r="P1515" i="21"/>
  <c r="P1692" i="21" l="1"/>
  <c r="P1514" i="21"/>
  <c r="P1691" i="21" l="1"/>
  <c r="P1513" i="21"/>
  <c r="P1690" i="21" l="1"/>
  <c r="P1512" i="21"/>
  <c r="P1689" i="21" l="1"/>
  <c r="P1511" i="21"/>
  <c r="P1688" i="21" l="1"/>
  <c r="P1510" i="21"/>
  <c r="P1687" i="21" l="1"/>
  <c r="P1509" i="21"/>
  <c r="P1685" i="21" l="1"/>
  <c r="P1508" i="21"/>
  <c r="P1684" i="21" l="1"/>
  <c r="P1507" i="21"/>
  <c r="P1683" i="21" l="1"/>
  <c r="L1505" i="21"/>
  <c r="P1506" i="21"/>
  <c r="P1505" i="21" l="1"/>
  <c r="G15" i="15"/>
  <c r="N1505" i="21"/>
  <c r="R1505" i="21" s="1"/>
  <c r="P1682" i="21"/>
  <c r="I15" i="15" l="1"/>
  <c r="J15" i="15"/>
  <c r="L15" i="15" s="1"/>
  <c r="P1681" i="21"/>
  <c r="P1680" i="21" l="1"/>
  <c r="P1679" i="21" l="1"/>
  <c r="P1678" i="21" l="1"/>
  <c r="P1677" i="21" l="1"/>
  <c r="P1676" i="21" l="1"/>
  <c r="P1675" i="21" l="1"/>
  <c r="P1674" i="21" l="1"/>
  <c r="P1673" i="21" l="1"/>
  <c r="P1672" i="21" l="1"/>
  <c r="P1671" i="21" l="1"/>
  <c r="P1669" i="21" l="1"/>
  <c r="P1668" i="21" l="1"/>
  <c r="P1667" i="21" l="1"/>
  <c r="P1665" i="21" l="1"/>
  <c r="P1664" i="21" l="1"/>
  <c r="P1663" i="21" l="1"/>
  <c r="P1662" i="21" l="1"/>
  <c r="P1661" i="21" l="1"/>
  <c r="P1660" i="21" l="1"/>
  <c r="P1659" i="21" l="1"/>
  <c r="P1658" i="21" l="1"/>
  <c r="P1657" i="21" l="1"/>
  <c r="P1656" i="21" l="1"/>
  <c r="P1655" i="21" l="1"/>
  <c r="P1654" i="21" l="1"/>
  <c r="P1653" i="21" l="1"/>
  <c r="P1652" i="21" l="1"/>
  <c r="P1651" i="21" l="1"/>
  <c r="P1650" i="21" l="1"/>
  <c r="P1649" i="21" l="1"/>
  <c r="P1648" i="21" l="1"/>
  <c r="P1647" i="21" l="1"/>
  <c r="P1646" i="21" l="1"/>
  <c r="P1644" i="21" l="1"/>
  <c r="P1643" i="21" l="1"/>
  <c r="P1642" i="21" l="1"/>
  <c r="P1641" i="21" l="1"/>
  <c r="P1640" i="21" l="1"/>
  <c r="P1639" i="21" l="1"/>
  <c r="P1638" i="21" l="1"/>
  <c r="P1637" i="21" l="1"/>
  <c r="P1636" i="21" l="1"/>
  <c r="P1635" i="21" l="1"/>
  <c r="P1634" i="21" l="1"/>
  <c r="P1633" i="21" l="1"/>
  <c r="P1632" i="21" l="1"/>
  <c r="P1631" i="21" l="1"/>
  <c r="P1630" i="21" l="1"/>
  <c r="P1629" i="21" l="1"/>
  <c r="P1628" i="21" l="1"/>
  <c r="P1627" i="21" l="1"/>
  <c r="P1626" i="21" l="1"/>
  <c r="P1625" i="21" l="1"/>
  <c r="P1624" i="21" l="1"/>
  <c r="P1623" i="21" l="1"/>
  <c r="P1622" i="21" l="1"/>
  <c r="P1621" i="21" l="1"/>
  <c r="L1619" i="21" l="1"/>
  <c r="P1620" i="21"/>
  <c r="P1619" i="21" l="1"/>
  <c r="N1619" i="21"/>
  <c r="R1619" i="21" s="1"/>
  <c r="G16" i="15"/>
  <c r="I16" i="15" l="1"/>
  <c r="J16" i="15"/>
  <c r="L16" i="15" s="1"/>
  <c r="G4" i="15"/>
  <c r="G20" i="15" l="1"/>
  <c r="I20" i="15" s="1"/>
  <c r="I4" i="15"/>
  <c r="J4" i="15"/>
  <c r="J22" i="15" l="1"/>
  <c r="L4" i="15"/>
  <c r="J43" i="15" l="1"/>
  <c r="L43" i="15" s="1"/>
  <c r="L22" i="15"/>
</calcChain>
</file>

<file path=xl/sharedStrings.xml><?xml version="1.0" encoding="utf-8"?>
<sst xmlns="http://schemas.openxmlformats.org/spreadsheetml/2006/main" count="3145" uniqueCount="885">
  <si>
    <t>Verejná zeleň</t>
  </si>
  <si>
    <t>Hlásenie pobytu občanov a register obyvateľov</t>
  </si>
  <si>
    <t>Príspevky neštátnym subjektom</t>
  </si>
  <si>
    <t>ukazovateľ</t>
  </si>
  <si>
    <t>1</t>
  </si>
  <si>
    <t>2</t>
  </si>
  <si>
    <t>3</t>
  </si>
  <si>
    <t>4</t>
  </si>
  <si>
    <t>5</t>
  </si>
  <si>
    <t>Bežné príjmy</t>
  </si>
  <si>
    <t>kategória</t>
  </si>
  <si>
    <t>položka</t>
  </si>
  <si>
    <t>podpo-</t>
  </si>
  <si>
    <t>ložka</t>
  </si>
  <si>
    <t>príjem</t>
  </si>
  <si>
    <t>100</t>
  </si>
  <si>
    <t>DAŇOVÉ  PRÍJMY</t>
  </si>
  <si>
    <t>110</t>
  </si>
  <si>
    <t>Dane z príjmov a kapitálového majetku</t>
  </si>
  <si>
    <t>111</t>
  </si>
  <si>
    <t>003</t>
  </si>
  <si>
    <t>Výnos dane z príjmov poukázaný územnej samospráve</t>
  </si>
  <si>
    <t>120</t>
  </si>
  <si>
    <t>Dane z majetku</t>
  </si>
  <si>
    <t>121</t>
  </si>
  <si>
    <t>daň z nehnuteľností</t>
  </si>
  <si>
    <t>001</t>
  </si>
  <si>
    <t xml:space="preserve">    - z pozemkov</t>
  </si>
  <si>
    <t>002</t>
  </si>
  <si>
    <t xml:space="preserve">    - zo stavieb</t>
  </si>
  <si>
    <t xml:space="preserve">    - z bytov</t>
  </si>
  <si>
    <t>130</t>
  </si>
  <si>
    <t>Domáce dane na tovary a služby</t>
  </si>
  <si>
    <t>133</t>
  </si>
  <si>
    <t>012</t>
  </si>
  <si>
    <t>daň za užívanie verejného priestranstva</t>
  </si>
  <si>
    <t>013</t>
  </si>
  <si>
    <t>200</t>
  </si>
  <si>
    <t>NEDAŇOVÉ  PRÍJMY</t>
  </si>
  <si>
    <t>210</t>
  </si>
  <si>
    <t>Príjmy z podnikania a z vlastníctva majetku</t>
  </si>
  <si>
    <t>212</t>
  </si>
  <si>
    <t>z prenajatých pozemkov</t>
  </si>
  <si>
    <t>z prenajatých budov, priestorov a objektov</t>
  </si>
  <si>
    <t xml:space="preserve"> - prenájom budov</t>
  </si>
  <si>
    <t xml:space="preserve"> - prenájom bytových a nebytových priestorov</t>
  </si>
  <si>
    <t>220</t>
  </si>
  <si>
    <t>Administratívne a iné poplatky a platby</t>
  </si>
  <si>
    <t>221</t>
  </si>
  <si>
    <t>004</t>
  </si>
  <si>
    <t xml:space="preserve"> - ostatné poplatky</t>
  </si>
  <si>
    <t>222</t>
  </si>
  <si>
    <t>pokuty a penále za porušenie predpisov</t>
  </si>
  <si>
    <t>223</t>
  </si>
  <si>
    <t>poplatky a platby za predaj výrobkov,tovarov a služieb</t>
  </si>
  <si>
    <t>229</t>
  </si>
  <si>
    <t>005</t>
  </si>
  <si>
    <t>240</t>
  </si>
  <si>
    <t>Úroky z domácich úverov,pôžičiek a vkladov</t>
  </si>
  <si>
    <t>290</t>
  </si>
  <si>
    <t>Iné nedaňové príjmy</t>
  </si>
  <si>
    <t>292</t>
  </si>
  <si>
    <t>008</t>
  </si>
  <si>
    <t>z výťažkov z lotérií a iných podobných hier</t>
  </si>
  <si>
    <t>ostatné</t>
  </si>
  <si>
    <t xml:space="preserve">   - za predaj výrobkov, tovarov a služieb </t>
  </si>
  <si>
    <t>iné príjmy z činnosti</t>
  </si>
  <si>
    <t>SOCIÁLNE SLUŽBY MESTA TRENČÍN   m.r.o.</t>
  </si>
  <si>
    <t xml:space="preserve">Detské jasle </t>
  </si>
  <si>
    <t>Zariadenie opatrovateľskej služby</t>
  </si>
  <si>
    <t>Opatrovateľská služba</t>
  </si>
  <si>
    <t>rozvoz stravy</t>
  </si>
  <si>
    <t>príjmy z prenajatých budov, priestorov a objektov</t>
  </si>
  <si>
    <r>
      <t>ŠKOLSKÉ ZARIADENIA MESTA TRENČÍN m.r.o</t>
    </r>
    <r>
      <rPr>
        <b/>
        <i/>
        <sz val="10"/>
        <rFont val="Arial CE"/>
        <family val="2"/>
        <charset val="238"/>
      </rPr>
      <t>.</t>
    </r>
  </si>
  <si>
    <t>Zimný štadión</t>
  </si>
  <si>
    <t>Stavebný poriadok, vyvlastňovacie konanie, doprava</t>
  </si>
  <si>
    <t>z prenajatých budov,garáží a objektov</t>
  </si>
  <si>
    <t>za materské školy a školské družiny</t>
  </si>
  <si>
    <t>poplatky za školské družiny</t>
  </si>
  <si>
    <t>300</t>
  </si>
  <si>
    <t>GRANTY  A  TRANSFERY</t>
  </si>
  <si>
    <t>312</t>
  </si>
  <si>
    <t>Transfery v rámci verejnej správy</t>
  </si>
  <si>
    <t>Zo štátneho rozpočtu</t>
  </si>
  <si>
    <t>Dotácie na základné vzdelanie s bežnou starostlivosťou</t>
  </si>
  <si>
    <t>Dotácia na sociálne zabezpečenie</t>
  </si>
  <si>
    <t>Dotácia na matriku</t>
  </si>
  <si>
    <t>Školský úrad</t>
  </si>
  <si>
    <t>ŠFRB</t>
  </si>
  <si>
    <t>BEŽNÉ PRÍJMY SPOLU:</t>
  </si>
  <si>
    <t>príjmy z vlastníctva</t>
  </si>
  <si>
    <t xml:space="preserve"> - výherné prístroje</t>
  </si>
  <si>
    <t>poplatok za znečisťovanie ovzdušia</t>
  </si>
  <si>
    <t>z trhovísk</t>
  </si>
  <si>
    <t>za vodné, stočné, el.energiu, paru, plyn a teplo</t>
  </si>
  <si>
    <t>Výkon funkcie primátora</t>
  </si>
  <si>
    <t>Zasadnutia orgánov mesta</t>
  </si>
  <si>
    <t>Ochrana pred požiarmi</t>
  </si>
  <si>
    <t>Právne služby</t>
  </si>
  <si>
    <t>Verejné osvetlenie</t>
  </si>
  <si>
    <t>Detské jasle</t>
  </si>
  <si>
    <t>Pochovanie občana</t>
  </si>
  <si>
    <t>Organizácia občianskych obradov</t>
  </si>
  <si>
    <t>Činnosť matriky</t>
  </si>
  <si>
    <t>Verejné toalety</t>
  </si>
  <si>
    <t>Zneškodňovanie odpadu</t>
  </si>
  <si>
    <t>Materské školy</t>
  </si>
  <si>
    <t>Základné školy</t>
  </si>
  <si>
    <t>Školské jedálne</t>
  </si>
  <si>
    <t>Podpora kultúrnych stredísk</t>
  </si>
  <si>
    <t>Podpora športových podujatí</t>
  </si>
  <si>
    <t>Dotácie na šport</t>
  </si>
  <si>
    <t>Športová hala</t>
  </si>
  <si>
    <t>Futbalový štadión</t>
  </si>
  <si>
    <t>Plavárne</t>
  </si>
  <si>
    <t>Karanténna stanica</t>
  </si>
  <si>
    <t>Fontány</t>
  </si>
  <si>
    <t>Výkon funkcie prednostu</t>
  </si>
  <si>
    <t>243</t>
  </si>
  <si>
    <t>Základná umelecká škola m.r.o.</t>
  </si>
  <si>
    <t xml:space="preserve">ZÁKLADNÉ ŠKOLY, ZARIADENIA PRE ZÁUJMOVÉ </t>
  </si>
  <si>
    <t>VZDELÁVANIE A ŠKOLSKÉ JEDÁLNE s p.s.</t>
  </si>
  <si>
    <t>poplatky - cudzí stravníci</t>
  </si>
  <si>
    <t xml:space="preserve"> - ostatné</t>
  </si>
  <si>
    <t>daň za psa</t>
  </si>
  <si>
    <t>Prepravná služba</t>
  </si>
  <si>
    <t>Manažment mesta</t>
  </si>
  <si>
    <t>Normotvorná činnosť mesta</t>
  </si>
  <si>
    <t>Kontrola činnosti samosprávy</t>
  </si>
  <si>
    <t>Zabezpečovanie volieb</t>
  </si>
  <si>
    <t>Hnuteľný majetok mesta</t>
  </si>
  <si>
    <t>Nebytové priestory</t>
  </si>
  <si>
    <t>Pozemky</t>
  </si>
  <si>
    <t>Prevádzka a údržba budov</t>
  </si>
  <si>
    <t>Mestský informačný systém</t>
  </si>
  <si>
    <t>Autodoprava</t>
  </si>
  <si>
    <t>Preventívna ochrana zamestnancov</t>
  </si>
  <si>
    <t>Klientské centrum</t>
  </si>
  <si>
    <t>Prevádzka mestských trhovísk</t>
  </si>
  <si>
    <t>PROGRAM 5:  BEZPEČNOSŤ</t>
  </si>
  <si>
    <t>Zabezpečovanie verejného poriadku</t>
  </si>
  <si>
    <t>Kamerový systém mesta</t>
  </si>
  <si>
    <t>Voľno časové vzdelávanie</t>
  </si>
  <si>
    <t>Športová infraštruktúra</t>
  </si>
  <si>
    <t>Ochrana prostredia pre život</t>
  </si>
  <si>
    <t>Podpora seniorov</t>
  </si>
  <si>
    <t>Terénna opatrovateľská služba</t>
  </si>
  <si>
    <t>Obnova rodinných pomerov</t>
  </si>
  <si>
    <t>poplatok za jasle</t>
  </si>
  <si>
    <t>stravovanie v detských jasliach</t>
  </si>
  <si>
    <t>stravovanie v materskej škole</t>
  </si>
  <si>
    <t>Poradenstvo - bytové problémy</t>
  </si>
  <si>
    <t>ubytovanie, zaopatrenie, stravovanie -  celoročný pobyt</t>
  </si>
  <si>
    <t>ubytovanie, zaopatrenie, stravovanie - denný a týžd.pobyt</t>
  </si>
  <si>
    <t>poplatok za opatrovateľskú službu - invalidita</t>
  </si>
  <si>
    <t>Dotácia - predškolský vek</t>
  </si>
  <si>
    <t>Cestovný ruch</t>
  </si>
  <si>
    <t>Bývanie</t>
  </si>
  <si>
    <t>Správa bytového fondu</t>
  </si>
  <si>
    <t>Štátny fond rozvoja bývania</t>
  </si>
  <si>
    <t>Výstavba RD v súvislosti s MŽT</t>
  </si>
  <si>
    <t>Autobusová doprava</t>
  </si>
  <si>
    <t>Zvoz a odvoz odpadu</t>
  </si>
  <si>
    <t>Cintorínske a pohrebné služby</t>
  </si>
  <si>
    <t>PROGRAM 9:  KULTÚRA</t>
  </si>
  <si>
    <t>PROGRAM 11:  SOCIÁLNE  SLUŽBY</t>
  </si>
  <si>
    <t>Manažérstvo kvality</t>
  </si>
  <si>
    <t>Odpadové a vodné hospodárstvo</t>
  </si>
  <si>
    <t>Rozvoj mesta</t>
  </si>
  <si>
    <t>6</t>
  </si>
  <si>
    <t>Prezentácia mesta</t>
  </si>
  <si>
    <t>Príjmy</t>
  </si>
  <si>
    <t>Výdavky</t>
  </si>
  <si>
    <t>7</t>
  </si>
  <si>
    <t>Územné plánovanie mesta</t>
  </si>
  <si>
    <t>Hosp.správa a evidencia majetku mesta</t>
  </si>
  <si>
    <t>Podporná činnosť MHSL m.r.o.</t>
  </si>
  <si>
    <t>ubytovanie, zaopatrenie, stravovanie - 24 hod.starostlivosť</t>
  </si>
  <si>
    <t>poplatok za komunálne odpady a drobné stavebné odpady</t>
  </si>
  <si>
    <t>Kapitálové príjmy</t>
  </si>
  <si>
    <t>230</t>
  </si>
  <si>
    <t>príjem z predaja kapitálových aktív</t>
  </si>
  <si>
    <t>233</t>
  </si>
  <si>
    <t>Príjem z predaja pozemkov a nehmotných aktív</t>
  </si>
  <si>
    <t xml:space="preserve"> - pozemkov v priemyselnej zóne Zámostie</t>
  </si>
  <si>
    <t>KAPITÁLOVÉ PRÍJMY SPOLU:</t>
  </si>
  <si>
    <t>PRÍJMY SPOLU:</t>
  </si>
  <si>
    <t>Výsledok hospodárenia</t>
  </si>
  <si>
    <t>Zariadenie pre seniorov</t>
  </si>
  <si>
    <t xml:space="preserve">Bežný rozpočet, kapitálový rozpočet, finančné operácie - sumarizácia </t>
  </si>
  <si>
    <t>* - v zmysle § 10 ods. 6 zákona č.583/2004 Z.z. o rozpočtových pravidlách územnej samosprávy sú súčasťou rozpočtu obce aj finančné operácie, ktorými sa vykonávajú prevody z peňažných fondov obce a realizujú sa návratné zdroje financovania a ich splácanie. Finančné operácie nie sú súčasťou príjmov a výdavkov rozpočtu obce.</t>
  </si>
  <si>
    <t>PRÍJMY spolu</t>
  </si>
  <si>
    <t>Prebytok bežného rozpočtu</t>
  </si>
  <si>
    <t>Slovenská sporiteľňa a.s. - istina z poskytnutých úverov</t>
  </si>
  <si>
    <t xml:space="preserve">821 005 - Splácanie istín z bankových úverov dlhodobých,    z toho: </t>
  </si>
  <si>
    <t>821 007 - Splácanie istín z ostatných úverov  dlhodobých - ŠFRB</t>
  </si>
  <si>
    <t>P r í j m y *</t>
  </si>
  <si>
    <t>V ý d a v k y *</t>
  </si>
  <si>
    <t>Tatra banka a.s. - istina z poskytnutých úverov</t>
  </si>
  <si>
    <t>632</t>
  </si>
  <si>
    <t>633</t>
  </si>
  <si>
    <t>634</t>
  </si>
  <si>
    <t>PROGRAM 2:  PROPAGÁCIA A CESTOVNÝ RUCH</t>
  </si>
  <si>
    <t>PROGRAM 2:    Propagácia a cestovný ruch</t>
  </si>
  <si>
    <t>PROGRAM 1: Manažment a plánovanie</t>
  </si>
  <si>
    <t>PROGRAM 3:  INTERNÉ  SLUŽBY</t>
  </si>
  <si>
    <t>PROGRAM 3:    Interné služby</t>
  </si>
  <si>
    <t>Činnosť a prevádzka mestského úradu</t>
  </si>
  <si>
    <t>PROGRAM 4:  SLUŽBY  OBČANOM</t>
  </si>
  <si>
    <t>PROGRAM 4:    Služby občanom</t>
  </si>
  <si>
    <t>PROGRAM 5:   Bezpečnosť</t>
  </si>
  <si>
    <t>610</t>
  </si>
  <si>
    <t>620</t>
  </si>
  <si>
    <t>631</t>
  </si>
  <si>
    <t>635</t>
  </si>
  <si>
    <t>636</t>
  </si>
  <si>
    <t>637</t>
  </si>
  <si>
    <t>640</t>
  </si>
  <si>
    <t>630</t>
  </si>
  <si>
    <t>Správa a údržba pozem.komunikácií</t>
  </si>
  <si>
    <t>Výstavba a rekonštrukcia pozem.kom.</t>
  </si>
  <si>
    <t>PROGRAM 6:  DOPRAVA</t>
  </si>
  <si>
    <t>PROGRAM 6:   Doprava</t>
  </si>
  <si>
    <t>Politika vzdelávania</t>
  </si>
  <si>
    <t>PROGRAM 9:   Kultúra</t>
  </si>
  <si>
    <t>Galéria Bazovského</t>
  </si>
  <si>
    <t>PROGRAM 10:  ŽIVOTNÉ  PROSTREDIE</t>
  </si>
  <si>
    <t>PROGRAM 10:   Životné prostredie</t>
  </si>
  <si>
    <t>PROGRAM 11:   Sociálne služby</t>
  </si>
  <si>
    <t>Jednorazová pomoc občanom v hm.núdzi</t>
  </si>
  <si>
    <t>PROGRAM 12:  ROZVOJ MESTA A BÝVANIE</t>
  </si>
  <si>
    <t>PROGRAM 12:   Rozvoj mesta a bývanie</t>
  </si>
  <si>
    <t>PROGRAM 7:  VZDELÁVANIE</t>
  </si>
  <si>
    <t>PROGRAM 7:   Vzdelávanie</t>
  </si>
  <si>
    <t xml:space="preserve"> - hrobové miesta</t>
  </si>
  <si>
    <t>04.5.1.</t>
  </si>
  <si>
    <t>Tovary a služby</t>
  </si>
  <si>
    <t>Vzdelávanie zamestnancov mesta</t>
  </si>
  <si>
    <t>Elektrická energia</t>
  </si>
  <si>
    <t>06.4.0.</t>
  </si>
  <si>
    <t>Poistné</t>
  </si>
  <si>
    <t>06.2.0.</t>
  </si>
  <si>
    <t>Územno plánovacie podklady a dokumentácie</t>
  </si>
  <si>
    <t>Aktualizácia softvéru</t>
  </si>
  <si>
    <t>04.4.3.</t>
  </si>
  <si>
    <t>ZŠ Potočná - ŠZMT m.r.o.</t>
  </si>
  <si>
    <t>Energie, voda a komunikácie</t>
  </si>
  <si>
    <t>Materiál</t>
  </si>
  <si>
    <t>Služby</t>
  </si>
  <si>
    <t>Tovary a služby, z toho:</t>
  </si>
  <si>
    <t>ŠKD Potočná - ŠZMT m.r.o.</t>
  </si>
  <si>
    <t xml:space="preserve"> - poplatky za školské kluby</t>
  </si>
  <si>
    <t>08.1.0</t>
  </si>
  <si>
    <t>09.8.0.</t>
  </si>
  <si>
    <t>ŠZMT m.r.o. - správa</t>
  </si>
  <si>
    <t>Cestovné - tuzemské</t>
  </si>
  <si>
    <t xml:space="preserve">Materiál </t>
  </si>
  <si>
    <t>Mzdy, platy a OOV</t>
  </si>
  <si>
    <t>06.6.0.</t>
  </si>
  <si>
    <t>Poistné a príspevok do poisťovní</t>
  </si>
  <si>
    <t>Dopravné</t>
  </si>
  <si>
    <t>Rutinná a štandardná údržba</t>
  </si>
  <si>
    <t>Nájomné za prenájom</t>
  </si>
  <si>
    <t>08.1.0.</t>
  </si>
  <si>
    <t>za vstupné: krytá plaváreň</t>
  </si>
  <si>
    <t>za energie: krytá a letná plaváreň</t>
  </si>
  <si>
    <t>04.2.2.</t>
  </si>
  <si>
    <t>Transfery</t>
  </si>
  <si>
    <t>05.1.0.</t>
  </si>
  <si>
    <t>Skládka Zámoste - monitoring</t>
  </si>
  <si>
    <t>05.6.0.</t>
  </si>
  <si>
    <t>Deratizácia verejných plôch zelene</t>
  </si>
  <si>
    <t>01.3.3.</t>
  </si>
  <si>
    <t>03.2.0.</t>
  </si>
  <si>
    <t>Poštové a telekomunikačné služby</t>
  </si>
  <si>
    <t>Údržba budov Mestského úradu</t>
  </si>
  <si>
    <t>08.4.0.</t>
  </si>
  <si>
    <t>02.2.0.</t>
  </si>
  <si>
    <t>zákonné povinnosti na úseku CO</t>
  </si>
  <si>
    <t>daň za ubytovanie</t>
  </si>
  <si>
    <t>01.1.2.</t>
  </si>
  <si>
    <t>Poštovné (právnické osoby,predvolania, ...)</t>
  </si>
  <si>
    <t>Dávka sociálnej pomoci</t>
  </si>
  <si>
    <t>Grantový program</t>
  </si>
  <si>
    <t>Posudková činnosť</t>
  </si>
  <si>
    <t>Pohrebné služby</t>
  </si>
  <si>
    <t>Príspevky na dopravu do detského domova</t>
  </si>
  <si>
    <t>Príspevky na úpravu rodinných pomerov</t>
  </si>
  <si>
    <t>Tvorba úspor na dieťa</t>
  </si>
  <si>
    <t>09.1.1.1.</t>
  </si>
  <si>
    <t>SSMT m.r.o.</t>
  </si>
  <si>
    <t>Cestovné náhrady</t>
  </si>
  <si>
    <t xml:space="preserve"> - Združenie hlavných kontrolórov miest a obcí SR</t>
  </si>
  <si>
    <t xml:space="preserve"> - RZMOSP</t>
  </si>
  <si>
    <t xml:space="preserve"> - Euroregión Biele Karpaty</t>
  </si>
  <si>
    <t>za verejné WC</t>
  </si>
  <si>
    <t>Transfery - náhrada počas PN</t>
  </si>
  <si>
    <t>Energie, voda a komunikácie - telefón,poštovné</t>
  </si>
  <si>
    <t>Transfery - náhrada počas PN, odchodné</t>
  </si>
  <si>
    <t>poplatok za opatrovateľskú službu - seniori</t>
  </si>
  <si>
    <t>Členské príspevky, z toho:</t>
  </si>
  <si>
    <t>Transfery: odstupné, odchodné, PN</t>
  </si>
  <si>
    <t>Transfery - poplatky do fondu opráv</t>
  </si>
  <si>
    <t>Poistenie</t>
  </si>
  <si>
    <r>
      <t xml:space="preserve">Mobilná ľadová plocha </t>
    </r>
    <r>
      <rPr>
        <sz val="9"/>
        <rFont val="Arial CE"/>
        <charset val="238"/>
      </rPr>
      <t xml:space="preserve"> - poistenie</t>
    </r>
  </si>
  <si>
    <t>Poistné a prívpevky do poisťovní</t>
  </si>
  <si>
    <t>Cestovné výdavky</t>
  </si>
  <si>
    <t>03.1.0.</t>
  </si>
  <si>
    <t>Organizácia mestských podujatí</t>
  </si>
  <si>
    <t xml:space="preserve">  - Kultúrne leto</t>
  </si>
  <si>
    <t xml:space="preserve">  - Ora et Ars</t>
  </si>
  <si>
    <t xml:space="preserve">  - Pri Trenčianskej bráne</t>
  </si>
  <si>
    <t xml:space="preserve">  - príležitostné menšie podujatia</t>
  </si>
  <si>
    <t>Organizácia kultúrnych podujatí</t>
  </si>
  <si>
    <t>Podpora kultúrnych podujatí a činností</t>
  </si>
  <si>
    <t>Výkon funkcie zástupcu primátora</t>
  </si>
  <si>
    <t xml:space="preserve">poplatky za ubytovanie a starostlivosť </t>
  </si>
  <si>
    <t>poplatky za stravovanie</t>
  </si>
  <si>
    <t>Energia, voda a komunikácie</t>
  </si>
  <si>
    <t>Nocľaháreň</t>
  </si>
  <si>
    <t xml:space="preserve">Služby </t>
  </si>
  <si>
    <t>717</t>
  </si>
  <si>
    <t>Odmeňovanie učiteľov, žiakov, knihy</t>
  </si>
  <si>
    <t>Dotácia v oblasti školstva a výchovy</t>
  </si>
  <si>
    <t xml:space="preserve"> - MŠ Švermova</t>
  </si>
  <si>
    <t xml:space="preserve"> - MŠ Legionárska</t>
  </si>
  <si>
    <t xml:space="preserve"> - MŠ Považská</t>
  </si>
  <si>
    <t xml:space="preserve"> - MŠ Turkovej</t>
  </si>
  <si>
    <t xml:space="preserve"> - MŠ Soblahovská</t>
  </si>
  <si>
    <t xml:space="preserve"> - MŠ Šmidkeho</t>
  </si>
  <si>
    <t xml:space="preserve"> - MŠ Halašu</t>
  </si>
  <si>
    <t xml:space="preserve"> - MŠ Stromová</t>
  </si>
  <si>
    <t xml:space="preserve"> - MŠ Opatovská</t>
  </si>
  <si>
    <t xml:space="preserve"> - MŠ Kubranská</t>
  </si>
  <si>
    <t xml:space="preserve"> - MŠ Medňanského</t>
  </si>
  <si>
    <t xml:space="preserve"> - MŠ Pri parku</t>
  </si>
  <si>
    <t xml:space="preserve"> - MŠ Niva</t>
  </si>
  <si>
    <t xml:space="preserve"> - MŠ 28. októbra</t>
  </si>
  <si>
    <t xml:space="preserve"> - MŠ Na dolinách</t>
  </si>
  <si>
    <t>MŠ Švermova</t>
  </si>
  <si>
    <r>
      <t xml:space="preserve">Tovary a služby, </t>
    </r>
    <r>
      <rPr>
        <sz val="8"/>
        <rFont val="Arial CE"/>
        <charset val="238"/>
      </rPr>
      <t>z toho:</t>
    </r>
  </si>
  <si>
    <t>MŠ Legionárska</t>
  </si>
  <si>
    <t>MŠ Považská</t>
  </si>
  <si>
    <t>MŠ Turkovej</t>
  </si>
  <si>
    <t>MŠ Soblahovská</t>
  </si>
  <si>
    <t>MŠ Šmidkeho</t>
  </si>
  <si>
    <t>Nájomné</t>
  </si>
  <si>
    <t>8</t>
  </si>
  <si>
    <t>MŠ  J. Halašu</t>
  </si>
  <si>
    <t>9</t>
  </si>
  <si>
    <t>MŠ Stromová</t>
  </si>
  <si>
    <t>10</t>
  </si>
  <si>
    <t>MŠ Opatovská</t>
  </si>
  <si>
    <t>11</t>
  </si>
  <si>
    <t>MŠ Kubranská</t>
  </si>
  <si>
    <t>MŠ Medňanského</t>
  </si>
  <si>
    <t>12</t>
  </si>
  <si>
    <t>MŠ Pri parku</t>
  </si>
  <si>
    <t>13</t>
  </si>
  <si>
    <t>MŠ Niva</t>
  </si>
  <si>
    <t>14</t>
  </si>
  <si>
    <t>MŠ 28. októbra</t>
  </si>
  <si>
    <t>15</t>
  </si>
  <si>
    <t>MŠ Na dolinách</t>
  </si>
  <si>
    <t>16</t>
  </si>
  <si>
    <t>ZŠ Novomeského</t>
  </si>
  <si>
    <t xml:space="preserve">Dopravné </t>
  </si>
  <si>
    <t>ZŠ Hodžova</t>
  </si>
  <si>
    <t>ZŠ Dlhé Hony</t>
  </si>
  <si>
    <t>ZŠ Veľkomoravská</t>
  </si>
  <si>
    <t>Prenájom strojov</t>
  </si>
  <si>
    <t xml:space="preserve">Transfery </t>
  </si>
  <si>
    <t>ZŠ Kubranská</t>
  </si>
  <si>
    <t>ZŠ Na dolinách</t>
  </si>
  <si>
    <t>ZŠ Východná</t>
  </si>
  <si>
    <t xml:space="preserve">ŠJ pri Piaristické gymnázium J.Braneckého </t>
  </si>
  <si>
    <t>ŠJ pri ZŠ sv. Andrea Svorada a Benedikta</t>
  </si>
  <si>
    <t>ŠJ Novomeského</t>
  </si>
  <si>
    <t>ŠJ Dlhé Hony</t>
  </si>
  <si>
    <t>ŠJ Veľkomoravská</t>
  </si>
  <si>
    <t>ŠJ Kubranská</t>
  </si>
  <si>
    <t>ŠJ Bezručova</t>
  </si>
  <si>
    <t>ŠJ Východná</t>
  </si>
  <si>
    <t>ŠKD Novomeského</t>
  </si>
  <si>
    <t>Transfery - náhrada PN</t>
  </si>
  <si>
    <t>ŠKD Hodžova</t>
  </si>
  <si>
    <t>ŠKD Dlhé Hony</t>
  </si>
  <si>
    <t>ŠKD Veľkomoravská</t>
  </si>
  <si>
    <t>ŠKD Kubranská</t>
  </si>
  <si>
    <t>ŠKD Na dolinách</t>
  </si>
  <si>
    <t>ŠKD Bezručova</t>
  </si>
  <si>
    <t>ŠKD Východná</t>
  </si>
  <si>
    <t>ŠKD ZŠ sv. Svorada a Benedikta</t>
  </si>
  <si>
    <t>ŠKD ZŠ Futurum</t>
  </si>
  <si>
    <t>ZUŠ Trenčín</t>
  </si>
  <si>
    <t>CVČ Trenčín</t>
  </si>
  <si>
    <t>Súkromná ZUŠ Berecová - Gagarinova</t>
  </si>
  <si>
    <t>Súkromná ZUŠ Bebjak - Novomeského</t>
  </si>
  <si>
    <t>ŠJ pri MŠ Švermova</t>
  </si>
  <si>
    <t>ŠJ pri MŠ Legionárska</t>
  </si>
  <si>
    <t xml:space="preserve">ŠJ pri MŠ Považská </t>
  </si>
  <si>
    <t>ŠJ pri MŠ M. Turkovej</t>
  </si>
  <si>
    <t>ŠJ pri MŠ Soblahovská</t>
  </si>
  <si>
    <t>ŠJ pri MŠ Šmidkeho</t>
  </si>
  <si>
    <t>09.6.0.1.</t>
  </si>
  <si>
    <t>ŠJ pri MŠ Šafárikova</t>
  </si>
  <si>
    <t>ŠJ pri MŠ Halašu</t>
  </si>
  <si>
    <t>ŠJ pri MŠ Stromová</t>
  </si>
  <si>
    <t xml:space="preserve">ŠJ pri MŠ Opatovská </t>
  </si>
  <si>
    <t>ŠJ pri MŠ Kubranská</t>
  </si>
  <si>
    <t>ŠJ pri MŠ Medňanského</t>
  </si>
  <si>
    <t>ŠJ pri MŠ Pri Parku</t>
  </si>
  <si>
    <t>ŠJ pri MŠ Pri Niva</t>
  </si>
  <si>
    <t>ŠZMT m.r.o. - školské jedálne:</t>
  </si>
  <si>
    <t>ŠJ Na Dolinách</t>
  </si>
  <si>
    <t>ŠJ ZŠ Hodžova</t>
  </si>
  <si>
    <t xml:space="preserve">  - služby - stravovanie - HEES Gastroslužby s.r.o.</t>
  </si>
  <si>
    <t>Rovnošaty</t>
  </si>
  <si>
    <t>Strategické plánovanie mesta</t>
  </si>
  <si>
    <t xml:space="preserve"> - Asociácia prednostov</t>
  </si>
  <si>
    <t>ZŠ Bezručova</t>
  </si>
  <si>
    <t>Poistenie (stará + nová letná)</t>
  </si>
  <si>
    <t>Činnosti na úseku PO</t>
  </si>
  <si>
    <t>zimný štadión</t>
  </si>
  <si>
    <t>Bežné transfery</t>
  </si>
  <si>
    <t>04.7.3.</t>
  </si>
  <si>
    <t>08.3.0.</t>
  </si>
  <si>
    <t>09.5.0.</t>
  </si>
  <si>
    <t>09.1.2.1.</t>
  </si>
  <si>
    <t xml:space="preserve">09.1.2.1. </t>
  </si>
  <si>
    <t>06.1.0.</t>
  </si>
  <si>
    <t>Nová letná plaváreň - energie+stráženie</t>
  </si>
  <si>
    <t>716</t>
  </si>
  <si>
    <t>Rekultivácia skládky Zámostie - splátka</t>
  </si>
  <si>
    <t>Nákup pozemkov</t>
  </si>
  <si>
    <t xml:space="preserve">Kľúčové podujatia </t>
  </si>
  <si>
    <t xml:space="preserve">ZŠ Potočná </t>
  </si>
  <si>
    <t>Telefóny, internet</t>
  </si>
  <si>
    <t xml:space="preserve">Odmeny </t>
  </si>
  <si>
    <t>Medz.spolupráca a zahraničné vzťahy</t>
  </si>
  <si>
    <t xml:space="preserve"> - Asociácia komunálnych ekonómov</t>
  </si>
  <si>
    <t>Komunikácia s verej.inštitúciami v mene mesta</t>
  </si>
  <si>
    <r>
      <t>MHSL m.r.o. - prevádzka budov</t>
    </r>
    <r>
      <rPr>
        <sz val="8"/>
        <rFont val="Arial CE"/>
        <charset val="238"/>
      </rPr>
      <t>, z toho:</t>
    </r>
  </si>
  <si>
    <t>MHSL m.r.o. , z toho:</t>
  </si>
  <si>
    <t>MHSL m.r.o., z toho:</t>
  </si>
  <si>
    <r>
      <t>Tovary a služby,</t>
    </r>
    <r>
      <rPr>
        <sz val="9"/>
        <rFont val="Arial CE"/>
        <charset val="238"/>
      </rPr>
      <t xml:space="preserve"> z toho:</t>
    </r>
  </si>
  <si>
    <t>Oprava a doplnenie nových dopr.zariadení</t>
  </si>
  <si>
    <r>
      <t>Tovary a služby</t>
    </r>
    <r>
      <rPr>
        <sz val="8"/>
        <rFont val="Arial CE"/>
        <charset val="238"/>
      </rPr>
      <t>, z toho:</t>
    </r>
  </si>
  <si>
    <t>Artkino Metro</t>
  </si>
  <si>
    <r>
      <t>MHSL m.r.o. - údržba zelene</t>
    </r>
    <r>
      <rPr>
        <sz val="8"/>
        <rFont val="Arial CE"/>
        <charset val="238"/>
      </rPr>
      <t>, z toho:</t>
    </r>
  </si>
  <si>
    <t>SSMT m.r.o. z toho:</t>
  </si>
  <si>
    <t>SSMT m.r.o., z toho:</t>
  </si>
  <si>
    <r>
      <t>SSMT m.r.o.</t>
    </r>
    <r>
      <rPr>
        <sz val="9"/>
        <rFont val="Arial CE"/>
        <charset val="238"/>
      </rPr>
      <t>, z toho:</t>
    </r>
  </si>
  <si>
    <r>
      <t>SSMT m.r.o.</t>
    </r>
    <r>
      <rPr>
        <sz val="8"/>
        <rFont val="Arial CE"/>
        <charset val="238"/>
      </rPr>
      <t>, z toho:</t>
    </r>
  </si>
  <si>
    <t>Energie, voda a komunikácie: telefón,poštovné</t>
  </si>
  <si>
    <t xml:space="preserve"> - prenájom kultúrnych stredísk</t>
  </si>
  <si>
    <t>Denné centrá pre seniorov</t>
  </si>
  <si>
    <t xml:space="preserve">administratívne poplatky </t>
  </si>
  <si>
    <t xml:space="preserve">  - ZŠ Novomeského</t>
  </si>
  <si>
    <t xml:space="preserve">  - ZŠ Dlhé Hony</t>
  </si>
  <si>
    <t xml:space="preserve">  - ZŠ Veľkomoravská</t>
  </si>
  <si>
    <t xml:space="preserve">  - ZŠ Kubranská</t>
  </si>
  <si>
    <t xml:space="preserve">  - ZŠ Bezruča</t>
  </si>
  <si>
    <t xml:space="preserve">  - ZŠ Východná</t>
  </si>
  <si>
    <t xml:space="preserve">  - ZŠ Na dolinách</t>
  </si>
  <si>
    <t xml:space="preserve">  - ZŠ Hodžova</t>
  </si>
  <si>
    <t>Manažment SSMT m.r.o.</t>
  </si>
  <si>
    <t>Mobiliár mesta a detské ihriská</t>
  </si>
  <si>
    <t>17</t>
  </si>
  <si>
    <t>18</t>
  </si>
  <si>
    <t>19</t>
  </si>
  <si>
    <t xml:space="preserve">Poistné a príspevok do poisťovní </t>
  </si>
  <si>
    <t>MHSL m.r.o.</t>
  </si>
  <si>
    <t>Civilná ochrana</t>
  </si>
  <si>
    <t>FK</t>
  </si>
  <si>
    <t>EK</t>
  </si>
  <si>
    <t>P/P</t>
  </si>
  <si>
    <t>PP</t>
  </si>
  <si>
    <t xml:space="preserve"> - Združenie K8</t>
  </si>
  <si>
    <t>INFO</t>
  </si>
  <si>
    <t>Prezentácia mesta v médiách</t>
  </si>
  <si>
    <t>Internetové systémy, SEO, správa turistických</t>
  </si>
  <si>
    <t>Daňová a rozpočt.agenda mesta a účtovníctvo</t>
  </si>
  <si>
    <t>Členstvo v samospr.organizáciách a združ.</t>
  </si>
  <si>
    <t xml:space="preserve">Tuzemské pracovné cesty </t>
  </si>
  <si>
    <t>Školenia, semináre, zvyš.kvalifikácie a pod.</t>
  </si>
  <si>
    <t>Výpočtová technicka do 1 700 €</t>
  </si>
  <si>
    <t>Údržba výpočtovej techniky</t>
  </si>
  <si>
    <t>Energie</t>
  </si>
  <si>
    <t>Prevádza pohrebísk a cintorínov</t>
  </si>
  <si>
    <t>Prevádzka VO</t>
  </si>
  <si>
    <t xml:space="preserve">Služby: posudky, reklama, dane, kolky a pod. </t>
  </si>
  <si>
    <t>Služby: Právne služby</t>
  </si>
  <si>
    <t xml:space="preserve">Služby: Trovy a odmeny pre exekútorov </t>
  </si>
  <si>
    <t xml:space="preserve">Služby: Súdne poplatky </t>
  </si>
  <si>
    <t>Dary, kvety, pracovné obedy a pod.</t>
  </si>
  <si>
    <t>Materiál: Tlačivá, papier, etikety, obálky a pod.</t>
  </si>
  <si>
    <t>Propagácia kult.podujatí, produktov CR, kultúry</t>
  </si>
  <si>
    <t>Propagácia a prezent.mesta: Tlačoviny, suveníry, web a p.</t>
  </si>
  <si>
    <t>Energie: Elektrická energia, plyn, vodné stočné a p.</t>
  </si>
  <si>
    <t>Materiál: farba, nálepky a p.</t>
  </si>
  <si>
    <t>Služby: zúčtovateľské služby, poplatky za správu a p.</t>
  </si>
  <si>
    <t>242</t>
  </si>
  <si>
    <t>z vkladov</t>
  </si>
  <si>
    <t>Transfery - náhrada PN, odchodné</t>
  </si>
  <si>
    <t>Mzdy, platy, OOV</t>
  </si>
  <si>
    <t>Cestovné žiakom</t>
  </si>
  <si>
    <t>Transfery  - náhrada PN</t>
  </si>
  <si>
    <t>ŠJ Gymázium FUTURUM (zriaď. FUTURE n.o.)</t>
  </si>
  <si>
    <t>ŠJ ZŠ FUTURUM (zriaď. SG FUTURUM)</t>
  </si>
  <si>
    <t>Základné školy - školské jedálne:</t>
  </si>
  <si>
    <t>ŠZMT m.r.o. - materské školy:</t>
  </si>
  <si>
    <t>Súkromná MŠ Janka Kráľa (Mgr.Valachová)</t>
  </si>
  <si>
    <t>Súkromná MŠ Slimáčik (Mgr. Mildeová)</t>
  </si>
  <si>
    <t>Súkromná MŠ Orechovská (Mgr. Masariková)</t>
  </si>
  <si>
    <t xml:space="preserve">Rutinná a štand.údržba </t>
  </si>
  <si>
    <t>Materiál - medaile</t>
  </si>
  <si>
    <t>Materiál - knihy pre prvákov</t>
  </si>
  <si>
    <t>Materiál - kvety pre učiteľov</t>
  </si>
  <si>
    <t>Cestovné</t>
  </si>
  <si>
    <t>Transfery - odchodné, náhrady PN</t>
  </si>
  <si>
    <t>stravovanie zamestnanci</t>
  </si>
  <si>
    <t>Motorové vozidlo</t>
  </si>
  <si>
    <t>Certifikačný audit</t>
  </si>
  <si>
    <t xml:space="preserve"> - Združenie miest a obcí Slovenska</t>
  </si>
  <si>
    <t xml:space="preserve"> - Združenie náčelníkov MsP</t>
  </si>
  <si>
    <t xml:space="preserve">  - MDD</t>
  </si>
  <si>
    <t xml:space="preserve">  - Čaro Vianoc pod hradom</t>
  </si>
  <si>
    <t>Dohody - prevádzka KS</t>
  </si>
  <si>
    <t>Materiál, darčeky, kvety a p.</t>
  </si>
  <si>
    <t>Dopravné (PHM, opravy,známky, ....)</t>
  </si>
  <si>
    <t>Poistenie (miliónové)</t>
  </si>
  <si>
    <t>Poistenie (zákonné, havarijné)</t>
  </si>
  <si>
    <t>Nákup stavieb</t>
  </si>
  <si>
    <t xml:space="preserve">Poistenie RD </t>
  </si>
  <si>
    <t>Údržba kamerového systému</t>
  </si>
  <si>
    <t>Softvér</t>
  </si>
  <si>
    <t>Transfery - odchodné</t>
  </si>
  <si>
    <t>MHSL m.r.o. z toho:</t>
  </si>
  <si>
    <t>MHSL m.r.o. - Krytá plaváreň</t>
  </si>
  <si>
    <t xml:space="preserve">Mzdy, platy a OOV </t>
  </si>
  <si>
    <t>MHSL m.r.o. - Letná plaváreň</t>
  </si>
  <si>
    <t>z mestských lesov - stredisko Soblahov, Brezina</t>
  </si>
  <si>
    <t>zimný štadión - prenájom priestorov</t>
  </si>
  <si>
    <t>Dendrologické posudky</t>
  </si>
  <si>
    <t>Československá obchodná banka a.s. - istina z poskytnutých úverov</t>
  </si>
  <si>
    <t>Poistenie - FŠ Opatová, FŠ Na Sihoti, FŠ Záblatie</t>
  </si>
  <si>
    <t>Stavebný úrad pre Mesto Trenčín</t>
  </si>
  <si>
    <r>
      <t xml:space="preserve">F I N A N Č N É   O P E R Á C I E </t>
    </r>
    <r>
      <rPr>
        <b/>
        <i/>
        <vertAlign val="superscript"/>
        <sz val="12"/>
        <color indexed="9"/>
        <rFont val="Arial CE"/>
        <family val="2"/>
        <charset val="238"/>
      </rPr>
      <t>*</t>
    </r>
  </si>
  <si>
    <t>Rekonštrukcia strechy</t>
  </si>
  <si>
    <t xml:space="preserve">  Program 1:   Manažment a plánovanie</t>
  </si>
  <si>
    <t xml:space="preserve">  Program 2:   Propagácia a cestovný ruch </t>
  </si>
  <si>
    <t xml:space="preserve">  Program 3:   Interné služby mesta</t>
  </si>
  <si>
    <t xml:space="preserve">  Program 4:   Služby občanom</t>
  </si>
  <si>
    <t xml:space="preserve">  Program 5:   Bezpečnosť</t>
  </si>
  <si>
    <t xml:space="preserve">  Program 6:   Doprava</t>
  </si>
  <si>
    <t xml:space="preserve">  Program 7:   Vzdelávanie</t>
  </si>
  <si>
    <t xml:space="preserve">  Program 9:  Kultúra</t>
  </si>
  <si>
    <t xml:space="preserve">  Program 10: Životné prostredie</t>
  </si>
  <si>
    <t xml:space="preserve">  Program 11: Sociálne služby</t>
  </si>
  <si>
    <t xml:space="preserve">  Program 12: Rozvoj mesta a bývanie</t>
  </si>
  <si>
    <t>Miestne médiá (rozhlas)</t>
  </si>
  <si>
    <t>Ošatné, dohody a p.</t>
  </si>
  <si>
    <t>Služby: Roznos výmerov, daň</t>
  </si>
  <si>
    <t>Úroky a poplatky súvisiace s úvermi</t>
  </si>
  <si>
    <t>01.7.0.</t>
  </si>
  <si>
    <t>Kultúrne centrum seniorov</t>
  </si>
  <si>
    <t xml:space="preserve">Odb.podujatia, networking, prieskumy a p. </t>
  </si>
  <si>
    <t>Schodok kapitálového rozpočtu</t>
  </si>
  <si>
    <t>Schodok rozpočtu</t>
  </si>
  <si>
    <t>Tlmočenie, monitoring tlače, vš.služby a p.</t>
  </si>
  <si>
    <t>CVČ sv. Svorada a Benedikta</t>
  </si>
  <si>
    <t>CVČ Piaristické gymnázium J.Braneckého</t>
  </si>
  <si>
    <t xml:space="preserve"> - Pohoda festival, s.r.o. - Festival Pohoda</t>
  </si>
  <si>
    <t xml:space="preserve"> - Artfilm, n.o. - Artfilm</t>
  </si>
  <si>
    <t xml:space="preserve"> - Tanečný klub Dukla Trenčín - Laugaricio Cup</t>
  </si>
  <si>
    <t>TJ Družstevník Opatová - dotácia na prevádzku a činnosť</t>
  </si>
  <si>
    <t>OZ Trenčiansky ÚTULOK - dotácia na prevádzku a činnosť</t>
  </si>
  <si>
    <t>TJ Družstevník Záblatie - dotácia na prevádzku a činnosť</t>
  </si>
  <si>
    <t>AS Trenčín a.s. - dotácia na prevádzku a činnosť - FŠ Na Sihoti</t>
  </si>
  <si>
    <t>Spoluúčasť na výst.a intenzifikácii kanal. systémov (Opatová,Zlatovce,Orechové,Istebník)</t>
  </si>
  <si>
    <t>Udržateľnosť projektu "Môj domov - Biele Karpaty</t>
  </si>
  <si>
    <t>Poistené - posudková činnosť</t>
  </si>
  <si>
    <t>Poplatky za nocľaháreň, prenájom fasády</t>
  </si>
  <si>
    <t xml:space="preserve">Účastnícke poplatky na konferenciách </t>
  </si>
  <si>
    <t>Reprezentačné výdavky</t>
  </si>
  <si>
    <t>Zmeny a doplnky č. 1 ÚPN</t>
  </si>
  <si>
    <t xml:space="preserve"> - Združenie informatikov samospráv</t>
  </si>
  <si>
    <t>Osobné ochranné pracovné prostriedky</t>
  </si>
  <si>
    <t xml:space="preserve">  - Trenčiansky majáles</t>
  </si>
  <si>
    <t>Organizácia mestských podujatí - materiál</t>
  </si>
  <si>
    <t>Kvety, vence, reprezentačné, materiál a pod.</t>
  </si>
  <si>
    <t>Dotácie na mládež</t>
  </si>
  <si>
    <t>PROGRAM 8:  ŠPORT A MLÁDEŽ</t>
  </si>
  <si>
    <t>PROGRAM 8:   Šport a mládež</t>
  </si>
  <si>
    <t xml:space="preserve">  Program 8:  Šport a mládež</t>
  </si>
  <si>
    <t>Dotácie na výnimočné akcie</t>
  </si>
  <si>
    <t>Granty a transfery</t>
  </si>
  <si>
    <t>007</t>
  </si>
  <si>
    <t>poplatky cudzí stravníci</t>
  </si>
  <si>
    <t>Zvuková technika - drobný materiál</t>
  </si>
  <si>
    <t>MŠ Šafárikova m.r.o. od 1.1.2014</t>
  </si>
  <si>
    <t>311</t>
  </si>
  <si>
    <t>Spoluúčasť na škodových udalostiach</t>
  </si>
  <si>
    <t xml:space="preserve">MHSL m.r.o. - Stredisko Soblahov </t>
  </si>
  <si>
    <t>Transfery - náhrady počas PN</t>
  </si>
  <si>
    <t>713</t>
  </si>
  <si>
    <t>Konvektomat</t>
  </si>
  <si>
    <t xml:space="preserve">  - Farebná veža</t>
  </si>
  <si>
    <t>Slovenský zväz protifašistických bojovníkov - ZO Trenčín - 1</t>
  </si>
  <si>
    <t>Združenie kresťanských seniorov Slovenska, klub  Trenčín - mesto</t>
  </si>
  <si>
    <t>Okresná organizácia Jednoty dôchodcov na Slovensku v Trenčíne, z toho:</t>
  </si>
  <si>
    <t xml:space="preserve">   Jednota dôchodcov - ZO č.19</t>
  </si>
  <si>
    <t xml:space="preserve">   Jednota dôchodcov - ZO č.02</t>
  </si>
  <si>
    <t xml:space="preserve">   Jednota dôchodcov - ZO č.27</t>
  </si>
  <si>
    <t xml:space="preserve">   Jednota dôchodcov - ZO č.05</t>
  </si>
  <si>
    <t xml:space="preserve">   Jednota dôchodcov - ZO č.30</t>
  </si>
  <si>
    <t xml:space="preserve">   Jednota dôchodcov - ZO č.01</t>
  </si>
  <si>
    <t xml:space="preserve">   Jednota dôchodcov - ZO č.06</t>
  </si>
  <si>
    <t>Denné centrum seniorov - Záblatie</t>
  </si>
  <si>
    <t>Denné centrum seniorov - Istebník</t>
  </si>
  <si>
    <t>Denné centrum seniorov - Zlatovce</t>
  </si>
  <si>
    <t>Denné centrum seniorov - Mierové námestie</t>
  </si>
  <si>
    <t>Denné centrum seniorov - 28.októbra</t>
  </si>
  <si>
    <t>Denné centrum seniorov - Opatová</t>
  </si>
  <si>
    <t>Denné centrum seniorov - Kubra</t>
  </si>
  <si>
    <t>Denné centrum seniorov - Kubrica</t>
  </si>
  <si>
    <t>Refugium n.o. - Zvyšovanie kvality života seniorom v DSS, ZpS a pacientov v Hospici Milosrdných sestier v Trenčíne</t>
  </si>
  <si>
    <t>Poistné: Roznos výmerov</t>
  </si>
  <si>
    <t>Služby: Auditorská činnosť</t>
  </si>
  <si>
    <t>MHSL m.r.o. - Stredisko Brezina</t>
  </si>
  <si>
    <t>R O Z P O Č E T    2 0 1 5</t>
  </si>
  <si>
    <t>* - na preklenutie časového nesúladu medzi príjmami a výdavkami rozpočtu sa môže čerpať kontokorentný úver spolu vo výške  2 500 tis. € z ČSOB a.s. s tým, že do konca roka 2015 bude predmetný úver splatený</t>
  </si>
  <si>
    <t xml:space="preserve">454 001: Prevod HV za predchádzajúci rok </t>
  </si>
  <si>
    <t>Prenájom</t>
  </si>
  <si>
    <t>Príprava a tlač strategických dokumentov</t>
  </si>
  <si>
    <t>Cestovné zamestnanci</t>
  </si>
  <si>
    <t>Implementácia projektov EU</t>
  </si>
  <si>
    <t>Realizácia mestských zásahov</t>
  </si>
  <si>
    <t>Poštové a telekom.služby, internet</t>
  </si>
  <si>
    <t>Nové opláštenie kovových stánkov</t>
  </si>
  <si>
    <t>Vojnové hroby</t>
  </si>
  <si>
    <t>Doplatok straty za rok 2014</t>
  </si>
  <si>
    <t>Záloha na rok 2015</t>
  </si>
  <si>
    <t>Podchod pre peších pod Chynoranskou traťou</t>
  </si>
  <si>
    <t>Výmena riadiacich jednotiek</t>
  </si>
  <si>
    <t xml:space="preserve">  - Festival slovenských filmov v Cran - Gevrier</t>
  </si>
  <si>
    <t xml:space="preserve">  - Farmárske jarmoky</t>
  </si>
  <si>
    <t xml:space="preserve">  - Otvorenie kultúrneho leta</t>
  </si>
  <si>
    <t>Rok 2014 - november - december</t>
  </si>
  <si>
    <t>Rok 2015: jarné a jesenné upratovanie</t>
  </si>
  <si>
    <t>Rodinné prídavky</t>
  </si>
  <si>
    <t>642</t>
  </si>
  <si>
    <t>Nákup traktora</t>
  </si>
  <si>
    <t>Konvektomat, umývačka riadu</t>
  </si>
  <si>
    <t>2 ks kombinovaný sporák</t>
  </si>
  <si>
    <t>Kombinovaný sporák, plynová panvica</t>
  </si>
  <si>
    <t>El.sporák</t>
  </si>
  <si>
    <t>Školenia</t>
  </si>
  <si>
    <t>MHSL m.r.o. :</t>
  </si>
  <si>
    <t>Ul.Opatovská - vybudovanie chodníka</t>
  </si>
  <si>
    <t>Rekonšt.ul.Šafárikova a dobudovanie stat.dopravy</t>
  </si>
  <si>
    <t>Vybavenie kuchyne</t>
  </si>
  <si>
    <t>Ostatné</t>
  </si>
  <si>
    <t>Granty</t>
  </si>
  <si>
    <t>Transfery - odchodné, PN</t>
  </si>
  <si>
    <t>Materiál: PC, Občerstvenie a pod.</t>
  </si>
  <si>
    <t>z prenajatých strojov, prístrojov, zariadení, techniky a náradia</t>
  </si>
  <si>
    <t>výmena okien</t>
  </si>
  <si>
    <t>01.1.1.</t>
  </si>
  <si>
    <t>08.2.0.</t>
  </si>
  <si>
    <t>10.7.0.</t>
  </si>
  <si>
    <t>10.9.0.</t>
  </si>
  <si>
    <t>10.2.0.</t>
  </si>
  <si>
    <t>10.1.2.</t>
  </si>
  <si>
    <t>10.4.0.</t>
  </si>
  <si>
    <t xml:space="preserve">MESTSKÉ HOSPODÁRSTVO a SPRÁVA LESOV m.r.o. </t>
  </si>
  <si>
    <t>Centrum voľného času m.r.o.</t>
  </si>
  <si>
    <t>MŠ Šafáriková m.r.o.</t>
  </si>
  <si>
    <t>09.6.0.</t>
  </si>
  <si>
    <t>Hardver</t>
  </si>
  <si>
    <t>Softver</t>
  </si>
  <si>
    <t>Europrojekty - žiadosti, správy a p.</t>
  </si>
  <si>
    <t>Stroj na výtlky</t>
  </si>
  <si>
    <t>Auto s plošinou</t>
  </si>
  <si>
    <t>09.2.1.1.</t>
  </si>
  <si>
    <t>Nižšie sekundárne vzdel. s bežnou star. (II.stupeň ZŠ)</t>
  </si>
  <si>
    <t>Primárne vzdelávanie s bežnou star. (I.stupeň ZŠ)</t>
  </si>
  <si>
    <t>09.6.0.2.</t>
  </si>
  <si>
    <t>09.6.0.3.</t>
  </si>
  <si>
    <t>Vedľajšie služby v rámci nižšieho sekund.vz. (II.st. ZŠ)</t>
  </si>
  <si>
    <t>Vedľajšie služby v rámci primárneho vz. (I.st. ZŠ)</t>
  </si>
  <si>
    <t>REZERVA</t>
  </si>
  <si>
    <t>Kultúrne strediská</t>
  </si>
  <si>
    <t>Bočkove sady - odvodnenie</t>
  </si>
  <si>
    <t>Odvodnenie MK Niva</t>
  </si>
  <si>
    <t>MHSL m.r.o.  z toho:</t>
  </si>
  <si>
    <t>Mladý záchranár (leto)</t>
  </si>
  <si>
    <t>Grafikon MHD</t>
  </si>
  <si>
    <t>Trafostanica - prekládka</t>
  </si>
  <si>
    <t>Dopravné značenie Ul. Zlatovská</t>
  </si>
  <si>
    <t>Príprava projektov EU</t>
  </si>
  <si>
    <t>Rekonštrukcia časti strechy Mier.námestie č.2</t>
  </si>
  <si>
    <t>Kotolňa - búracie práce</t>
  </si>
  <si>
    <t>PD Trafostanica</t>
  </si>
  <si>
    <t>Podnájom priestorov v športovej hale</t>
  </si>
  <si>
    <t>Prenájom priestorov futbalového štadióna</t>
  </si>
  <si>
    <t>Spracovanie ÚPN do GIS</t>
  </si>
  <si>
    <t>Aktualizácia katastrálnych máp, technickej mapy mesta, pasporty</t>
  </si>
  <si>
    <t>513 002: Prijatie bankového úveru</t>
  </si>
  <si>
    <t>Architektonické štúdie</t>
  </si>
  <si>
    <t xml:space="preserve">Poplatok za komunálny odpad </t>
  </si>
  <si>
    <t>Služby: poistenie, reklama, štúdie, posudky a p.</t>
  </si>
  <si>
    <t>Služby: posudky, reklama, kolky, poistenie a p.</t>
  </si>
  <si>
    <t>PD - Cykl.prepojenie Centrum - sídlisko Juh</t>
  </si>
  <si>
    <t>Rek.križovatky Šmidkeho Halašu Novomeského</t>
  </si>
  <si>
    <t>2 ks umývačky riadu</t>
  </si>
  <si>
    <t>Rozpočet 2015</t>
  </si>
  <si>
    <t>Bežný rozpočet 2015</t>
  </si>
  <si>
    <t>Kapitálový rozpočet 2015</t>
  </si>
  <si>
    <t>PROGRAM 1: MANAŽMENT a PLÁNOVANIE</t>
  </si>
  <si>
    <t>Upravený rozpočet 2015</t>
  </si>
  <si>
    <r>
      <t xml:space="preserve">Upravený rozpočet 2015                              - </t>
    </r>
    <r>
      <rPr>
        <b/>
        <sz val="8"/>
        <color indexed="9"/>
        <rFont val="Arial CE"/>
        <charset val="238"/>
      </rPr>
      <t xml:space="preserve">bežné výdavky   </t>
    </r>
  </si>
  <si>
    <r>
      <t>Upravený rozpočet 2015 -</t>
    </r>
    <r>
      <rPr>
        <b/>
        <sz val="8"/>
        <color indexed="9"/>
        <rFont val="Arial CE"/>
        <charset val="238"/>
      </rPr>
      <t xml:space="preserve"> kapitálové výdavky</t>
    </r>
  </si>
  <si>
    <t>z prenájmu krytej a letnej plavárne</t>
  </si>
  <si>
    <t>Chladnička</t>
  </si>
  <si>
    <t>Elektrická smažička</t>
  </si>
  <si>
    <t>Plynový sporák s el.rúrou</t>
  </si>
  <si>
    <t>2 ks plyn.sporáky s elek.rúrou, robot, parný kotol</t>
  </si>
  <si>
    <t xml:space="preserve">Plynový sporák s el.rúrou, chladnička, mraznička </t>
  </si>
  <si>
    <t>Elektrická panvica</t>
  </si>
  <si>
    <t>Odvoz vedľajších živočíšnych produktov</t>
  </si>
  <si>
    <t>Dotácia KC Aktivity, o.z.</t>
  </si>
  <si>
    <t>Dotácia KC Stred, o.z.</t>
  </si>
  <si>
    <t>821 005 - Splácanie istín z dohôd o reštrukturalizácii dlhu</t>
  </si>
  <si>
    <t>Československá obchodná banka a.s. - istina z dohody o reštrukturalizácii dlhu</t>
  </si>
  <si>
    <t>Československá obchodná banka a.s. - splátky verejného dlhu</t>
  </si>
  <si>
    <t>Slovenská sporiteľňa a.s. - istina z dohody o reštrukturalizácii dlhu</t>
  </si>
  <si>
    <t xml:space="preserve"> - TJ Družstevník Záblatie - dotácia na činnosť klubu</t>
  </si>
  <si>
    <t xml:space="preserve"> - TJ Družstevník Opatová - dotácia na činnosť klubu</t>
  </si>
  <si>
    <t>DHZ Opatová - činnosť dobrovoľného hasičského zboru</t>
  </si>
  <si>
    <t>DHZ Záblatie - činnosť dobrovoľného hasičského zboru</t>
  </si>
  <si>
    <t>DHZ Kubrica - činnosť dobrovoľného hasičského zboru</t>
  </si>
  <si>
    <t>Dary, sponzorské</t>
  </si>
  <si>
    <t>PD - Priechod pre chodcov ul.Hodžova</t>
  </si>
  <si>
    <t>Priechod pre chodcov ul. Hodžova</t>
  </si>
  <si>
    <t>Chodník na ul. Karpatská</t>
  </si>
  <si>
    <t>PD Nozdrkovský chodník v úseku ČOV</t>
  </si>
  <si>
    <t xml:space="preserve">Rekonštrukcia   </t>
  </si>
  <si>
    <t>TJ Družstevník Opatová - energie</t>
  </si>
  <si>
    <t xml:space="preserve"> - Hala, o.z. - HALA 2015</t>
  </si>
  <si>
    <t xml:space="preserve"> - FS Nadšenci o.z. - 8.Tanečný dom v Trenčíne</t>
  </si>
  <si>
    <t xml:space="preserve"> - AS Trenčín a.s. - Hviezdy deťom</t>
  </si>
  <si>
    <t xml:space="preserve"> - HoryZonty o.z. - HoryZonty</t>
  </si>
  <si>
    <t xml:space="preserve"> - Beňadik n.f. - Mariánsky koncert</t>
  </si>
  <si>
    <t xml:space="preserve"> - Kolomaž o.z. - Sám na javisku</t>
  </si>
  <si>
    <t xml:space="preserve"> - Agentúra Crea s.r.o. - Trenčiansky Septemberfest 2015</t>
  </si>
  <si>
    <t xml:space="preserve"> - Klub priateľov vážnej hudby v Trenčín o.z. - Múzy pod hradom</t>
  </si>
  <si>
    <t>PD - športový areál</t>
  </si>
  <si>
    <t>Referendum 2015</t>
  </si>
  <si>
    <t xml:space="preserve"> - pozemky</t>
  </si>
  <si>
    <t>231</t>
  </si>
  <si>
    <t>Príjem z predaja budov</t>
  </si>
  <si>
    <t xml:space="preserve"> - príjem z predaja domov - MŽT</t>
  </si>
  <si>
    <t xml:space="preserve"> - príjem z predaja bytov</t>
  </si>
  <si>
    <t>Vrátenie nevyčerpaného grantu z roku 2014</t>
  </si>
  <si>
    <t>Dom smútku Juh - rekonštr.a zateplenie strechy</t>
  </si>
  <si>
    <t>MČ Západ - rozšírenie cintorína Zlatovce</t>
  </si>
  <si>
    <t>MČ Sever - rekonštrukcia rozhlasu v Kubrej</t>
  </si>
  <si>
    <t>Nozdrkovský chodník</t>
  </si>
  <si>
    <t>MČ Juh - ul.Novomeského - rekonštrukcia MK</t>
  </si>
  <si>
    <t>MČ Juh - ul.Šafárikova - Liptovská</t>
  </si>
  <si>
    <t>MČ Juh - ul.Kyjevská - stanovištia pre smetné nádoby</t>
  </si>
  <si>
    <t>MČ Juh - ul. Západná - PD rekonštrukcia MK</t>
  </si>
  <si>
    <t>MČ Juh - ul. Západná - rekonštrukcia MK</t>
  </si>
  <si>
    <t>MČ Juh - ul. Východná - PD chodník</t>
  </si>
  <si>
    <t>MČ Juh - ul. Šafárikova - PD parkovanie</t>
  </si>
  <si>
    <t>MČ Juh - ul. Novomeského  - rekonštrukcia</t>
  </si>
  <si>
    <t>MČ Juh - Halalovka - chodník</t>
  </si>
  <si>
    <t>MČ Juh - Saratovská  - PD chodník</t>
  </si>
  <si>
    <t>MČ Juh - Saratovská  - PD parkovanie</t>
  </si>
  <si>
    <t>MČ Juh - Východná - chodník</t>
  </si>
  <si>
    <t>MČ Juh - M.Bela - Halalovka - priechod pre chodcov</t>
  </si>
  <si>
    <t>MČ Sever - Pod Sokolice - rekonštrukcia</t>
  </si>
  <si>
    <t>MČ Sever - Gen.Viesta - chodník</t>
  </si>
  <si>
    <t xml:space="preserve">MČ Sever - PD Šoltésovej </t>
  </si>
  <si>
    <t>MČ Sever - ul. I.Krasku - parkovanie</t>
  </si>
  <si>
    <t>MČ Sever - Opatovská + Žilinská</t>
  </si>
  <si>
    <t>MČ Stred - Pod Komárky - rekonštrukcia</t>
  </si>
  <si>
    <t>MČ Stred - PD Pod Komárky - rekonštrukcia</t>
  </si>
  <si>
    <t>MČ Západ - ul. Jahodová - nová komunikácia</t>
  </si>
  <si>
    <t>Nevyčerpaná dotácia z roku 2014</t>
  </si>
  <si>
    <t>strecha + múr</t>
  </si>
  <si>
    <t>MČ Západ - Futbalové ihrisko Záblatie</t>
  </si>
  <si>
    <t>Vrátenie nevyčerpanej dotácie z roku 2014</t>
  </si>
  <si>
    <t>Nevyčerpané fin.prostriedky z roku 2014</t>
  </si>
  <si>
    <t>453: Nevyčerpaná dotácia za rok 2014</t>
  </si>
  <si>
    <t>513: Prijatie dlhodobého účelového úveru</t>
  </si>
  <si>
    <t>Československá obchodná banka a.s. - splatenie úveru</t>
  </si>
  <si>
    <t>PD - rekonštrukcia strechy</t>
  </si>
  <si>
    <t>MČ Sever - údržba povrchu hrádze</t>
  </si>
  <si>
    <t>MČ Stred -PD  rekonštrukcia detského ihriska na Karpatskej ul.</t>
  </si>
  <si>
    <t>MČ Stred - rekonštr. Priechodu pre chodcov na Ul.Legionárska pri Perle,na Ul.Soblahovská pri cintoríne, na Ul.Piaristická pri poliklinike</t>
  </si>
  <si>
    <t>MČ Stred - PD - priechod pre chodcov na Ul.Súdna</t>
  </si>
  <si>
    <t>MČ Stred - rekonštr.schodov na ul.Cintorínska a Nová</t>
  </si>
  <si>
    <t>MČ Stred - rekonštr. chodníka na Nám.sv.Anny</t>
  </si>
  <si>
    <t>MČ Stred - Čerešňový sad v lesoparku Brezina-vybudovanie altánku</t>
  </si>
  <si>
    <t>MČ Stred - Čerešňový sad v lesoparku Brezina</t>
  </si>
  <si>
    <t>MČ Stred -rekonštrukcia domu smútku v Biskupiciach</t>
  </si>
  <si>
    <t>MČ Stred - MŠ Soblahovská-úprava soc.zariadení</t>
  </si>
  <si>
    <t>MČ Stred - rekonštrukcia umyvárky pre deti</t>
  </si>
  <si>
    <t>MČ Juh - sociálne zariadenia</t>
  </si>
  <si>
    <t>PD - Rek.križovatky Šmidkeho Halašu Novomeského</t>
  </si>
  <si>
    <t>Dar na MDD</t>
  </si>
  <si>
    <t>TJ Družstevník Záblatie -energie</t>
  </si>
  <si>
    <t>Ora et ars</t>
  </si>
  <si>
    <t>MČ Sever - PD na dopravné značenie MK Žilinská</t>
  </si>
  <si>
    <t>PD - Rozšírenie cintorína v Zlatovciach (MČ Západ 988 €)</t>
  </si>
  <si>
    <t>Poistné do poisťovní - roznos dotazníkov</t>
  </si>
  <si>
    <t xml:space="preserve"> - AS Trenčín, a.s. - projekcia športového zápasu a ukončenie najvyššej futbalovej súťaže</t>
  </si>
  <si>
    <t xml:space="preserve"> - Hádzanársky klub Štart o.z. - Oslavy 90 rokov hádzanej v Trenčíne</t>
  </si>
  <si>
    <t xml:space="preserve"> - Kraso Trenčín o.z.: činnosť</t>
  </si>
  <si>
    <t>Klimatizácia podkrovie Mierové nám.č.2</t>
  </si>
  <si>
    <t>Valec k stroju na výtlky</t>
  </si>
  <si>
    <t>Rekonštrukcia Mierového námestia</t>
  </si>
  <si>
    <t xml:space="preserve">MČ Stred - rekonštrukcia  </t>
  </si>
  <si>
    <t>Zimný štadion - rekonštrukcia šatní</t>
  </si>
  <si>
    <t>Ul.Soblahovská- betónová zástena pri smet.nádobách</t>
  </si>
  <si>
    <t>MČ Stred -rekonštrukcia detského ihriska na Karpatskej ul.</t>
  </si>
  <si>
    <t>Kastrácia túlavých mačiek</t>
  </si>
  <si>
    <t>Rozšírenie a modernizácia kamer.systému Mestskej polície v Trenčíne</t>
  </si>
  <si>
    <t>Dotácia MK SR - Pri trenčianskej bráne</t>
  </si>
  <si>
    <t>Dotácia MK SR - Ora et Ars</t>
  </si>
  <si>
    <t>Dotácia MK SR - Farebná veža</t>
  </si>
  <si>
    <t>09.5.0</t>
  </si>
  <si>
    <t xml:space="preserve"> - SHŠ Wagus, n.o.  -  Trenčianske historické slávnosti</t>
  </si>
  <si>
    <t>Dotácia KC Kubra, o.z.</t>
  </si>
  <si>
    <t>Príspevok obyvateľovi mesta na sociálnu službu</t>
  </si>
  <si>
    <t>Stavebná, bežná a zimná údržba</t>
  </si>
  <si>
    <t>Rok 2015 - január - október</t>
  </si>
  <si>
    <t>MČ Sever - PD ul. I.Krasku - parkovanie</t>
  </si>
  <si>
    <t>PD: MŠ Legionárska rozšírenie</t>
  </si>
  <si>
    <t>Športový areál</t>
  </si>
  <si>
    <t>Rímskokatolícka cirkev Farnosť Trenčín - Orechové: dotáca na opravu dažďovej kanalizácie pred kostolom v Orechovom</t>
  </si>
  <si>
    <t>Rekonštrukcia komunikácií, obrubníkov  a odvodnenia cintorína na Juhu</t>
  </si>
  <si>
    <t>Śtúdia modernizácie VO v meste</t>
  </si>
  <si>
    <t>322</t>
  </si>
  <si>
    <t>Dotácia z MV SR - rozšírenie a modernizácia kamerového systému MsP</t>
  </si>
  <si>
    <t>006</t>
  </si>
  <si>
    <t>z dobropisov</t>
  </si>
  <si>
    <t>017</t>
  </si>
  <si>
    <t>vratky</t>
  </si>
  <si>
    <t>019</t>
  </si>
  <si>
    <t>príjmy z dobropisov</t>
  </si>
  <si>
    <t>príjmy z vratiek</t>
  </si>
  <si>
    <t>príjmy z refundácie</t>
  </si>
  <si>
    <t>príjmy z darov</t>
  </si>
  <si>
    <t>Židovská náboženská obec Trenčín - dotácia na opravu strechy Trenčianskej synagógy</t>
  </si>
  <si>
    <t>Dar pri Trenčianskej bráne</t>
  </si>
  <si>
    <t>Návrh na Zmenu Programového rozpočtu Mesta Trenčín na rok 2015</t>
  </si>
  <si>
    <t>Návrh na zmenu +/-</t>
  </si>
  <si>
    <t>Zmena rozpočtu +/-</t>
  </si>
  <si>
    <t>Upravený bežný rozpočet 2015</t>
  </si>
  <si>
    <t>Upravený kapitálový rozpočet 2015</t>
  </si>
  <si>
    <t>Prídavné pódium</t>
  </si>
  <si>
    <t>Transfer Spojenej škole internátne V.Predmerského</t>
  </si>
  <si>
    <t>641</t>
  </si>
  <si>
    <t>Dotácia pre deti v hmotnej núdzi</t>
  </si>
  <si>
    <t>rekonštrukcia strechy pavilónov 1.-3.</t>
  </si>
  <si>
    <t>výmena dverí</t>
  </si>
  <si>
    <t>714</t>
  </si>
  <si>
    <t>Nákup osobného automobilu</t>
  </si>
  <si>
    <t>Transfer - Implementačná agentúra MPSVaR SR</t>
  </si>
  <si>
    <t>nákup traktora s nakladačom</t>
  </si>
  <si>
    <t xml:space="preserve"> - Hokejový klub Dukla Trenčín a.s. - dotácia na činnosť klubu</t>
  </si>
  <si>
    <t>Refugium n.o. - Na zabezpečenie starostlivosti o nevyliečiteľne chorých a zomierajúcich v Hospici Milosrdných sestier v Trenčíne</t>
  </si>
  <si>
    <t>Nájom</t>
  </si>
  <si>
    <t xml:space="preserve"> - ZŠ Na Dolinách</t>
  </si>
  <si>
    <t>MČ Juh - ul.Šafárikova pod ZŠ statická doprava</t>
  </si>
  <si>
    <t xml:space="preserve"> - Trenčan, folklórny súbor Gymnázia Ľ.Štúra - Krst CD kolied</t>
  </si>
  <si>
    <t>Transfery - PN</t>
  </si>
  <si>
    <t>Členské OOCR</t>
  </si>
  <si>
    <t>AS Trenčín a.s. - dotácia na činnosť mládeže</t>
  </si>
  <si>
    <t>Dotácie na šport a mládež</t>
  </si>
  <si>
    <t>Z náhrad poistného plnenia MŠ Turkovej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</si>
</sst>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0" x14ac:knownFonts="1">
    <font>
      <sz val="10"/>
      <name val="Arial"/>
      <charset val="238"/>
    </font>
    <font>
      <sz val="8"/>
      <name val="Arial"/>
      <family val="2"/>
      <charset val="238"/>
    </font>
    <font>
      <b/>
      <sz val="8"/>
      <name val="Arial CE"/>
      <family val="2"/>
      <charset val="238"/>
    </font>
    <font>
      <sz val="8"/>
      <name val="Arial CE"/>
      <family val="2"/>
      <charset val="238"/>
    </font>
    <font>
      <sz val="8"/>
      <name val="Arial CE"/>
      <charset val="238"/>
    </font>
    <font>
      <b/>
      <i/>
      <sz val="8"/>
      <name val="Arial CE"/>
      <family val="2"/>
      <charset val="238"/>
    </font>
    <font>
      <b/>
      <sz val="9"/>
      <name val="Arial CE"/>
      <charset val="238"/>
    </font>
    <font>
      <b/>
      <sz val="9"/>
      <name val="Arial CE"/>
      <family val="2"/>
      <charset val="238"/>
    </font>
    <font>
      <sz val="9"/>
      <name val="Arial CE"/>
      <family val="2"/>
      <charset val="238"/>
    </font>
    <font>
      <b/>
      <sz val="10"/>
      <name val="Arial CE"/>
      <charset val="238"/>
    </font>
    <font>
      <b/>
      <i/>
      <sz val="12"/>
      <name val="Arial CE"/>
      <charset val="238"/>
    </font>
    <font>
      <b/>
      <sz val="10"/>
      <name val="Arial"/>
      <family val="2"/>
      <charset val="238"/>
    </font>
    <font>
      <b/>
      <i/>
      <sz val="12"/>
      <name val="Arial CE"/>
      <family val="2"/>
      <charset val="238"/>
    </font>
    <font>
      <b/>
      <sz val="8"/>
      <name val="Arial CE"/>
      <charset val="238"/>
    </font>
    <font>
      <sz val="6"/>
      <name val="Arial CE"/>
      <family val="2"/>
      <charset val="238"/>
    </font>
    <font>
      <b/>
      <i/>
      <sz val="9"/>
      <name val="Arial CE"/>
      <family val="2"/>
      <charset val="238"/>
    </font>
    <font>
      <b/>
      <sz val="10"/>
      <name val="Arial CE"/>
      <family val="2"/>
      <charset val="238"/>
    </font>
    <font>
      <i/>
      <sz val="8"/>
      <name val="Arial CE"/>
      <family val="2"/>
      <charset val="238"/>
    </font>
    <font>
      <b/>
      <i/>
      <sz val="8"/>
      <name val="Arial CE"/>
      <charset val="238"/>
    </font>
    <font>
      <b/>
      <i/>
      <sz val="9"/>
      <name val="Arial CE"/>
      <charset val="238"/>
    </font>
    <font>
      <b/>
      <i/>
      <sz val="10"/>
      <name val="Arial CE"/>
      <family val="2"/>
      <charset val="238"/>
    </font>
    <font>
      <sz val="9"/>
      <name val="Arial CE"/>
      <charset val="238"/>
    </font>
    <font>
      <b/>
      <sz val="9"/>
      <color indexed="8"/>
      <name val="Arial CE"/>
      <family val="2"/>
      <charset val="238"/>
    </font>
    <font>
      <sz val="10"/>
      <name val="Arial CE"/>
      <family val="2"/>
      <charset val="238"/>
    </font>
    <font>
      <i/>
      <sz val="9"/>
      <name val="Arial CE"/>
      <family val="2"/>
      <charset val="238"/>
    </font>
    <font>
      <b/>
      <sz val="11"/>
      <name val="Arial CE"/>
      <family val="2"/>
      <charset val="238"/>
    </font>
    <font>
      <sz val="10"/>
      <name val="Arial CE"/>
      <charset val="238"/>
    </font>
    <font>
      <b/>
      <i/>
      <sz val="10"/>
      <name val="Arial CE"/>
      <charset val="238"/>
    </font>
    <font>
      <sz val="10"/>
      <name val="Arial"/>
      <family val="2"/>
      <charset val="238"/>
    </font>
    <font>
      <b/>
      <sz val="11"/>
      <color indexed="9"/>
      <name val="Arial CE"/>
      <family val="2"/>
      <charset val="238"/>
    </font>
    <font>
      <b/>
      <sz val="8"/>
      <color indexed="9"/>
      <name val="Arial CE"/>
      <charset val="238"/>
    </font>
    <font>
      <b/>
      <sz val="14"/>
      <color indexed="9"/>
      <name val="Arial CE"/>
      <charset val="238"/>
    </font>
    <font>
      <b/>
      <sz val="11"/>
      <color indexed="9"/>
      <name val="Arial CE"/>
      <charset val="238"/>
    </font>
    <font>
      <b/>
      <sz val="12"/>
      <name val="Arial CE"/>
      <family val="2"/>
      <charset val="238"/>
    </font>
    <font>
      <sz val="8"/>
      <color indexed="9"/>
      <name val="Arial CE"/>
      <charset val="238"/>
    </font>
    <font>
      <b/>
      <sz val="22"/>
      <color indexed="18"/>
      <name val="Tahoma"/>
      <family val="2"/>
      <charset val="238"/>
    </font>
    <font>
      <sz val="9"/>
      <name val="Arial"/>
      <family val="2"/>
      <charset val="238"/>
    </font>
    <font>
      <sz val="10"/>
      <color indexed="10"/>
      <name val="Arial CE"/>
      <charset val="238"/>
    </font>
    <font>
      <b/>
      <sz val="12"/>
      <color indexed="9"/>
      <name val="Arial CE"/>
      <charset val="238"/>
    </font>
    <font>
      <sz val="11"/>
      <name val="Arial"/>
      <family val="2"/>
      <charset val="238"/>
    </font>
    <font>
      <b/>
      <sz val="11"/>
      <name val="Arial CE"/>
      <charset val="238"/>
    </font>
    <font>
      <sz val="12"/>
      <name val="Arial"/>
      <family val="2"/>
      <charset val="238"/>
    </font>
    <font>
      <b/>
      <i/>
      <sz val="14"/>
      <color indexed="9"/>
      <name val="Arial CE"/>
      <family val="2"/>
      <charset val="238"/>
    </font>
    <font>
      <sz val="14"/>
      <color indexed="9"/>
      <name val="Arial"/>
      <family val="2"/>
      <charset val="238"/>
    </font>
    <font>
      <sz val="11"/>
      <name val="Arial CE"/>
      <charset val="238"/>
    </font>
    <font>
      <sz val="11"/>
      <name val="Arial CE"/>
      <family val="2"/>
      <charset val="238"/>
    </font>
    <font>
      <b/>
      <i/>
      <sz val="12"/>
      <color indexed="9"/>
      <name val="Arial CE"/>
      <charset val="238"/>
    </font>
    <font>
      <sz val="8"/>
      <color indexed="18"/>
      <name val="Arial CE"/>
      <family val="2"/>
      <charset val="238"/>
    </font>
    <font>
      <sz val="6"/>
      <color indexed="18"/>
      <name val="Arial CE"/>
      <family val="2"/>
      <charset val="238"/>
    </font>
    <font>
      <b/>
      <sz val="10"/>
      <color indexed="18"/>
      <name val="Arial CE"/>
      <charset val="238"/>
    </font>
    <font>
      <sz val="8"/>
      <color indexed="9"/>
      <name val="Arial CE"/>
      <family val="2"/>
      <charset val="238"/>
    </font>
    <font>
      <b/>
      <i/>
      <sz val="11"/>
      <color indexed="9"/>
      <name val="Arial CE"/>
      <family val="2"/>
      <charset val="238"/>
    </font>
    <font>
      <b/>
      <i/>
      <sz val="11"/>
      <color indexed="56"/>
      <name val="Arial CE"/>
      <family val="2"/>
      <charset val="238"/>
    </font>
    <font>
      <b/>
      <sz val="9"/>
      <color indexed="9"/>
      <name val="Arial CE"/>
      <charset val="238"/>
    </font>
    <font>
      <b/>
      <sz val="10"/>
      <color indexed="9"/>
      <name val="Arial CE"/>
      <family val="2"/>
      <charset val="238"/>
    </font>
    <font>
      <b/>
      <sz val="10"/>
      <color indexed="9"/>
      <name val="Arial CE"/>
      <charset val="238"/>
    </font>
    <font>
      <b/>
      <i/>
      <sz val="10"/>
      <color indexed="9"/>
      <name val="Arial CE"/>
      <family val="2"/>
      <charset val="238"/>
    </font>
    <font>
      <b/>
      <i/>
      <sz val="14"/>
      <color indexed="9"/>
      <name val="Arial CE"/>
      <family val="2"/>
      <charset val="238"/>
    </font>
    <font>
      <b/>
      <i/>
      <sz val="16"/>
      <color indexed="9"/>
      <name val="Arial CE"/>
      <family val="2"/>
      <charset val="238"/>
    </font>
    <font>
      <b/>
      <sz val="16"/>
      <color indexed="9"/>
      <name val="Arial CE"/>
      <family val="2"/>
      <charset val="238"/>
    </font>
    <font>
      <b/>
      <sz val="11"/>
      <color indexed="9"/>
      <name val="Arial CE"/>
      <charset val="238"/>
    </font>
    <font>
      <b/>
      <sz val="11"/>
      <color indexed="9"/>
      <name val="Arial CE"/>
      <family val="2"/>
      <charset val="238"/>
    </font>
    <font>
      <b/>
      <sz val="12"/>
      <color indexed="9"/>
      <name val="Arial CE"/>
      <family val="2"/>
      <charset val="238"/>
    </font>
    <font>
      <b/>
      <sz val="12"/>
      <color indexed="9"/>
      <name val="Arial CE"/>
      <charset val="238"/>
    </font>
    <font>
      <b/>
      <i/>
      <sz val="12"/>
      <color indexed="9"/>
      <name val="Arial CE"/>
      <charset val="238"/>
    </font>
    <font>
      <b/>
      <sz val="20"/>
      <color indexed="18"/>
      <name val="Arial CE"/>
      <family val="2"/>
      <charset val="238"/>
    </font>
    <font>
      <sz val="20"/>
      <color indexed="18"/>
      <name val="Arial CE"/>
      <family val="2"/>
      <charset val="238"/>
    </font>
    <font>
      <sz val="12"/>
      <color indexed="9"/>
      <name val="Arial"/>
      <family val="2"/>
      <charset val="238"/>
    </font>
    <font>
      <i/>
      <sz val="9"/>
      <name val="Arial CE"/>
      <charset val="238"/>
    </font>
    <font>
      <b/>
      <sz val="12"/>
      <name val="Arial CE"/>
      <charset val="238"/>
    </font>
    <font>
      <sz val="11"/>
      <color indexed="8"/>
      <name val="Calibri"/>
      <family val="2"/>
      <charset val="238"/>
    </font>
    <font>
      <b/>
      <i/>
      <sz val="11"/>
      <color indexed="9"/>
      <name val="Arial CE"/>
      <charset val="238"/>
    </font>
    <font>
      <b/>
      <i/>
      <sz val="9"/>
      <color indexed="56"/>
      <name val="Arial"/>
      <family val="2"/>
      <charset val="238"/>
    </font>
    <font>
      <sz val="11"/>
      <color indexed="9"/>
      <name val="Arial"/>
      <family val="2"/>
      <charset val="238"/>
    </font>
    <font>
      <b/>
      <sz val="8"/>
      <name val="Arial"/>
      <family val="2"/>
      <charset val="238"/>
    </font>
    <font>
      <b/>
      <sz val="8"/>
      <color indexed="18"/>
      <name val="Tahoma"/>
      <family val="2"/>
      <charset val="238"/>
    </font>
    <font>
      <b/>
      <i/>
      <vertAlign val="superscript"/>
      <sz val="12"/>
      <color indexed="9"/>
      <name val="Arial CE"/>
      <family val="2"/>
      <charset val="238"/>
    </font>
    <font>
      <b/>
      <sz val="16"/>
      <color indexed="30"/>
      <name val="Arial Black"/>
      <family val="2"/>
      <charset val="238"/>
    </font>
    <font>
      <b/>
      <sz val="16"/>
      <color indexed="18"/>
      <name val="Tahoma"/>
      <family val="2"/>
      <charset val="238"/>
    </font>
    <font>
      <i/>
      <sz val="8"/>
      <name val="Arial CE"/>
      <charset val="238"/>
    </font>
    <font>
      <b/>
      <i/>
      <sz val="11"/>
      <name val="Arial CE"/>
      <charset val="238"/>
    </font>
    <font>
      <b/>
      <sz val="12"/>
      <color indexed="18"/>
      <name val="Tahoma"/>
      <family val="2"/>
      <charset val="238"/>
    </font>
    <font>
      <b/>
      <sz val="20"/>
      <color indexed="12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9"/>
      <color theme="0"/>
      <name val="Arial CE"/>
      <charset val="238"/>
    </font>
    <font>
      <b/>
      <sz val="11"/>
      <color theme="0"/>
      <name val="Arial CE"/>
      <charset val="238"/>
    </font>
    <font>
      <b/>
      <sz val="12"/>
      <color theme="0"/>
      <name val="Arial CE"/>
      <charset val="238"/>
    </font>
    <font>
      <b/>
      <sz val="20"/>
      <color rgb="FF000080"/>
      <name val="Tahoma"/>
      <family val="2"/>
      <charset val="238"/>
    </font>
    <font>
      <b/>
      <i/>
      <sz val="12"/>
      <color theme="0"/>
      <name val="Arial CE"/>
      <family val="2"/>
      <charset val="238"/>
    </font>
    <font>
      <b/>
      <sz val="10"/>
      <color rgb="FFFF0000"/>
      <name val="Arial CE"/>
      <charset val="238"/>
    </font>
  </fonts>
  <fills count="3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9FFCC"/>
        <bgColor indexed="64"/>
      </patternFill>
    </fill>
  </fills>
  <borders count="7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70" fillId="0" borderId="0"/>
    <xf numFmtId="0" fontId="28" fillId="0" borderId="0"/>
    <xf numFmtId="0" fontId="28" fillId="0" borderId="0"/>
    <xf numFmtId="0" fontId="28" fillId="0" borderId="0"/>
    <xf numFmtId="0" fontId="83" fillId="0" borderId="0"/>
  </cellStyleXfs>
  <cellXfs count="946">
    <xf numFmtId="0" fontId="0" fillId="0" borderId="0" xfId="0"/>
    <xf numFmtId="49" fontId="4" fillId="0" borderId="1" xfId="0" applyNumberFormat="1" applyFont="1" applyFill="1" applyBorder="1" applyAlignment="1">
      <alignment horizontal="center"/>
    </xf>
    <xf numFmtId="49" fontId="4" fillId="0" borderId="2" xfId="0" applyNumberFormat="1" applyFont="1" applyFill="1" applyBorder="1" applyAlignment="1">
      <alignment horizontal="center"/>
    </xf>
    <xf numFmtId="49" fontId="5" fillId="0" borderId="2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Fill="1" applyBorder="1"/>
    <xf numFmtId="49" fontId="3" fillId="0" borderId="2" xfId="0" applyNumberFormat="1" applyFont="1" applyFill="1" applyBorder="1" applyAlignment="1">
      <alignment horizontal="center"/>
    </xf>
    <xf numFmtId="49" fontId="5" fillId="2" borderId="3" xfId="0" applyNumberFormat="1" applyFont="1" applyFill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3" fillId="2" borderId="2" xfId="0" applyNumberFormat="1" applyFont="1" applyFill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49" fontId="3" fillId="0" borderId="4" xfId="0" applyNumberFormat="1" applyFont="1" applyBorder="1" applyAlignment="1">
      <alignment horizontal="center"/>
    </xf>
    <xf numFmtId="49" fontId="4" fillId="0" borderId="3" xfId="0" applyNumberFormat="1" applyFont="1" applyFill="1" applyBorder="1" applyAlignment="1">
      <alignment horizontal="center"/>
    </xf>
    <xf numFmtId="49" fontId="5" fillId="2" borderId="2" xfId="0" applyNumberFormat="1" applyFont="1" applyFill="1" applyBorder="1" applyAlignment="1">
      <alignment horizontal="center"/>
    </xf>
    <xf numFmtId="0" fontId="3" fillId="0" borderId="0" xfId="0" applyFont="1"/>
    <xf numFmtId="49" fontId="3" fillId="0" borderId="0" xfId="0" applyNumberFormat="1" applyFont="1" applyAlignment="1">
      <alignment horizontal="center"/>
    </xf>
    <xf numFmtId="3" fontId="0" fillId="0" borderId="0" xfId="0" applyNumberFormat="1"/>
    <xf numFmtId="0" fontId="4" fillId="2" borderId="2" xfId="0" applyFont="1" applyFill="1" applyBorder="1"/>
    <xf numFmtId="0" fontId="0" fillId="0" borderId="0" xfId="0" applyBorder="1"/>
    <xf numFmtId="3" fontId="4" fillId="0" borderId="0" xfId="0" applyNumberFormat="1" applyFont="1" applyFill="1" applyBorder="1" applyAlignment="1">
      <alignment horizontal="right"/>
    </xf>
    <xf numFmtId="0" fontId="19" fillId="3" borderId="1" xfId="0" applyFont="1" applyFill="1" applyBorder="1" applyAlignment="1">
      <alignment horizontal="center"/>
    </xf>
    <xf numFmtId="0" fontId="27" fillId="3" borderId="5" xfId="0" applyFont="1" applyFill="1" applyBorder="1" applyAlignment="1"/>
    <xf numFmtId="0" fontId="19" fillId="3" borderId="3" xfId="0" applyFont="1" applyFill="1" applyBorder="1" applyAlignment="1">
      <alignment horizontal="center"/>
    </xf>
    <xf numFmtId="0" fontId="27" fillId="3" borderId="6" xfId="0" applyFont="1" applyFill="1" applyBorder="1" applyAlignment="1"/>
    <xf numFmtId="0" fontId="0" fillId="0" borderId="0" xfId="0" applyFill="1" applyBorder="1"/>
    <xf numFmtId="49" fontId="3" fillId="0" borderId="1" xfId="0" applyNumberFormat="1" applyFont="1" applyFill="1" applyBorder="1" applyAlignment="1">
      <alignment horizontal="center"/>
    </xf>
    <xf numFmtId="0" fontId="19" fillId="3" borderId="7" xfId="0" applyFont="1" applyFill="1" applyBorder="1" applyAlignment="1">
      <alignment horizontal="center"/>
    </xf>
    <xf numFmtId="0" fontId="27" fillId="3" borderId="8" xfId="0" applyFont="1" applyFill="1" applyBorder="1" applyAlignment="1"/>
    <xf numFmtId="49" fontId="4" fillId="4" borderId="3" xfId="0" applyNumberFormat="1" applyFont="1" applyFill="1" applyBorder="1" applyAlignment="1">
      <alignment horizontal="center"/>
    </xf>
    <xf numFmtId="49" fontId="3" fillId="0" borderId="9" xfId="0" applyNumberFormat="1" applyFont="1" applyBorder="1" applyAlignment="1">
      <alignment horizontal="center"/>
    </xf>
    <xf numFmtId="0" fontId="3" fillId="0" borderId="0" xfId="0" applyFont="1" applyBorder="1"/>
    <xf numFmtId="0" fontId="4" fillId="2" borderId="6" xfId="0" applyFont="1" applyFill="1" applyBorder="1"/>
    <xf numFmtId="0" fontId="8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49" fontId="5" fillId="0" borderId="3" xfId="0" applyNumberFormat="1" applyFont="1" applyFill="1" applyBorder="1" applyAlignment="1">
      <alignment horizontal="center"/>
    </xf>
    <xf numFmtId="0" fontId="3" fillId="0" borderId="6" xfId="0" applyFont="1" applyFill="1" applyBorder="1"/>
    <xf numFmtId="49" fontId="4" fillId="2" borderId="3" xfId="0" applyNumberFormat="1" applyFont="1" applyFill="1" applyBorder="1" applyAlignment="1">
      <alignment horizontal="center"/>
    </xf>
    <xf numFmtId="49" fontId="4" fillId="2" borderId="2" xfId="0" applyNumberFormat="1" applyFont="1" applyFill="1" applyBorder="1" applyAlignment="1">
      <alignment horizontal="center"/>
    </xf>
    <xf numFmtId="0" fontId="7" fillId="2" borderId="6" xfId="0" applyFont="1" applyFill="1" applyBorder="1"/>
    <xf numFmtId="0" fontId="3" fillId="2" borderId="6" xfId="0" applyFont="1" applyFill="1" applyBorder="1"/>
    <xf numFmtId="49" fontId="4" fillId="0" borderId="1" xfId="0" applyNumberFormat="1" applyFont="1" applyBorder="1" applyAlignment="1">
      <alignment horizontal="center"/>
    </xf>
    <xf numFmtId="49" fontId="4" fillId="0" borderId="4" xfId="0" applyNumberFormat="1" applyFont="1" applyBorder="1" applyAlignment="1">
      <alignment horizontal="center"/>
    </xf>
    <xf numFmtId="0" fontId="17" fillId="0" borderId="6" xfId="0" applyFont="1" applyBorder="1"/>
    <xf numFmtId="0" fontId="3" fillId="0" borderId="6" xfId="0" applyFont="1" applyBorder="1"/>
    <xf numFmtId="49" fontId="4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0" fontId="17" fillId="0" borderId="6" xfId="0" applyFont="1" applyFill="1" applyBorder="1"/>
    <xf numFmtId="49" fontId="18" fillId="2" borderId="3" xfId="0" applyNumberFormat="1" applyFont="1" applyFill="1" applyBorder="1" applyAlignment="1">
      <alignment horizontal="center"/>
    </xf>
    <xf numFmtId="49" fontId="13" fillId="2" borderId="2" xfId="0" applyNumberFormat="1" applyFont="1" applyFill="1" applyBorder="1" applyAlignment="1">
      <alignment horizontal="center"/>
    </xf>
    <xf numFmtId="0" fontId="4" fillId="0" borderId="6" xfId="0" applyFont="1" applyBorder="1"/>
    <xf numFmtId="0" fontId="3" fillId="0" borderId="5" xfId="0" applyFont="1" applyBorder="1"/>
    <xf numFmtId="49" fontId="4" fillId="2" borderId="11" xfId="0" applyNumberFormat="1" applyFont="1" applyFill="1" applyBorder="1" applyAlignment="1">
      <alignment horizontal="center"/>
    </xf>
    <xf numFmtId="49" fontId="18" fillId="2" borderId="1" xfId="0" applyNumberFormat="1" applyFont="1" applyFill="1" applyBorder="1" applyAlignment="1">
      <alignment horizontal="center"/>
    </xf>
    <xf numFmtId="49" fontId="18" fillId="2" borderId="4" xfId="0" applyNumberFormat="1" applyFont="1" applyFill="1" applyBorder="1" applyAlignment="1">
      <alignment horizontal="center"/>
    </xf>
    <xf numFmtId="49" fontId="5" fillId="2" borderId="1" xfId="0" applyNumberFormat="1" applyFont="1" applyFill="1" applyBorder="1" applyAlignment="1">
      <alignment horizontal="center"/>
    </xf>
    <xf numFmtId="49" fontId="13" fillId="2" borderId="1" xfId="0" applyNumberFormat="1" applyFont="1" applyFill="1" applyBorder="1" applyAlignment="1">
      <alignment horizontal="center"/>
    </xf>
    <xf numFmtId="0" fontId="7" fillId="2" borderId="5" xfId="0" applyFont="1" applyFill="1" applyBorder="1"/>
    <xf numFmtId="0" fontId="17" fillId="0" borderId="5" xfId="0" applyFont="1" applyBorder="1"/>
    <xf numFmtId="0" fontId="3" fillId="0" borderId="12" xfId="0" applyFon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center"/>
    </xf>
    <xf numFmtId="49" fontId="13" fillId="2" borderId="4" xfId="0" applyNumberFormat="1" applyFont="1" applyFill="1" applyBorder="1" applyAlignment="1">
      <alignment horizontal="center"/>
    </xf>
    <xf numFmtId="49" fontId="14" fillId="0" borderId="4" xfId="0" applyNumberFormat="1" applyFont="1" applyFill="1" applyBorder="1" applyAlignment="1">
      <alignment horizontal="center"/>
    </xf>
    <xf numFmtId="49" fontId="14" fillId="0" borderId="1" xfId="0" applyNumberFormat="1" applyFont="1" applyFill="1" applyBorder="1" applyAlignment="1">
      <alignment horizontal="center"/>
    </xf>
    <xf numFmtId="0" fontId="14" fillId="0" borderId="4" xfId="0" applyNumberFormat="1" applyFont="1" applyFill="1" applyBorder="1" applyAlignment="1">
      <alignment horizontal="center"/>
    </xf>
    <xf numFmtId="0" fontId="14" fillId="0" borderId="1" xfId="0" applyNumberFormat="1" applyFont="1" applyFill="1" applyBorder="1" applyAlignment="1">
      <alignment horizontal="center"/>
    </xf>
    <xf numFmtId="0" fontId="3" fillId="0" borderId="5" xfId="0" applyNumberFormat="1" applyFont="1" applyFill="1" applyBorder="1"/>
    <xf numFmtId="0" fontId="14" fillId="0" borderId="2" xfId="0" applyNumberFormat="1" applyFont="1" applyFill="1" applyBorder="1" applyAlignment="1">
      <alignment horizontal="center"/>
    </xf>
    <xf numFmtId="0" fontId="3" fillId="0" borderId="6" xfId="0" applyNumberFormat="1" applyFont="1" applyFill="1" applyBorder="1"/>
    <xf numFmtId="0" fontId="6" fillId="0" borderId="6" xfId="0" applyFont="1" applyFill="1" applyBorder="1"/>
    <xf numFmtId="0" fontId="6" fillId="2" borderId="5" xfId="0" applyFont="1" applyFill="1" applyBorder="1"/>
    <xf numFmtId="49" fontId="3" fillId="2" borderId="1" xfId="0" applyNumberFormat="1" applyFont="1" applyFill="1" applyBorder="1" applyAlignment="1">
      <alignment horizontal="center"/>
    </xf>
    <xf numFmtId="49" fontId="3" fillId="2" borderId="3" xfId="0" applyNumberFormat="1" applyFont="1" applyFill="1" applyBorder="1" applyAlignment="1">
      <alignment horizontal="center"/>
    </xf>
    <xf numFmtId="0" fontId="24" fillId="2" borderId="6" xfId="0" applyFont="1" applyFill="1" applyBorder="1"/>
    <xf numFmtId="49" fontId="18" fillId="2" borderId="11" xfId="0" applyNumberFormat="1" applyFont="1" applyFill="1" applyBorder="1" applyAlignment="1">
      <alignment horizontal="center"/>
    </xf>
    <xf numFmtId="0" fontId="3" fillId="0" borderId="5" xfId="0" applyFont="1" applyFill="1" applyBorder="1"/>
    <xf numFmtId="0" fontId="3" fillId="2" borderId="2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0" fillId="2" borderId="0" xfId="0" applyFill="1" applyBorder="1"/>
    <xf numFmtId="0" fontId="47" fillId="5" borderId="13" xfId="0" applyFont="1" applyFill="1" applyBorder="1"/>
    <xf numFmtId="49" fontId="48" fillId="5" borderId="9" xfId="0" applyNumberFormat="1" applyFont="1" applyFill="1" applyBorder="1" applyAlignment="1">
      <alignment horizontal="center"/>
    </xf>
    <xf numFmtId="0" fontId="47" fillId="5" borderId="0" xfId="0" applyFont="1" applyFill="1" applyBorder="1"/>
    <xf numFmtId="0" fontId="47" fillId="5" borderId="9" xfId="0" applyFont="1" applyFill="1" applyBorder="1"/>
    <xf numFmtId="0" fontId="47" fillId="5" borderId="14" xfId="0" applyFont="1" applyFill="1" applyBorder="1"/>
    <xf numFmtId="49" fontId="48" fillId="5" borderId="15" xfId="0" applyNumberFormat="1" applyFont="1" applyFill="1" applyBorder="1" applyAlignment="1">
      <alignment horizontal="center"/>
    </xf>
    <xf numFmtId="49" fontId="48" fillId="5" borderId="16" xfId="0" applyNumberFormat="1" applyFont="1" applyFill="1" applyBorder="1" applyAlignment="1">
      <alignment horizontal="center"/>
    </xf>
    <xf numFmtId="0" fontId="49" fillId="5" borderId="17" xfId="0" applyFont="1" applyFill="1" applyBorder="1"/>
    <xf numFmtId="0" fontId="47" fillId="5" borderId="15" xfId="0" applyFont="1" applyFill="1" applyBorder="1"/>
    <xf numFmtId="3" fontId="13" fillId="0" borderId="0" xfId="0" applyNumberFormat="1" applyFont="1" applyFill="1" applyBorder="1" applyAlignment="1"/>
    <xf numFmtId="0" fontId="3" fillId="0" borderId="10" xfId="0" applyFont="1" applyBorder="1" applyAlignment="1">
      <alignment horizontal="center"/>
    </xf>
    <xf numFmtId="49" fontId="5" fillId="3" borderId="2" xfId="0" applyNumberFormat="1" applyFont="1" applyFill="1" applyBorder="1" applyAlignment="1">
      <alignment horizontal="center"/>
    </xf>
    <xf numFmtId="49" fontId="5" fillId="3" borderId="3" xfId="0" applyNumberFormat="1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7" fillId="2" borderId="2" xfId="0" applyFont="1" applyFill="1" applyBorder="1"/>
    <xf numFmtId="49" fontId="18" fillId="0" borderId="1" xfId="0" applyNumberFormat="1" applyFont="1" applyFill="1" applyBorder="1" applyAlignment="1">
      <alignment horizontal="center"/>
    </xf>
    <xf numFmtId="49" fontId="50" fillId="6" borderId="1" xfId="0" applyNumberFormat="1" applyFont="1" applyFill="1" applyBorder="1" applyAlignment="1">
      <alignment horizontal="center"/>
    </xf>
    <xf numFmtId="49" fontId="50" fillId="6" borderId="2" xfId="0" applyNumberFormat="1" applyFont="1" applyFill="1" applyBorder="1" applyAlignment="1">
      <alignment horizontal="center"/>
    </xf>
    <xf numFmtId="0" fontId="51" fillId="6" borderId="19" xfId="0" applyFont="1" applyFill="1" applyBorder="1"/>
    <xf numFmtId="0" fontId="3" fillId="2" borderId="20" xfId="0" applyFont="1" applyFill="1" applyBorder="1" applyAlignment="1">
      <alignment horizontal="center"/>
    </xf>
    <xf numFmtId="49" fontId="50" fillId="6" borderId="21" xfId="0" applyNumberFormat="1" applyFont="1" applyFill="1" applyBorder="1" applyAlignment="1">
      <alignment horizontal="center"/>
    </xf>
    <xf numFmtId="49" fontId="50" fillId="6" borderId="22" xfId="0" applyNumberFormat="1" applyFont="1" applyFill="1" applyBorder="1" applyAlignment="1">
      <alignment horizontal="center"/>
    </xf>
    <xf numFmtId="0" fontId="51" fillId="6" borderId="22" xfId="0" applyFont="1" applyFill="1" applyBorder="1"/>
    <xf numFmtId="0" fontId="2" fillId="2" borderId="18" xfId="0" applyFont="1" applyFill="1" applyBorder="1" applyAlignment="1">
      <alignment horizontal="center"/>
    </xf>
    <xf numFmtId="49" fontId="15" fillId="3" borderId="2" xfId="0" applyNumberFormat="1" applyFont="1" applyFill="1" applyBorder="1" applyAlignment="1">
      <alignment horizontal="center" vertical="center"/>
    </xf>
    <xf numFmtId="49" fontId="15" fillId="3" borderId="3" xfId="0" applyNumberFormat="1" applyFont="1" applyFill="1" applyBorder="1" applyAlignment="1">
      <alignment horizontal="center" vertical="center"/>
    </xf>
    <xf numFmtId="49" fontId="8" fillId="3" borderId="2" xfId="0" applyNumberFormat="1" applyFont="1" applyFill="1" applyBorder="1" applyAlignment="1">
      <alignment horizontal="center" vertical="center"/>
    </xf>
    <xf numFmtId="49" fontId="15" fillId="3" borderId="4" xfId="0" applyNumberFormat="1" applyFont="1" applyFill="1" applyBorder="1" applyAlignment="1">
      <alignment horizontal="center" vertical="center"/>
    </xf>
    <xf numFmtId="49" fontId="15" fillId="3" borderId="1" xfId="0" applyNumberFormat="1" applyFont="1" applyFill="1" applyBorder="1" applyAlignment="1">
      <alignment horizontal="center" vertical="center"/>
    </xf>
    <xf numFmtId="49" fontId="8" fillId="3" borderId="4" xfId="0" applyNumberFormat="1" applyFont="1" applyFill="1" applyBorder="1" applyAlignment="1">
      <alignment horizontal="center" vertical="center"/>
    </xf>
    <xf numFmtId="0" fontId="33" fillId="3" borderId="5" xfId="0" applyFont="1" applyFill="1" applyBorder="1" applyAlignment="1">
      <alignment vertical="center"/>
    </xf>
    <xf numFmtId="0" fontId="33" fillId="3" borderId="6" xfId="0" applyFont="1" applyFill="1" applyBorder="1" applyAlignment="1">
      <alignment vertical="center"/>
    </xf>
    <xf numFmtId="0" fontId="34" fillId="7" borderId="17" xfId="0" applyFont="1" applyFill="1" applyBorder="1" applyAlignment="1"/>
    <xf numFmtId="3" fontId="6" fillId="0" borderId="0" xfId="0" applyNumberFormat="1" applyFont="1" applyFill="1" applyBorder="1" applyAlignment="1"/>
    <xf numFmtId="3" fontId="18" fillId="0" borderId="0" xfId="0" applyNumberFormat="1" applyFont="1" applyFill="1" applyBorder="1" applyAlignment="1">
      <alignment vertical="center"/>
    </xf>
    <xf numFmtId="49" fontId="5" fillId="2" borderId="21" xfId="0" applyNumberFormat="1" applyFont="1" applyFill="1" applyBorder="1" applyAlignment="1">
      <alignment horizontal="center"/>
    </xf>
    <xf numFmtId="49" fontId="3" fillId="2" borderId="22" xfId="0" applyNumberFormat="1" applyFont="1" applyFill="1" applyBorder="1" applyAlignment="1">
      <alignment horizontal="center"/>
    </xf>
    <xf numFmtId="0" fontId="3" fillId="0" borderId="23" xfId="0" applyFont="1" applyBorder="1"/>
    <xf numFmtId="0" fontId="19" fillId="8" borderId="5" xfId="0" applyFont="1" applyFill="1" applyBorder="1"/>
    <xf numFmtId="0" fontId="15" fillId="8" borderId="6" xfId="0" applyFont="1" applyFill="1" applyBorder="1"/>
    <xf numFmtId="0" fontId="11" fillId="2" borderId="5" xfId="0" applyFont="1" applyFill="1" applyBorder="1" applyAlignment="1"/>
    <xf numFmtId="0" fontId="0" fillId="2" borderId="25" xfId="0" applyFill="1" applyBorder="1"/>
    <xf numFmtId="3" fontId="13" fillId="0" borderId="8" xfId="0" applyNumberFormat="1" applyFont="1" applyFill="1" applyBorder="1" applyAlignment="1"/>
    <xf numFmtId="3" fontId="6" fillId="0" borderId="8" xfId="0" applyNumberFormat="1" applyFont="1" applyFill="1" applyBorder="1" applyAlignment="1"/>
    <xf numFmtId="0" fontId="16" fillId="2" borderId="26" xfId="0" applyFont="1" applyFill="1" applyBorder="1" applyAlignment="1"/>
    <xf numFmtId="49" fontId="4" fillId="0" borderId="4" xfId="0" applyNumberFormat="1" applyFont="1" applyFill="1" applyBorder="1" applyAlignment="1">
      <alignment horizontal="center"/>
    </xf>
    <xf numFmtId="0" fontId="31" fillId="7" borderId="27" xfId="0" applyFont="1" applyFill="1" applyBorder="1" applyAlignment="1">
      <alignment horizontal="left" vertical="center"/>
    </xf>
    <xf numFmtId="0" fontId="10" fillId="3" borderId="5" xfId="0" applyFont="1" applyFill="1" applyBorder="1" applyAlignment="1"/>
    <xf numFmtId="0" fontId="10" fillId="3" borderId="6" xfId="0" applyFont="1" applyFill="1" applyBorder="1" applyAlignment="1"/>
    <xf numFmtId="0" fontId="40" fillId="9" borderId="28" xfId="0" applyFont="1" applyFill="1" applyBorder="1" applyAlignment="1"/>
    <xf numFmtId="0" fontId="39" fillId="9" borderId="6" xfId="0" applyFont="1" applyFill="1" applyBorder="1" applyAlignment="1"/>
    <xf numFmtId="0" fontId="3" fillId="11" borderId="2" xfId="0" applyFont="1" applyFill="1" applyBorder="1" applyAlignment="1">
      <alignment horizontal="center"/>
    </xf>
    <xf numFmtId="49" fontId="4" fillId="11" borderId="3" xfId="0" applyNumberFormat="1" applyFont="1" applyFill="1" applyBorder="1" applyAlignment="1">
      <alignment horizontal="center"/>
    </xf>
    <xf numFmtId="3" fontId="4" fillId="11" borderId="0" xfId="0" applyNumberFormat="1" applyFont="1" applyFill="1" applyBorder="1" applyAlignment="1">
      <alignment horizontal="right"/>
    </xf>
    <xf numFmtId="0" fontId="0" fillId="11" borderId="0" xfId="0" applyFill="1"/>
    <xf numFmtId="0" fontId="3" fillId="11" borderId="3" xfId="0" applyFont="1" applyFill="1" applyBorder="1" applyAlignment="1">
      <alignment horizontal="center"/>
    </xf>
    <xf numFmtId="0" fontId="3" fillId="11" borderId="4" xfId="0" applyFont="1" applyFill="1" applyBorder="1" applyAlignment="1">
      <alignment horizontal="center"/>
    </xf>
    <xf numFmtId="0" fontId="36" fillId="0" borderId="10" xfId="0" applyFont="1" applyBorder="1" applyAlignment="1">
      <alignment horizontal="center"/>
    </xf>
    <xf numFmtId="3" fontId="21" fillId="11" borderId="29" xfId="0" applyNumberFormat="1" applyFont="1" applyFill="1" applyBorder="1"/>
    <xf numFmtId="0" fontId="35" fillId="0" borderId="0" xfId="0" applyFont="1" applyBorder="1" applyAlignment="1"/>
    <xf numFmtId="0" fontId="3" fillId="11" borderId="24" xfId="0" applyFont="1" applyFill="1" applyBorder="1" applyAlignment="1">
      <alignment horizontal="center"/>
    </xf>
    <xf numFmtId="0" fontId="3" fillId="11" borderId="7" xfId="0" applyFont="1" applyFill="1" applyBorder="1" applyAlignment="1">
      <alignment horizontal="center"/>
    </xf>
    <xf numFmtId="3" fontId="4" fillId="11" borderId="8" xfId="0" applyNumberFormat="1" applyFont="1" applyFill="1" applyBorder="1" applyAlignment="1">
      <alignment horizontal="right"/>
    </xf>
    <xf numFmtId="3" fontId="21" fillId="11" borderId="30" xfId="0" applyNumberFormat="1" applyFont="1" applyFill="1" applyBorder="1"/>
    <xf numFmtId="0" fontId="2" fillId="11" borderId="2" xfId="0" applyFont="1" applyFill="1" applyBorder="1" applyAlignment="1">
      <alignment horizontal="center"/>
    </xf>
    <xf numFmtId="49" fontId="13" fillId="11" borderId="3" xfId="0" applyNumberFormat="1" applyFont="1" applyFill="1" applyBorder="1" applyAlignment="1">
      <alignment horizontal="center"/>
    </xf>
    <xf numFmtId="3" fontId="13" fillId="11" borderId="0" xfId="0" applyNumberFormat="1" applyFont="1" applyFill="1" applyBorder="1" applyAlignment="1">
      <alignment horizontal="right"/>
    </xf>
    <xf numFmtId="49" fontId="13" fillId="11" borderId="6" xfId="0" applyNumberFormat="1" applyFont="1" applyFill="1" applyBorder="1" applyAlignment="1">
      <alignment horizontal="center"/>
    </xf>
    <xf numFmtId="0" fontId="9" fillId="4" borderId="26" xfId="0" applyFont="1" applyFill="1" applyBorder="1" applyAlignment="1"/>
    <xf numFmtId="3" fontId="4" fillId="11" borderId="6" xfId="0" applyNumberFormat="1" applyFont="1" applyFill="1" applyBorder="1" applyAlignment="1">
      <alignment horizontal="right"/>
    </xf>
    <xf numFmtId="0" fontId="2" fillId="11" borderId="3" xfId="0" applyFont="1" applyFill="1" applyBorder="1" applyAlignment="1">
      <alignment horizontal="center"/>
    </xf>
    <xf numFmtId="3" fontId="6" fillId="11" borderId="33" xfId="0" applyNumberFormat="1" applyFont="1" applyFill="1" applyBorder="1"/>
    <xf numFmtId="0" fontId="28" fillId="11" borderId="0" xfId="0" applyFont="1" applyFill="1"/>
    <xf numFmtId="49" fontId="13" fillId="4" borderId="3" xfId="0" applyNumberFormat="1" applyFont="1" applyFill="1" applyBorder="1" applyAlignment="1">
      <alignment horizontal="center"/>
    </xf>
    <xf numFmtId="0" fontId="11" fillId="0" borderId="0" xfId="0" applyFont="1"/>
    <xf numFmtId="0" fontId="13" fillId="11" borderId="3" xfId="0" applyFont="1" applyFill="1" applyBorder="1" applyAlignment="1">
      <alignment horizontal="center"/>
    </xf>
    <xf numFmtId="49" fontId="13" fillId="12" borderId="3" xfId="0" applyNumberFormat="1" applyFont="1" applyFill="1" applyBorder="1" applyAlignment="1">
      <alignment horizontal="center"/>
    </xf>
    <xf numFmtId="0" fontId="3" fillId="12" borderId="3" xfId="0" applyFont="1" applyFill="1" applyBorder="1" applyAlignment="1">
      <alignment horizontal="center"/>
    </xf>
    <xf numFmtId="0" fontId="4" fillId="11" borderId="3" xfId="0" applyFont="1" applyFill="1" applyBorder="1" applyAlignment="1">
      <alignment horizontal="center"/>
    </xf>
    <xf numFmtId="0" fontId="4" fillId="11" borderId="1" xfId="0" applyFont="1" applyFill="1" applyBorder="1" applyAlignment="1">
      <alignment horizontal="center"/>
    </xf>
    <xf numFmtId="0" fontId="3" fillId="11" borderId="6" xfId="0" applyFont="1" applyFill="1" applyBorder="1" applyAlignment="1">
      <alignment horizontal="center"/>
    </xf>
    <xf numFmtId="3" fontId="21" fillId="11" borderId="34" xfId="0" applyNumberFormat="1" applyFont="1" applyFill="1" applyBorder="1"/>
    <xf numFmtId="0" fontId="3" fillId="11" borderId="28" xfId="0" applyFont="1" applyFill="1" applyBorder="1" applyAlignment="1">
      <alignment horizontal="center"/>
    </xf>
    <xf numFmtId="3" fontId="4" fillId="0" borderId="6" xfId="0" applyNumberFormat="1" applyFont="1" applyFill="1" applyBorder="1" applyAlignment="1">
      <alignment horizontal="right"/>
    </xf>
    <xf numFmtId="0" fontId="8" fillId="2" borderId="6" xfId="0" applyFont="1" applyFill="1" applyBorder="1"/>
    <xf numFmtId="0" fontId="8" fillId="0" borderId="6" xfId="0" applyFont="1" applyBorder="1"/>
    <xf numFmtId="49" fontId="13" fillId="11" borderId="28" xfId="0" applyNumberFormat="1" applyFont="1" applyFill="1" applyBorder="1" applyAlignment="1">
      <alignment horizontal="center"/>
    </xf>
    <xf numFmtId="3" fontId="9" fillId="11" borderId="29" xfId="0" applyNumberFormat="1" applyFont="1" applyFill="1" applyBorder="1"/>
    <xf numFmtId="3" fontId="26" fillId="11" borderId="29" xfId="0" applyNumberFormat="1" applyFont="1" applyFill="1" applyBorder="1"/>
    <xf numFmtId="3" fontId="26" fillId="11" borderId="33" xfId="0" applyNumberFormat="1" applyFont="1" applyFill="1" applyBorder="1"/>
    <xf numFmtId="49" fontId="4" fillId="11" borderId="28" xfId="0" applyNumberFormat="1" applyFont="1" applyFill="1" applyBorder="1" applyAlignment="1">
      <alignment horizontal="center"/>
    </xf>
    <xf numFmtId="49" fontId="40" fillId="11" borderId="3" xfId="0" applyNumberFormat="1" applyFont="1" applyFill="1" applyBorder="1" applyAlignment="1">
      <alignment horizontal="left"/>
    </xf>
    <xf numFmtId="0" fontId="1" fillId="0" borderId="10" xfId="0" applyFont="1" applyBorder="1" applyAlignment="1">
      <alignment horizontal="center"/>
    </xf>
    <xf numFmtId="3" fontId="0" fillId="11" borderId="0" xfId="0" applyNumberFormat="1" applyFill="1"/>
    <xf numFmtId="0" fontId="43" fillId="7" borderId="35" xfId="0" applyFont="1" applyFill="1" applyBorder="1" applyAlignment="1">
      <alignment horizontal="left" vertical="center"/>
    </xf>
    <xf numFmtId="0" fontId="6" fillId="4" borderId="26" xfId="0" applyFont="1" applyFill="1" applyBorder="1" applyAlignment="1"/>
    <xf numFmtId="0" fontId="9" fillId="4" borderId="26" xfId="0" applyFont="1" applyFill="1" applyBorder="1" applyAlignment="1">
      <alignment horizontal="center"/>
    </xf>
    <xf numFmtId="49" fontId="13" fillId="0" borderId="3" xfId="0" applyNumberFormat="1" applyFont="1" applyFill="1" applyBorder="1" applyAlignment="1">
      <alignment horizontal="center"/>
    </xf>
    <xf numFmtId="49" fontId="4" fillId="12" borderId="3" xfId="0" applyNumberFormat="1" applyFont="1" applyFill="1" applyBorder="1" applyAlignment="1">
      <alignment horizontal="center"/>
    </xf>
    <xf numFmtId="49" fontId="4" fillId="11" borderId="6" xfId="0" applyNumberFormat="1" applyFont="1" applyFill="1" applyBorder="1" applyAlignment="1">
      <alignment horizontal="center"/>
    </xf>
    <xf numFmtId="0" fontId="3" fillId="11" borderId="9" xfId="0" applyFont="1" applyFill="1" applyBorder="1" applyAlignment="1">
      <alignment horizontal="center"/>
    </xf>
    <xf numFmtId="0" fontId="3" fillId="11" borderId="11" xfId="0" applyFont="1" applyFill="1" applyBorder="1" applyAlignment="1">
      <alignment horizontal="center"/>
    </xf>
    <xf numFmtId="3" fontId="4" fillId="11" borderId="5" xfId="0" applyNumberFormat="1" applyFont="1" applyFill="1" applyBorder="1" applyAlignment="1">
      <alignment horizontal="right"/>
    </xf>
    <xf numFmtId="49" fontId="4" fillId="11" borderId="2" xfId="0" applyNumberFormat="1" applyFont="1" applyFill="1" applyBorder="1" applyAlignment="1">
      <alignment horizontal="center"/>
    </xf>
    <xf numFmtId="0" fontId="14" fillId="0" borderId="3" xfId="0" applyNumberFormat="1" applyFont="1" applyFill="1" applyBorder="1" applyAlignment="1">
      <alignment horizontal="center"/>
    </xf>
    <xf numFmtId="49" fontId="14" fillId="0" borderId="2" xfId="0" applyNumberFormat="1" applyFont="1" applyFill="1" applyBorder="1" applyAlignment="1">
      <alignment horizontal="center"/>
    </xf>
    <xf numFmtId="49" fontId="5" fillId="11" borderId="3" xfId="0" applyNumberFormat="1" applyFont="1" applyFill="1" applyBorder="1" applyAlignment="1">
      <alignment horizontal="center"/>
    </xf>
    <xf numFmtId="49" fontId="3" fillId="11" borderId="2" xfId="0" applyNumberFormat="1" applyFont="1" applyFill="1" applyBorder="1" applyAlignment="1">
      <alignment horizontal="center"/>
    </xf>
    <xf numFmtId="0" fontId="15" fillId="11" borderId="6" xfId="0" applyFont="1" applyFill="1" applyBorder="1"/>
    <xf numFmtId="0" fontId="6" fillId="0" borderId="6" xfId="0" applyFont="1" applyBorder="1"/>
    <xf numFmtId="0" fontId="15" fillId="8" borderId="0" xfId="0" applyFont="1" applyFill="1" applyBorder="1"/>
    <xf numFmtId="49" fontId="5" fillId="2" borderId="7" xfId="0" applyNumberFormat="1" applyFont="1" applyFill="1" applyBorder="1" applyAlignment="1">
      <alignment horizontal="center"/>
    </xf>
    <xf numFmtId="0" fontId="7" fillId="2" borderId="8" xfId="0" applyFont="1" applyFill="1" applyBorder="1"/>
    <xf numFmtId="0" fontId="34" fillId="7" borderId="15" xfId="0" applyFont="1" applyFill="1" applyBorder="1" applyAlignment="1"/>
    <xf numFmtId="0" fontId="3" fillId="3" borderId="2" xfId="0" applyFont="1" applyFill="1" applyBorder="1" applyAlignment="1"/>
    <xf numFmtId="0" fontId="21" fillId="11" borderId="2" xfId="0" applyFont="1" applyFill="1" applyBorder="1"/>
    <xf numFmtId="0" fontId="3" fillId="3" borderId="4" xfId="0" applyFont="1" applyFill="1" applyBorder="1" applyAlignment="1"/>
    <xf numFmtId="0" fontId="3" fillId="3" borderId="24" xfId="0" applyFont="1" applyFill="1" applyBorder="1" applyAlignment="1"/>
    <xf numFmtId="0" fontId="10" fillId="3" borderId="8" xfId="0" applyFont="1" applyFill="1" applyBorder="1" applyAlignment="1"/>
    <xf numFmtId="49" fontId="4" fillId="14" borderId="3" xfId="0" applyNumberFormat="1" applyFont="1" applyFill="1" applyBorder="1" applyAlignment="1">
      <alignment horizontal="center"/>
    </xf>
    <xf numFmtId="0" fontId="6" fillId="11" borderId="2" xfId="0" applyFont="1" applyFill="1" applyBorder="1"/>
    <xf numFmtId="0" fontId="21" fillId="11" borderId="24" xfId="0" applyFont="1" applyFill="1" applyBorder="1"/>
    <xf numFmtId="0" fontId="34" fillId="7" borderId="36" xfId="0" applyFont="1" applyFill="1" applyBorder="1" applyAlignment="1"/>
    <xf numFmtId="0" fontId="21" fillId="11" borderId="4" xfId="0" applyFont="1" applyFill="1" applyBorder="1"/>
    <xf numFmtId="0" fontId="6" fillId="11" borderId="4" xfId="0" applyFont="1" applyFill="1" applyBorder="1"/>
    <xf numFmtId="0" fontId="9" fillId="14" borderId="26" xfId="0" applyFont="1" applyFill="1" applyBorder="1" applyAlignment="1">
      <alignment horizontal="left"/>
    </xf>
    <xf numFmtId="0" fontId="9" fillId="14" borderId="5" xfId="0" applyFont="1" applyFill="1" applyBorder="1" applyAlignment="1">
      <alignment horizontal="left"/>
    </xf>
    <xf numFmtId="0" fontId="9" fillId="14" borderId="4" xfId="0" applyFont="1" applyFill="1" applyBorder="1" applyAlignment="1">
      <alignment horizontal="left"/>
    </xf>
    <xf numFmtId="0" fontId="1" fillId="0" borderId="18" xfId="0" applyFont="1" applyBorder="1" applyAlignment="1">
      <alignment horizontal="center"/>
    </xf>
    <xf numFmtId="3" fontId="6" fillId="14" borderId="29" xfId="0" applyNumberFormat="1" applyFont="1" applyFill="1" applyBorder="1"/>
    <xf numFmtId="3" fontId="6" fillId="14" borderId="37" xfId="0" applyNumberFormat="1" applyFont="1" applyFill="1" applyBorder="1"/>
    <xf numFmtId="0" fontId="2" fillId="11" borderId="1" xfId="0" applyFont="1" applyFill="1" applyBorder="1" applyAlignment="1">
      <alignment horizontal="center"/>
    </xf>
    <xf numFmtId="0" fontId="3" fillId="11" borderId="38" xfId="0" applyFont="1" applyFill="1" applyBorder="1" applyAlignment="1">
      <alignment horizontal="center"/>
    </xf>
    <xf numFmtId="0" fontId="68" fillId="11" borderId="2" xfId="0" applyFont="1" applyFill="1" applyBorder="1"/>
    <xf numFmtId="3" fontId="26" fillId="11" borderId="34" xfId="0" applyNumberFormat="1" applyFont="1" applyFill="1" applyBorder="1"/>
    <xf numFmtId="3" fontId="26" fillId="11" borderId="30" xfId="0" applyNumberFormat="1" applyFont="1" applyFill="1" applyBorder="1"/>
    <xf numFmtId="0" fontId="13" fillId="14" borderId="26" xfId="0" applyFont="1" applyFill="1" applyBorder="1" applyAlignment="1"/>
    <xf numFmtId="0" fontId="9" fillId="14" borderId="26" xfId="0" applyFont="1" applyFill="1" applyBorder="1" applyAlignment="1"/>
    <xf numFmtId="0" fontId="9" fillId="14" borderId="4" xfId="0" applyFont="1" applyFill="1" applyBorder="1" applyAlignment="1"/>
    <xf numFmtId="0" fontId="30" fillId="7" borderId="39" xfId="0" applyFont="1" applyFill="1" applyBorder="1" applyAlignment="1">
      <alignment horizontal="center" vertical="center"/>
    </xf>
    <xf numFmtId="0" fontId="3" fillId="9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1" fillId="11" borderId="9" xfId="0" applyFont="1" applyFill="1" applyBorder="1"/>
    <xf numFmtId="0" fontId="6" fillId="12" borderId="2" xfId="0" applyFont="1" applyFill="1" applyBorder="1"/>
    <xf numFmtId="0" fontId="13" fillId="12" borderId="3" xfId="0" applyFont="1" applyFill="1" applyBorder="1" applyAlignment="1">
      <alignment horizontal="center"/>
    </xf>
    <xf numFmtId="0" fontId="6" fillId="12" borderId="4" xfId="0" applyFont="1" applyFill="1" applyBorder="1"/>
    <xf numFmtId="0" fontId="13" fillId="12" borderId="1" xfId="0" applyFont="1" applyFill="1" applyBorder="1" applyAlignment="1">
      <alignment horizontal="center"/>
    </xf>
    <xf numFmtId="0" fontId="9" fillId="12" borderId="28" xfId="0" applyFont="1" applyFill="1" applyBorder="1" applyAlignment="1"/>
    <xf numFmtId="0" fontId="9" fillId="12" borderId="2" xfId="0" applyFont="1" applyFill="1" applyBorder="1" applyAlignment="1"/>
    <xf numFmtId="0" fontId="9" fillId="12" borderId="26" xfId="0" applyFont="1" applyFill="1" applyBorder="1" applyAlignment="1"/>
    <xf numFmtId="0" fontId="9" fillId="12" borderId="4" xfId="0" applyFont="1" applyFill="1" applyBorder="1" applyAlignment="1"/>
    <xf numFmtId="3" fontId="26" fillId="12" borderId="29" xfId="0" applyNumberFormat="1" applyFont="1" applyFill="1" applyBorder="1"/>
    <xf numFmtId="0" fontId="38" fillId="7" borderId="27" xfId="0" applyFont="1" applyFill="1" applyBorder="1" applyAlignment="1">
      <alignment horizontal="left" vertical="center"/>
    </xf>
    <xf numFmtId="3" fontId="9" fillId="12" borderId="33" xfId="0" applyNumberFormat="1" applyFont="1" applyFill="1" applyBorder="1"/>
    <xf numFmtId="3" fontId="9" fillId="12" borderId="29" xfId="0" applyNumberFormat="1" applyFont="1" applyFill="1" applyBorder="1"/>
    <xf numFmtId="0" fontId="9" fillId="4" borderId="4" xfId="0" applyFont="1" applyFill="1" applyBorder="1" applyAlignment="1"/>
    <xf numFmtId="3" fontId="28" fillId="0" borderId="0" xfId="0" applyNumberFormat="1" applyFont="1"/>
    <xf numFmtId="3" fontId="11" fillId="0" borderId="0" xfId="0" applyNumberFormat="1" applyFont="1"/>
    <xf numFmtId="3" fontId="0" fillId="0" borderId="0" xfId="0" applyNumberFormat="1" applyBorder="1"/>
    <xf numFmtId="0" fontId="0" fillId="0" borderId="0" xfId="0" applyFill="1"/>
    <xf numFmtId="0" fontId="28" fillId="0" borderId="0" xfId="0" applyFont="1" applyFill="1"/>
    <xf numFmtId="3" fontId="9" fillId="0" borderId="29" xfId="0" applyNumberFormat="1" applyFont="1" applyFill="1" applyBorder="1"/>
    <xf numFmtId="3" fontId="13" fillId="11" borderId="5" xfId="0" applyNumberFormat="1" applyFont="1" applyFill="1" applyBorder="1" applyAlignment="1">
      <alignment horizontal="right"/>
    </xf>
    <xf numFmtId="3" fontId="6" fillId="0" borderId="5" xfId="0" applyNumberFormat="1" applyFont="1" applyFill="1" applyBorder="1" applyAlignment="1"/>
    <xf numFmtId="3" fontId="13" fillId="0" borderId="5" xfId="0" applyNumberFormat="1" applyFont="1" applyFill="1" applyBorder="1" applyAlignment="1"/>
    <xf numFmtId="0" fontId="35" fillId="11" borderId="0" xfId="0" applyFont="1" applyFill="1" applyBorder="1" applyAlignment="1"/>
    <xf numFmtId="0" fontId="0" fillId="11" borderId="0" xfId="0" applyFill="1" applyBorder="1"/>
    <xf numFmtId="0" fontId="3" fillId="11" borderId="0" xfId="0" applyFont="1" applyFill="1" applyBorder="1" applyAlignment="1">
      <alignment horizontal="center"/>
    </xf>
    <xf numFmtId="0" fontId="14" fillId="11" borderId="0" xfId="0" applyNumberFormat="1" applyFont="1" applyFill="1" applyBorder="1" applyAlignment="1">
      <alignment horizontal="center"/>
    </xf>
    <xf numFmtId="49" fontId="4" fillId="11" borderId="0" xfId="0" applyNumberFormat="1" applyFont="1" applyFill="1" applyBorder="1" applyAlignment="1">
      <alignment horizontal="center"/>
    </xf>
    <xf numFmtId="0" fontId="3" fillId="11" borderId="0" xfId="0" applyNumberFormat="1" applyFont="1" applyFill="1" applyBorder="1"/>
    <xf numFmtId="3" fontId="8" fillId="11" borderId="0" xfId="0" applyNumberFormat="1" applyFont="1" applyFill="1" applyBorder="1" applyAlignment="1">
      <alignment horizontal="right"/>
    </xf>
    <xf numFmtId="49" fontId="5" fillId="11" borderId="0" xfId="0" applyNumberFormat="1" applyFont="1" applyFill="1" applyBorder="1" applyAlignment="1">
      <alignment horizontal="center"/>
    </xf>
    <xf numFmtId="49" fontId="3" fillId="11" borderId="0" xfId="0" applyNumberFormat="1" applyFont="1" applyFill="1" applyBorder="1" applyAlignment="1">
      <alignment horizontal="center"/>
    </xf>
    <xf numFmtId="49" fontId="13" fillId="11" borderId="0" xfId="0" applyNumberFormat="1" applyFont="1" applyFill="1" applyBorder="1" applyAlignment="1">
      <alignment horizontal="center"/>
    </xf>
    <xf numFmtId="0" fontId="4" fillId="11" borderId="0" xfId="0" applyFont="1" applyFill="1" applyBorder="1"/>
    <xf numFmtId="0" fontId="3" fillId="11" borderId="0" xfId="0" applyFont="1" applyFill="1" applyBorder="1"/>
    <xf numFmtId="0" fontId="17" fillId="11" borderId="0" xfId="0" applyFont="1" applyFill="1" applyBorder="1"/>
    <xf numFmtId="3" fontId="27" fillId="11" borderId="0" xfId="0" applyNumberFormat="1" applyFont="1" applyFill="1" applyBorder="1"/>
    <xf numFmtId="49" fontId="13" fillId="15" borderId="3" xfId="0" applyNumberFormat="1" applyFont="1" applyFill="1" applyBorder="1" applyAlignment="1">
      <alignment horizontal="center"/>
    </xf>
    <xf numFmtId="49" fontId="4" fillId="15" borderId="3" xfId="0" applyNumberFormat="1" applyFont="1" applyFill="1" applyBorder="1" applyAlignment="1">
      <alignment horizontal="center"/>
    </xf>
    <xf numFmtId="0" fontId="3" fillId="15" borderId="2" xfId="0" applyFont="1" applyFill="1" applyBorder="1" applyAlignment="1">
      <alignment horizontal="center"/>
    </xf>
    <xf numFmtId="0" fontId="4" fillId="15" borderId="2" xfId="0" applyFont="1" applyFill="1" applyBorder="1" applyAlignment="1">
      <alignment horizontal="center"/>
    </xf>
    <xf numFmtId="0" fontId="6" fillId="4" borderId="28" xfId="0" applyFont="1" applyFill="1" applyBorder="1" applyAlignment="1"/>
    <xf numFmtId="0" fontId="9" fillId="4" borderId="28" xfId="0" applyFont="1" applyFill="1" applyBorder="1" applyAlignment="1"/>
    <xf numFmtId="0" fontId="9" fillId="4" borderId="2" xfId="0" applyFont="1" applyFill="1" applyBorder="1" applyAlignment="1"/>
    <xf numFmtId="3" fontId="26" fillId="11" borderId="37" xfId="0" applyNumberFormat="1" applyFont="1" applyFill="1" applyBorder="1"/>
    <xf numFmtId="0" fontId="9" fillId="4" borderId="28" xfId="0" applyFont="1" applyFill="1" applyBorder="1" applyAlignment="1">
      <alignment horizontal="center"/>
    </xf>
    <xf numFmtId="3" fontId="6" fillId="12" borderId="33" xfId="0" applyNumberFormat="1" applyFont="1" applyFill="1" applyBorder="1"/>
    <xf numFmtId="3" fontId="6" fillId="0" borderId="33" xfId="0" applyNumberFormat="1" applyFont="1" applyFill="1" applyBorder="1"/>
    <xf numFmtId="3" fontId="9" fillId="0" borderId="33" xfId="0" applyNumberFormat="1" applyFont="1" applyFill="1" applyBorder="1"/>
    <xf numFmtId="0" fontId="20" fillId="11" borderId="0" xfId="0" applyFont="1" applyFill="1" applyBorder="1"/>
    <xf numFmtId="3" fontId="16" fillId="11" borderId="0" xfId="0" applyNumberFormat="1" applyFont="1" applyFill="1" applyBorder="1" applyAlignment="1">
      <alignment horizontal="right"/>
    </xf>
    <xf numFmtId="0" fontId="8" fillId="11" borderId="0" xfId="0" applyFont="1" applyFill="1" applyBorder="1" applyAlignment="1">
      <alignment horizontal="center"/>
    </xf>
    <xf numFmtId="0" fontId="37" fillId="11" borderId="0" xfId="0" applyFont="1" applyFill="1"/>
    <xf numFmtId="0" fontId="19" fillId="3" borderId="38" xfId="0" applyFont="1" applyFill="1" applyBorder="1" applyAlignment="1">
      <alignment horizontal="center"/>
    </xf>
    <xf numFmtId="0" fontId="10" fillId="3" borderId="41" xfId="0" applyFont="1" applyFill="1" applyBorder="1" applyAlignment="1"/>
    <xf numFmtId="0" fontId="27" fillId="3" borderId="41" xfId="0" applyFont="1" applyFill="1" applyBorder="1" applyAlignment="1"/>
    <xf numFmtId="0" fontId="3" fillId="3" borderId="42" xfId="0" applyFont="1" applyFill="1" applyBorder="1" applyAlignment="1"/>
    <xf numFmtId="0" fontId="27" fillId="3" borderId="0" xfId="0" applyFont="1" applyFill="1" applyBorder="1" applyAlignment="1"/>
    <xf numFmtId="0" fontId="3" fillId="3" borderId="9" xfId="0" applyFont="1" applyFill="1" applyBorder="1" applyAlignment="1"/>
    <xf numFmtId="3" fontId="13" fillId="0" borderId="41" xfId="0" applyNumberFormat="1" applyFont="1" applyFill="1" applyBorder="1" applyAlignment="1"/>
    <xf numFmtId="3" fontId="13" fillId="11" borderId="6" xfId="0" applyNumberFormat="1" applyFont="1" applyFill="1" applyBorder="1" applyAlignment="1">
      <alignment horizontal="right"/>
    </xf>
    <xf numFmtId="49" fontId="13" fillId="11" borderId="1" xfId="0" applyNumberFormat="1" applyFont="1" applyFill="1" applyBorder="1" applyAlignment="1">
      <alignment horizontal="center"/>
    </xf>
    <xf numFmtId="0" fontId="3" fillId="16" borderId="3" xfId="0" applyFont="1" applyFill="1" applyBorder="1" applyAlignment="1">
      <alignment horizontal="center"/>
    </xf>
    <xf numFmtId="0" fontId="6" fillId="16" borderId="2" xfId="0" applyFont="1" applyFill="1" applyBorder="1"/>
    <xf numFmtId="3" fontId="9" fillId="16" borderId="33" xfId="0" applyNumberFormat="1" applyFont="1" applyFill="1" applyBorder="1"/>
    <xf numFmtId="3" fontId="9" fillId="16" borderId="34" xfId="0" applyNumberFormat="1" applyFont="1" applyFill="1" applyBorder="1"/>
    <xf numFmtId="0" fontId="2" fillId="11" borderId="4" xfId="0" applyFont="1" applyFill="1" applyBorder="1" applyAlignment="1">
      <alignment horizontal="center"/>
    </xf>
    <xf numFmtId="49" fontId="4" fillId="11" borderId="1" xfId="0" applyNumberFormat="1" applyFont="1" applyFill="1" applyBorder="1" applyAlignment="1">
      <alignment horizontal="center"/>
    </xf>
    <xf numFmtId="49" fontId="5" fillId="12" borderId="7" xfId="0" applyNumberFormat="1" applyFont="1" applyFill="1" applyBorder="1" applyAlignment="1">
      <alignment horizontal="center"/>
    </xf>
    <xf numFmtId="49" fontId="5" fillId="12" borderId="24" xfId="0" applyNumberFormat="1" applyFont="1" applyFill="1" applyBorder="1" applyAlignment="1">
      <alignment horizontal="center"/>
    </xf>
    <xf numFmtId="49" fontId="2" fillId="12" borderId="24" xfId="0" applyNumberFormat="1" applyFont="1" applyFill="1" applyBorder="1" applyAlignment="1">
      <alignment horizontal="center"/>
    </xf>
    <xf numFmtId="0" fontId="52" fillId="12" borderId="43" xfId="0" applyFont="1" applyFill="1" applyBorder="1"/>
    <xf numFmtId="0" fontId="3" fillId="12" borderId="8" xfId="0" applyFont="1" applyFill="1" applyBorder="1"/>
    <xf numFmtId="49" fontId="58" fillId="17" borderId="38" xfId="0" applyNumberFormat="1" applyFont="1" applyFill="1" applyBorder="1" applyAlignment="1">
      <alignment horizontal="center"/>
    </xf>
    <xf numFmtId="0" fontId="57" fillId="17" borderId="38" xfId="0" applyFont="1" applyFill="1" applyBorder="1"/>
    <xf numFmtId="0" fontId="4" fillId="2" borderId="4" xfId="0" applyFont="1" applyFill="1" applyBorder="1"/>
    <xf numFmtId="49" fontId="3" fillId="3" borderId="19" xfId="0" applyNumberFormat="1" applyFont="1" applyFill="1" applyBorder="1" applyAlignment="1">
      <alignment horizontal="center"/>
    </xf>
    <xf numFmtId="0" fontId="16" fillId="3" borderId="44" xfId="0" applyFont="1" applyFill="1" applyBorder="1"/>
    <xf numFmtId="49" fontId="59" fillId="17" borderId="38" xfId="0" applyNumberFormat="1" applyFont="1" applyFill="1" applyBorder="1" applyAlignment="1">
      <alignment horizontal="center"/>
    </xf>
    <xf numFmtId="0" fontId="3" fillId="17" borderId="8" xfId="0" applyFont="1" applyFill="1" applyBorder="1"/>
    <xf numFmtId="49" fontId="5" fillId="2" borderId="11" xfId="0" applyNumberFormat="1" applyFont="1" applyFill="1" applyBorder="1" applyAlignment="1">
      <alignment horizontal="center"/>
    </xf>
    <xf numFmtId="0" fontId="1" fillId="11" borderId="0" xfId="0" applyFont="1" applyFill="1" applyAlignment="1">
      <alignment horizontal="center"/>
    </xf>
    <xf numFmtId="0" fontId="0" fillId="11" borderId="0" xfId="0" applyFill="1" applyAlignment="1">
      <alignment horizontal="center"/>
    </xf>
    <xf numFmtId="49" fontId="4" fillId="11" borderId="11" xfId="0" applyNumberFormat="1" applyFont="1" applyFill="1" applyBorder="1" applyAlignment="1">
      <alignment horizontal="center"/>
    </xf>
    <xf numFmtId="0" fontId="21" fillId="11" borderId="0" xfId="0" applyFont="1" applyFill="1" applyBorder="1"/>
    <xf numFmtId="3" fontId="21" fillId="11" borderId="40" xfId="0" applyNumberFormat="1" applyFont="1" applyFill="1" applyBorder="1"/>
    <xf numFmtId="0" fontId="47" fillId="5" borderId="17" xfId="0" applyFont="1" applyFill="1" applyBorder="1"/>
    <xf numFmtId="0" fontId="51" fillId="6" borderId="45" xfId="0" applyFont="1" applyFill="1" applyBorder="1"/>
    <xf numFmtId="0" fontId="51" fillId="6" borderId="23" xfId="0" applyFont="1" applyFill="1" applyBorder="1"/>
    <xf numFmtId="49" fontId="3" fillId="3" borderId="46" xfId="0" applyNumberFormat="1" applyFont="1" applyFill="1" applyBorder="1" applyAlignment="1">
      <alignment horizontal="center"/>
    </xf>
    <xf numFmtId="0" fontId="3" fillId="8" borderId="0" xfId="0" applyFont="1" applyFill="1" applyBorder="1"/>
    <xf numFmtId="0" fontId="3" fillId="8" borderId="6" xfId="0" applyFont="1" applyFill="1" applyBorder="1"/>
    <xf numFmtId="0" fontId="68" fillId="2" borderId="6" xfId="0" applyFont="1" applyFill="1" applyBorder="1"/>
    <xf numFmtId="0" fontId="68" fillId="0" borderId="6" xfId="0" applyFont="1" applyFill="1" applyBorder="1"/>
    <xf numFmtId="0" fontId="8" fillId="3" borderId="5" xfId="0" applyFont="1" applyFill="1" applyBorder="1" applyAlignment="1">
      <alignment vertical="center"/>
    </xf>
    <xf numFmtId="0" fontId="3" fillId="2" borderId="5" xfId="0" applyFont="1" applyFill="1" applyBorder="1"/>
    <xf numFmtId="0" fontId="3" fillId="2" borderId="23" xfId="0" applyFont="1" applyFill="1" applyBorder="1"/>
    <xf numFmtId="0" fontId="3" fillId="2" borderId="6" xfId="0" applyNumberFormat="1" applyFont="1" applyFill="1" applyBorder="1"/>
    <xf numFmtId="0" fontId="3" fillId="2" borderId="5" xfId="0" applyNumberFormat="1" applyFont="1" applyFill="1" applyBorder="1"/>
    <xf numFmtId="0" fontId="3" fillId="11" borderId="6" xfId="0" applyFont="1" applyFill="1" applyBorder="1"/>
    <xf numFmtId="0" fontId="4" fillId="0" borderId="6" xfId="0" applyFont="1" applyFill="1" applyBorder="1"/>
    <xf numFmtId="0" fontId="13" fillId="2" borderId="6" xfId="0" applyFont="1" applyFill="1" applyBorder="1"/>
    <xf numFmtId="0" fontId="8" fillId="3" borderId="6" xfId="0" applyFont="1" applyFill="1" applyBorder="1" applyAlignment="1">
      <alignment vertical="center"/>
    </xf>
    <xf numFmtId="0" fontId="3" fillId="8" borderId="5" xfId="0" applyFont="1" applyFill="1" applyBorder="1"/>
    <xf numFmtId="0" fontId="3" fillId="2" borderId="41" xfId="0" applyNumberFormat="1" applyFont="1" applyFill="1" applyBorder="1"/>
    <xf numFmtId="3" fontId="13" fillId="11" borderId="47" xfId="0" applyNumberFormat="1" applyFont="1" applyFill="1" applyBorder="1" applyAlignment="1">
      <alignment horizontal="right"/>
    </xf>
    <xf numFmtId="0" fontId="19" fillId="2" borderId="6" xfId="0" applyFont="1" applyFill="1" applyBorder="1"/>
    <xf numFmtId="3" fontId="40" fillId="15" borderId="29" xfId="0" applyNumberFormat="1" applyFont="1" applyFill="1" applyBorder="1"/>
    <xf numFmtId="3" fontId="40" fillId="0" borderId="0" xfId="0" applyNumberFormat="1" applyFont="1" applyFill="1" applyBorder="1" applyAlignment="1">
      <alignment horizontal="right"/>
    </xf>
    <xf numFmtId="3" fontId="40" fillId="4" borderId="29" xfId="0" applyNumberFormat="1" applyFont="1" applyFill="1" applyBorder="1"/>
    <xf numFmtId="3" fontId="44" fillId="0" borderId="0" xfId="0" applyNumberFormat="1" applyFont="1" applyFill="1" applyBorder="1" applyAlignment="1">
      <alignment horizontal="right"/>
    </xf>
    <xf numFmtId="3" fontId="40" fillId="11" borderId="0" xfId="0" applyNumberFormat="1" applyFont="1" applyFill="1" applyBorder="1" applyAlignment="1">
      <alignment horizontal="right"/>
    </xf>
    <xf numFmtId="3" fontId="40" fillId="15" borderId="37" xfId="0" applyNumberFormat="1" applyFont="1" applyFill="1" applyBorder="1"/>
    <xf numFmtId="3" fontId="9" fillId="11" borderId="0" xfId="0" applyNumberFormat="1" applyFont="1" applyFill="1" applyBorder="1" applyAlignment="1">
      <alignment horizontal="right"/>
    </xf>
    <xf numFmtId="3" fontId="9" fillId="11" borderId="6" xfId="0" applyNumberFormat="1" applyFont="1" applyFill="1" applyBorder="1" applyAlignment="1">
      <alignment horizontal="right"/>
    </xf>
    <xf numFmtId="3" fontId="40" fillId="4" borderId="37" xfId="0" applyNumberFormat="1" applyFont="1" applyFill="1" applyBorder="1"/>
    <xf numFmtId="3" fontId="26" fillId="11" borderId="0" xfId="0" applyNumberFormat="1" applyFont="1" applyFill="1" applyBorder="1" applyAlignment="1">
      <alignment horizontal="right"/>
    </xf>
    <xf numFmtId="3" fontId="26" fillId="11" borderId="5" xfId="0" applyNumberFormat="1" applyFont="1" applyFill="1" applyBorder="1" applyAlignment="1">
      <alignment horizontal="right"/>
    </xf>
    <xf numFmtId="3" fontId="9" fillId="11" borderId="5" xfId="0" applyNumberFormat="1" applyFont="1" applyFill="1" applyBorder="1" applyAlignment="1">
      <alignment horizontal="right"/>
    </xf>
    <xf numFmtId="3" fontId="44" fillId="11" borderId="0" xfId="0" applyNumberFormat="1" applyFont="1" applyFill="1" applyBorder="1" applyAlignment="1">
      <alignment horizontal="right"/>
    </xf>
    <xf numFmtId="3" fontId="26" fillId="11" borderId="6" xfId="0" applyNumberFormat="1" applyFont="1" applyFill="1" applyBorder="1" applyAlignment="1">
      <alignment horizontal="right"/>
    </xf>
    <xf numFmtId="3" fontId="26" fillId="11" borderId="47" xfId="0" applyNumberFormat="1" applyFont="1" applyFill="1" applyBorder="1" applyAlignment="1">
      <alignment horizontal="right"/>
    </xf>
    <xf numFmtId="3" fontId="40" fillId="15" borderId="33" xfId="0" applyNumberFormat="1" applyFont="1" applyFill="1" applyBorder="1"/>
    <xf numFmtId="3" fontId="40" fillId="15" borderId="34" xfId="0" applyNumberFormat="1" applyFont="1" applyFill="1" applyBorder="1"/>
    <xf numFmtId="3" fontId="40" fillId="0" borderId="0" xfId="0" applyNumberFormat="1" applyFont="1" applyFill="1" applyBorder="1" applyAlignment="1"/>
    <xf numFmtId="3" fontId="40" fillId="11" borderId="29" xfId="0" applyNumberFormat="1" applyFont="1" applyFill="1" applyBorder="1"/>
    <xf numFmtId="3" fontId="9" fillId="11" borderId="47" xfId="0" applyNumberFormat="1" applyFont="1" applyFill="1" applyBorder="1" applyAlignment="1">
      <alignment horizontal="right"/>
    </xf>
    <xf numFmtId="0" fontId="1" fillId="0" borderId="31" xfId="0" applyFont="1" applyBorder="1" applyAlignment="1">
      <alignment horizontal="center"/>
    </xf>
    <xf numFmtId="0" fontId="3" fillId="11" borderId="42" xfId="0" applyFont="1" applyFill="1" applyBorder="1" applyAlignment="1">
      <alignment horizontal="center"/>
    </xf>
    <xf numFmtId="0" fontId="3" fillId="3" borderId="6" xfId="0" applyFont="1" applyFill="1" applyBorder="1" applyAlignment="1"/>
    <xf numFmtId="0" fontId="21" fillId="11" borderId="6" xfId="0" applyFont="1" applyFill="1" applyBorder="1"/>
    <xf numFmtId="0" fontId="3" fillId="3" borderId="5" xfId="0" applyFont="1" applyFill="1" applyBorder="1" applyAlignment="1"/>
    <xf numFmtId="0" fontId="9" fillId="4" borderId="1" xfId="0" applyFont="1" applyFill="1" applyBorder="1" applyAlignment="1"/>
    <xf numFmtId="0" fontId="21" fillId="11" borderId="42" xfId="0" applyFont="1" applyFill="1" applyBorder="1"/>
    <xf numFmtId="0" fontId="3" fillId="18" borderId="3" xfId="0" applyFont="1" applyFill="1" applyBorder="1" applyAlignment="1">
      <alignment horizontal="center"/>
    </xf>
    <xf numFmtId="0" fontId="6" fillId="18" borderId="2" xfId="0" applyFont="1" applyFill="1" applyBorder="1"/>
    <xf numFmtId="3" fontId="13" fillId="18" borderId="0" xfId="0" applyNumberFormat="1" applyFont="1" applyFill="1" applyBorder="1" applyAlignment="1">
      <alignment horizontal="right"/>
    </xf>
    <xf numFmtId="3" fontId="9" fillId="18" borderId="29" xfId="0" applyNumberFormat="1" applyFont="1" applyFill="1" applyBorder="1"/>
    <xf numFmtId="3" fontId="4" fillId="18" borderId="0" xfId="0" applyNumberFormat="1" applyFont="1" applyFill="1" applyBorder="1" applyAlignment="1">
      <alignment horizontal="right"/>
    </xf>
    <xf numFmtId="3" fontId="9" fillId="18" borderId="33" xfId="0" applyNumberFormat="1" applyFont="1" applyFill="1" applyBorder="1"/>
    <xf numFmtId="0" fontId="3" fillId="11" borderId="5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3" fontId="21" fillId="0" borderId="33" xfId="0" applyNumberFormat="1" applyFont="1" applyFill="1" applyBorder="1"/>
    <xf numFmtId="0" fontId="21" fillId="0" borderId="2" xfId="0" applyFont="1" applyFill="1" applyBorder="1"/>
    <xf numFmtId="0" fontId="4" fillId="11" borderId="6" xfId="0" applyFont="1" applyFill="1" applyBorder="1" applyAlignment="1">
      <alignment horizontal="center"/>
    </xf>
    <xf numFmtId="49" fontId="5" fillId="2" borderId="9" xfId="0" applyNumberFormat="1" applyFont="1" applyFill="1" applyBorder="1" applyAlignment="1">
      <alignment horizontal="center"/>
    </xf>
    <xf numFmtId="49" fontId="3" fillId="2" borderId="9" xfId="0" applyNumberFormat="1" applyFont="1" applyFill="1" applyBorder="1" applyAlignment="1">
      <alignment horizontal="center"/>
    </xf>
    <xf numFmtId="0" fontId="3" fillId="11" borderId="41" xfId="0" applyFont="1" applyFill="1" applyBorder="1" applyAlignment="1">
      <alignment horizontal="center"/>
    </xf>
    <xf numFmtId="49" fontId="4" fillId="2" borderId="4" xfId="0" applyNumberFormat="1" applyFont="1" applyFill="1" applyBorder="1" applyAlignment="1">
      <alignment horizontal="center"/>
    </xf>
    <xf numFmtId="3" fontId="64" fillId="19" borderId="48" xfId="0" applyNumberFormat="1" applyFont="1" applyFill="1" applyBorder="1" applyAlignment="1">
      <alignment vertical="center"/>
    </xf>
    <xf numFmtId="3" fontId="55" fillId="19" borderId="34" xfId="0" applyNumberFormat="1" applyFont="1" applyFill="1" applyBorder="1" applyAlignment="1"/>
    <xf numFmtId="3" fontId="55" fillId="19" borderId="33" xfId="0" applyNumberFormat="1" applyFont="1" applyFill="1" applyBorder="1" applyAlignment="1"/>
    <xf numFmtId="3" fontId="84" fillId="19" borderId="29" xfId="0" applyNumberFormat="1" applyFont="1" applyFill="1" applyBorder="1"/>
    <xf numFmtId="3" fontId="55" fillId="19" borderId="30" xfId="0" applyNumberFormat="1" applyFont="1" applyFill="1" applyBorder="1" applyAlignment="1"/>
    <xf numFmtId="3" fontId="9" fillId="14" borderId="1" xfId="0" applyNumberFormat="1" applyFont="1" applyFill="1" applyBorder="1" applyAlignment="1">
      <alignment horizontal="right"/>
    </xf>
    <xf numFmtId="3" fontId="46" fillId="13" borderId="16" xfId="0" applyNumberFormat="1" applyFont="1" applyFill="1" applyBorder="1" applyAlignment="1">
      <alignment vertical="center"/>
    </xf>
    <xf numFmtId="3" fontId="32" fillId="13" borderId="3" xfId="0" applyNumberFormat="1" applyFont="1" applyFill="1" applyBorder="1" applyAlignment="1"/>
    <xf numFmtId="3" fontId="21" fillId="14" borderId="49" xfId="0" applyNumberFormat="1" applyFont="1" applyFill="1" applyBorder="1" applyAlignment="1">
      <alignment horizontal="right"/>
    </xf>
    <xf numFmtId="3" fontId="32" fillId="13" borderId="1" xfId="0" applyNumberFormat="1" applyFont="1" applyFill="1" applyBorder="1" applyAlignment="1"/>
    <xf numFmtId="3" fontId="21" fillId="11" borderId="3" xfId="0" applyNumberFormat="1" applyFont="1" applyFill="1" applyBorder="1" applyAlignment="1">
      <alignment horizontal="right"/>
    </xf>
    <xf numFmtId="3" fontId="44" fillId="11" borderId="49" xfId="0" applyNumberFormat="1" applyFont="1" applyFill="1" applyBorder="1" applyAlignment="1">
      <alignment horizontal="right"/>
    </xf>
    <xf numFmtId="3" fontId="32" fillId="13" borderId="38" xfId="0" applyNumberFormat="1" applyFont="1" applyFill="1" applyBorder="1" applyAlignment="1"/>
    <xf numFmtId="3" fontId="21" fillId="11" borderId="38" xfId="0" applyNumberFormat="1" applyFont="1" applyFill="1" applyBorder="1" applyAlignment="1">
      <alignment horizontal="right"/>
    </xf>
    <xf numFmtId="3" fontId="9" fillId="14" borderId="3" xfId="0" applyNumberFormat="1" applyFont="1" applyFill="1" applyBorder="1" applyAlignment="1">
      <alignment horizontal="right"/>
    </xf>
    <xf numFmtId="3" fontId="6" fillId="12" borderId="1" xfId="0" applyNumberFormat="1" applyFont="1" applyFill="1" applyBorder="1" applyAlignment="1">
      <alignment horizontal="right"/>
    </xf>
    <xf numFmtId="3" fontId="6" fillId="11" borderId="1" xfId="0" applyNumberFormat="1" applyFont="1" applyFill="1" applyBorder="1" applyAlignment="1">
      <alignment horizontal="right"/>
    </xf>
    <xf numFmtId="3" fontId="21" fillId="11" borderId="7" xfId="0" applyNumberFormat="1" applyFont="1" applyFill="1" applyBorder="1" applyAlignment="1">
      <alignment horizontal="right"/>
    </xf>
    <xf numFmtId="3" fontId="32" fillId="19" borderId="34" xfId="0" applyNumberFormat="1" applyFont="1" applyFill="1" applyBorder="1" applyAlignment="1"/>
    <xf numFmtId="3" fontId="32" fillId="19" borderId="33" xfId="0" applyNumberFormat="1" applyFont="1" applyFill="1" applyBorder="1" applyAlignment="1"/>
    <xf numFmtId="3" fontId="71" fillId="19" borderId="48" xfId="0" applyNumberFormat="1" applyFont="1" applyFill="1" applyBorder="1" applyAlignment="1">
      <alignment vertical="center"/>
    </xf>
    <xf numFmtId="3" fontId="53" fillId="13" borderId="3" xfId="0" applyNumberFormat="1" applyFont="1" applyFill="1" applyBorder="1" applyAlignment="1"/>
    <xf numFmtId="3" fontId="9" fillId="12" borderId="1" xfId="0" applyNumberFormat="1" applyFont="1" applyFill="1" applyBorder="1" applyAlignment="1">
      <alignment horizontal="right"/>
    </xf>
    <xf numFmtId="3" fontId="60" fillId="13" borderId="19" xfId="0" applyNumberFormat="1" applyFont="1" applyFill="1" applyBorder="1" applyAlignment="1"/>
    <xf numFmtId="3" fontId="6" fillId="11" borderId="49" xfId="0" applyNumberFormat="1" applyFont="1" applyFill="1" applyBorder="1" applyAlignment="1">
      <alignment horizontal="right"/>
    </xf>
    <xf numFmtId="3" fontId="60" fillId="13" borderId="1" xfId="0" applyNumberFormat="1" applyFont="1" applyFill="1" applyBorder="1" applyAlignment="1"/>
    <xf numFmtId="3" fontId="21" fillId="0" borderId="1" xfId="0" applyNumberFormat="1" applyFont="1" applyFill="1" applyBorder="1" applyAlignment="1">
      <alignment horizontal="right"/>
    </xf>
    <xf numFmtId="3" fontId="26" fillId="11" borderId="1" xfId="0" applyNumberFormat="1" applyFont="1" applyFill="1" applyBorder="1" applyAlignment="1">
      <alignment horizontal="right"/>
    </xf>
    <xf numFmtId="3" fontId="85" fillId="13" borderId="3" xfId="0" applyNumberFormat="1" applyFont="1" applyFill="1" applyBorder="1" applyAlignment="1"/>
    <xf numFmtId="3" fontId="9" fillId="14" borderId="49" xfId="0" applyNumberFormat="1" applyFont="1" applyFill="1" applyBorder="1" applyAlignment="1">
      <alignment horizontal="right"/>
    </xf>
    <xf numFmtId="3" fontId="9" fillId="11" borderId="49" xfId="0" applyNumberFormat="1" applyFont="1" applyFill="1" applyBorder="1" applyAlignment="1">
      <alignment horizontal="right"/>
    </xf>
    <xf numFmtId="3" fontId="6" fillId="14" borderId="49" xfId="0" applyNumberFormat="1" applyFont="1" applyFill="1" applyBorder="1" applyAlignment="1">
      <alignment horizontal="right"/>
    </xf>
    <xf numFmtId="3" fontId="6" fillId="18" borderId="1" xfId="0" applyNumberFormat="1" applyFont="1" applyFill="1" applyBorder="1" applyAlignment="1">
      <alignment horizontal="right"/>
    </xf>
    <xf numFmtId="3" fontId="46" fillId="13" borderId="50" xfId="0" applyNumberFormat="1" applyFont="1" applyFill="1" applyBorder="1" applyAlignment="1">
      <alignment vertical="center"/>
    </xf>
    <xf numFmtId="3" fontId="0" fillId="11" borderId="0" xfId="0" applyNumberFormat="1" applyFill="1" applyBorder="1"/>
    <xf numFmtId="49" fontId="13" fillId="11" borderId="5" xfId="0" applyNumberFormat="1" applyFont="1" applyFill="1" applyBorder="1" applyAlignment="1">
      <alignment horizontal="center"/>
    </xf>
    <xf numFmtId="0" fontId="23" fillId="0" borderId="26" xfId="0" applyFont="1" applyBorder="1"/>
    <xf numFmtId="3" fontId="46" fillId="20" borderId="16" xfId="0" applyNumberFormat="1" applyFont="1" applyFill="1" applyBorder="1" applyAlignment="1">
      <alignment vertical="center"/>
    </xf>
    <xf numFmtId="3" fontId="60" fillId="20" borderId="19" xfId="0" applyNumberFormat="1" applyFont="1" applyFill="1" applyBorder="1" applyAlignment="1"/>
    <xf numFmtId="3" fontId="60" fillId="20" borderId="1" xfId="0" applyNumberFormat="1" applyFont="1" applyFill="1" applyBorder="1" applyAlignment="1"/>
    <xf numFmtId="3" fontId="60" fillId="20" borderId="7" xfId="0" applyNumberFormat="1" applyFont="1" applyFill="1" applyBorder="1" applyAlignment="1"/>
    <xf numFmtId="3" fontId="32" fillId="20" borderId="1" xfId="0" applyNumberFormat="1" applyFont="1" applyFill="1" applyBorder="1" applyAlignment="1"/>
    <xf numFmtId="3" fontId="60" fillId="20" borderId="3" xfId="0" applyNumberFormat="1" applyFont="1" applyFill="1" applyBorder="1" applyAlignment="1"/>
    <xf numFmtId="3" fontId="46" fillId="20" borderId="50" xfId="0" applyNumberFormat="1" applyFont="1" applyFill="1" applyBorder="1" applyAlignment="1">
      <alignment vertical="center"/>
    </xf>
    <xf numFmtId="3" fontId="60" fillId="20" borderId="38" xfId="0" applyNumberFormat="1" applyFont="1" applyFill="1" applyBorder="1" applyAlignment="1"/>
    <xf numFmtId="3" fontId="85" fillId="20" borderId="3" xfId="0" applyNumberFormat="1" applyFont="1" applyFill="1" applyBorder="1" applyAlignment="1"/>
    <xf numFmtId="3" fontId="64" fillId="19" borderId="51" xfId="0" applyNumberFormat="1" applyFont="1" applyFill="1" applyBorder="1" applyAlignment="1">
      <alignment vertical="center"/>
    </xf>
    <xf numFmtId="0" fontId="78" fillId="11" borderId="0" xfId="0" applyFont="1" applyFill="1" applyBorder="1" applyAlignment="1"/>
    <xf numFmtId="0" fontId="3" fillId="21" borderId="10" xfId="0" applyFont="1" applyFill="1" applyBorder="1" applyAlignment="1">
      <alignment horizontal="center" vertical="center"/>
    </xf>
    <xf numFmtId="0" fontId="9" fillId="21" borderId="28" xfId="0" applyFont="1" applyFill="1" applyBorder="1" applyAlignment="1"/>
    <xf numFmtId="0" fontId="39" fillId="21" borderId="6" xfId="0" applyFont="1" applyFill="1" applyBorder="1" applyAlignment="1"/>
    <xf numFmtId="3" fontId="32" fillId="20" borderId="19" xfId="0" applyNumberFormat="1" applyFont="1" applyFill="1" applyBorder="1" applyAlignment="1"/>
    <xf numFmtId="3" fontId="40" fillId="2" borderId="1" xfId="0" applyNumberFormat="1" applyFont="1" applyFill="1" applyBorder="1" applyAlignment="1">
      <alignment horizontal="right"/>
    </xf>
    <xf numFmtId="3" fontId="40" fillId="4" borderId="1" xfId="0" applyNumberFormat="1" applyFont="1" applyFill="1" applyBorder="1" applyAlignment="1">
      <alignment horizontal="right"/>
    </xf>
    <xf numFmtId="3" fontId="40" fillId="15" borderId="1" xfId="0" applyNumberFormat="1" applyFont="1" applyFill="1" applyBorder="1" applyAlignment="1">
      <alignment horizontal="right"/>
    </xf>
    <xf numFmtId="3" fontId="40" fillId="4" borderId="3" xfId="0" applyNumberFormat="1" applyFont="1" applyFill="1" applyBorder="1" applyAlignment="1">
      <alignment horizontal="right"/>
    </xf>
    <xf numFmtId="3" fontId="6" fillId="16" borderId="1" xfId="0" applyNumberFormat="1" applyFont="1" applyFill="1" applyBorder="1" applyAlignment="1">
      <alignment horizontal="right"/>
    </xf>
    <xf numFmtId="3" fontId="40" fillId="12" borderId="1" xfId="0" applyNumberFormat="1" applyFont="1" applyFill="1" applyBorder="1" applyAlignment="1">
      <alignment horizontal="right"/>
    </xf>
    <xf numFmtId="3" fontId="26" fillId="11" borderId="3" xfId="0" applyNumberFormat="1" applyFont="1" applyFill="1" applyBorder="1" applyAlignment="1">
      <alignment horizontal="right"/>
    </xf>
    <xf numFmtId="3" fontId="40" fillId="11" borderId="1" xfId="0" applyNumberFormat="1" applyFont="1" applyFill="1" applyBorder="1" applyAlignment="1">
      <alignment horizontal="right"/>
    </xf>
    <xf numFmtId="3" fontId="6" fillId="11" borderId="3" xfId="0" applyNumberFormat="1" applyFont="1" applyFill="1" applyBorder="1" applyAlignment="1">
      <alignment horizontal="right"/>
    </xf>
    <xf numFmtId="3" fontId="9" fillId="0" borderId="1" xfId="0" applyNumberFormat="1" applyFont="1" applyFill="1" applyBorder="1" applyAlignment="1">
      <alignment horizontal="right"/>
    </xf>
    <xf numFmtId="3" fontId="26" fillId="11" borderId="49" xfId="0" applyNumberFormat="1" applyFont="1" applyFill="1" applyBorder="1" applyAlignment="1">
      <alignment horizontal="right"/>
    </xf>
    <xf numFmtId="3" fontId="6" fillId="16" borderId="3" xfId="0" applyNumberFormat="1" applyFont="1" applyFill="1" applyBorder="1" applyAlignment="1">
      <alignment horizontal="right"/>
    </xf>
    <xf numFmtId="49" fontId="13" fillId="11" borderId="26" xfId="0" applyNumberFormat="1" applyFont="1" applyFill="1" applyBorder="1" applyAlignment="1">
      <alignment horizontal="center"/>
    </xf>
    <xf numFmtId="3" fontId="71" fillId="20" borderId="16" xfId="0" applyNumberFormat="1" applyFont="1" applyFill="1" applyBorder="1" applyAlignment="1">
      <alignment vertical="center"/>
    </xf>
    <xf numFmtId="3" fontId="60" fillId="13" borderId="7" xfId="0" applyNumberFormat="1" applyFont="1" applyFill="1" applyBorder="1" applyAlignment="1"/>
    <xf numFmtId="3" fontId="55" fillId="19" borderId="40" xfId="0" applyNumberFormat="1" applyFont="1" applyFill="1" applyBorder="1" applyAlignment="1"/>
    <xf numFmtId="0" fontId="12" fillId="22" borderId="53" xfId="0" applyFont="1" applyFill="1" applyBorder="1" applyAlignment="1">
      <alignment horizontal="left" vertical="center"/>
    </xf>
    <xf numFmtId="0" fontId="3" fillId="22" borderId="10" xfId="0" applyFont="1" applyFill="1" applyBorder="1" applyAlignment="1">
      <alignment horizontal="center" vertical="center"/>
    </xf>
    <xf numFmtId="0" fontId="69" fillId="22" borderId="28" xfId="0" applyFont="1" applyFill="1" applyBorder="1"/>
    <xf numFmtId="0" fontId="3" fillId="22" borderId="12" xfId="0" applyFont="1" applyFill="1" applyBorder="1" applyAlignment="1">
      <alignment horizontal="center" vertical="center"/>
    </xf>
    <xf numFmtId="0" fontId="69" fillId="22" borderId="26" xfId="0" applyFont="1" applyFill="1" applyBorder="1"/>
    <xf numFmtId="0" fontId="50" fillId="23" borderId="10" xfId="0" applyFont="1" applyFill="1" applyBorder="1" applyAlignment="1">
      <alignment horizontal="center" vertical="center"/>
    </xf>
    <xf numFmtId="0" fontId="80" fillId="0" borderId="26" xfId="0" applyFont="1" applyBorder="1" applyAlignment="1">
      <alignment horizontal="left"/>
    </xf>
    <xf numFmtId="0" fontId="80" fillId="0" borderId="26" xfId="0" applyFont="1" applyBorder="1"/>
    <xf numFmtId="3" fontId="4" fillId="11" borderId="0" xfId="0" applyNumberFormat="1" applyFont="1" applyFill="1" applyBorder="1" applyAlignment="1">
      <alignment horizontal="right" vertical="center"/>
    </xf>
    <xf numFmtId="3" fontId="21" fillId="11" borderId="33" xfId="0" applyNumberFormat="1" applyFont="1" applyFill="1" applyBorder="1" applyAlignment="1">
      <alignment horizontal="right" vertical="center"/>
    </xf>
    <xf numFmtId="0" fontId="79" fillId="11" borderId="2" xfId="0" applyFont="1" applyFill="1" applyBorder="1" applyAlignment="1">
      <alignment horizontal="left" vertical="center" wrapText="1"/>
    </xf>
    <xf numFmtId="0" fontId="3" fillId="11" borderId="3" xfId="0" applyFont="1" applyFill="1" applyBorder="1" applyAlignment="1">
      <alignment horizontal="center" vertical="center"/>
    </xf>
    <xf numFmtId="0" fontId="4" fillId="11" borderId="1" xfId="0" applyFont="1" applyFill="1" applyBorder="1" applyAlignment="1">
      <alignment horizontal="center" vertical="center"/>
    </xf>
    <xf numFmtId="0" fontId="81" fillId="11" borderId="0" xfId="0" applyFont="1" applyFill="1" applyBorder="1" applyAlignment="1"/>
    <xf numFmtId="0" fontId="3" fillId="11" borderId="2" xfId="0" applyFont="1" applyFill="1" applyBorder="1" applyAlignment="1">
      <alignment horizontal="center" vertical="center"/>
    </xf>
    <xf numFmtId="3" fontId="21" fillId="11" borderId="33" xfId="0" applyNumberFormat="1" applyFont="1" applyFill="1" applyBorder="1" applyAlignment="1">
      <alignment vertical="center"/>
    </xf>
    <xf numFmtId="0" fontId="79" fillId="0" borderId="2" xfId="0" applyFont="1" applyFill="1" applyBorder="1" applyAlignment="1">
      <alignment vertical="center" wrapText="1"/>
    </xf>
    <xf numFmtId="0" fontId="3" fillId="11" borderId="4" xfId="0" applyFont="1" applyFill="1" applyBorder="1" applyAlignment="1">
      <alignment horizontal="center" vertical="center"/>
    </xf>
    <xf numFmtId="0" fontId="3" fillId="11" borderId="1" xfId="0" applyFont="1" applyFill="1" applyBorder="1" applyAlignment="1">
      <alignment horizontal="center" vertical="center"/>
    </xf>
    <xf numFmtId="3" fontId="26" fillId="11" borderId="33" xfId="0" applyNumberFormat="1" applyFont="1" applyFill="1" applyBorder="1" applyAlignment="1">
      <alignment vertical="center"/>
    </xf>
    <xf numFmtId="0" fontId="68" fillId="0" borderId="2" xfId="0" applyFont="1" applyFill="1" applyBorder="1"/>
    <xf numFmtId="3" fontId="21" fillId="11" borderId="11" xfId="0" applyNumberFormat="1" applyFont="1" applyFill="1" applyBorder="1" applyAlignment="1">
      <alignment horizontal="right"/>
    </xf>
    <xf numFmtId="3" fontId="9" fillId="11" borderId="3" xfId="0" applyNumberFormat="1" applyFont="1" applyFill="1" applyBorder="1" applyAlignment="1">
      <alignment horizontal="right"/>
    </xf>
    <xf numFmtId="3" fontId="6" fillId="14" borderId="11" xfId="0" applyNumberFormat="1" applyFont="1" applyFill="1" applyBorder="1" applyAlignment="1">
      <alignment horizontal="right"/>
    </xf>
    <xf numFmtId="0" fontId="3" fillId="11" borderId="6" xfId="0" applyFont="1" applyFill="1" applyBorder="1" applyAlignment="1">
      <alignment horizontal="center" vertical="center"/>
    </xf>
    <xf numFmtId="3" fontId="21" fillId="11" borderId="3" xfId="0" applyNumberFormat="1" applyFont="1" applyFill="1" applyBorder="1" applyAlignment="1">
      <alignment horizontal="right" vertical="center"/>
    </xf>
    <xf numFmtId="3" fontId="26" fillId="11" borderId="34" xfId="0" applyNumberFormat="1" applyFont="1" applyFill="1" applyBorder="1" applyAlignment="1">
      <alignment vertical="center"/>
    </xf>
    <xf numFmtId="49" fontId="5" fillId="2" borderId="49" xfId="0" applyNumberFormat="1" applyFont="1" applyFill="1" applyBorder="1" applyAlignment="1">
      <alignment horizontal="center"/>
    </xf>
    <xf numFmtId="49" fontId="5" fillId="2" borderId="54" xfId="0" applyNumberFormat="1" applyFont="1" applyFill="1" applyBorder="1" applyAlignment="1">
      <alignment horizontal="center"/>
    </xf>
    <xf numFmtId="49" fontId="3" fillId="2" borderId="54" xfId="0" applyNumberFormat="1" applyFont="1" applyFill="1" applyBorder="1" applyAlignment="1">
      <alignment horizontal="center"/>
    </xf>
    <xf numFmtId="0" fontId="3" fillId="0" borderId="47" xfId="0" applyFont="1" applyBorder="1"/>
    <xf numFmtId="0" fontId="3" fillId="2" borderId="47" xfId="0" applyFont="1" applyFill="1" applyBorder="1"/>
    <xf numFmtId="0" fontId="3" fillId="11" borderId="54" xfId="0" applyFont="1" applyFill="1" applyBorder="1" applyAlignment="1">
      <alignment horizontal="center"/>
    </xf>
    <xf numFmtId="0" fontId="3" fillId="11" borderId="47" xfId="0" applyFont="1" applyFill="1" applyBorder="1" applyAlignment="1">
      <alignment horizontal="center"/>
    </xf>
    <xf numFmtId="0" fontId="21" fillId="11" borderId="54" xfId="0" applyFont="1" applyFill="1" applyBorder="1"/>
    <xf numFmtId="0" fontId="79" fillId="0" borderId="2" xfId="0" applyFont="1" applyFill="1" applyBorder="1" applyAlignment="1">
      <alignment horizontal="left" vertical="center" wrapText="1"/>
    </xf>
    <xf numFmtId="3" fontId="22" fillId="8" borderId="33" xfId="0" applyNumberFormat="1" applyFont="1" applyFill="1" applyBorder="1" applyAlignment="1">
      <alignment horizontal="right"/>
    </xf>
    <xf numFmtId="3" fontId="22" fillId="8" borderId="34" xfId="0" applyNumberFormat="1" applyFont="1" applyFill="1" applyBorder="1" applyAlignment="1">
      <alignment horizontal="right"/>
    </xf>
    <xf numFmtId="3" fontId="8" fillId="2" borderId="34" xfId="0" applyNumberFormat="1" applyFont="1" applyFill="1" applyBorder="1" applyAlignment="1">
      <alignment horizontal="right"/>
    </xf>
    <xf numFmtId="3" fontId="32" fillId="25" borderId="33" xfId="0" applyNumberFormat="1" applyFont="1" applyFill="1" applyBorder="1" applyAlignment="1">
      <alignment horizontal="right" vertical="center"/>
    </xf>
    <xf numFmtId="3" fontId="21" fillId="11" borderId="34" xfId="0" applyNumberFormat="1" applyFont="1" applyFill="1" applyBorder="1" applyAlignment="1">
      <alignment horizontal="right"/>
    </xf>
    <xf numFmtId="3" fontId="6" fillId="2" borderId="34" xfId="0" applyNumberFormat="1" applyFont="1" applyFill="1" applyBorder="1" applyAlignment="1">
      <alignment horizontal="right"/>
    </xf>
    <xf numFmtId="3" fontId="21" fillId="0" borderId="3" xfId="0" applyNumberFormat="1" applyFont="1" applyFill="1" applyBorder="1" applyAlignment="1">
      <alignment horizontal="right"/>
    </xf>
    <xf numFmtId="3" fontId="6" fillId="11" borderId="34" xfId="0" applyNumberFormat="1" applyFont="1" applyFill="1" applyBorder="1"/>
    <xf numFmtId="49" fontId="13" fillId="11" borderId="38" xfId="0" applyNumberFormat="1" applyFont="1" applyFill="1" applyBorder="1" applyAlignment="1">
      <alignment horizontal="center"/>
    </xf>
    <xf numFmtId="0" fontId="21" fillId="11" borderId="38" xfId="0" applyFont="1" applyFill="1" applyBorder="1"/>
    <xf numFmtId="3" fontId="21" fillId="11" borderId="34" xfId="0" applyNumberFormat="1" applyFont="1" applyFill="1" applyBorder="1" applyAlignment="1">
      <alignment horizontal="right" vertical="center"/>
    </xf>
    <xf numFmtId="3" fontId="40" fillId="4" borderId="4" xfId="0" applyNumberFormat="1" applyFont="1" applyFill="1" applyBorder="1" applyAlignment="1">
      <alignment horizontal="right"/>
    </xf>
    <xf numFmtId="0" fontId="6" fillId="11" borderId="1" xfId="0" applyFont="1" applyFill="1" applyBorder="1"/>
    <xf numFmtId="3" fontId="7" fillId="2" borderId="33" xfId="0" applyNumberFormat="1" applyFont="1" applyFill="1" applyBorder="1" applyAlignment="1">
      <alignment horizontal="right"/>
    </xf>
    <xf numFmtId="3" fontId="7" fillId="2" borderId="34" xfId="0" applyNumberFormat="1" applyFont="1" applyFill="1" applyBorder="1" applyAlignment="1">
      <alignment horizontal="right"/>
    </xf>
    <xf numFmtId="0" fontId="35" fillId="0" borderId="0" xfId="0" applyFont="1" applyFill="1" applyBorder="1" applyAlignment="1"/>
    <xf numFmtId="0" fontId="75" fillId="0" borderId="0" xfId="0" applyFont="1" applyFill="1" applyBorder="1" applyAlignment="1"/>
    <xf numFmtId="3" fontId="6" fillId="0" borderId="1" xfId="0" applyNumberFormat="1" applyFont="1" applyFill="1" applyBorder="1" applyAlignment="1">
      <alignment horizontal="right"/>
    </xf>
    <xf numFmtId="0" fontId="28" fillId="0" borderId="0" xfId="0" applyFont="1" applyFill="1" applyAlignment="1">
      <alignment vertical="center"/>
    </xf>
    <xf numFmtId="0" fontId="21" fillId="11" borderId="2" xfId="0" applyFont="1" applyFill="1" applyBorder="1" applyAlignment="1">
      <alignment vertical="center" wrapText="1"/>
    </xf>
    <xf numFmtId="0" fontId="28" fillId="11" borderId="0" xfId="0" applyFont="1" applyFill="1" applyAlignment="1">
      <alignment vertical="center"/>
    </xf>
    <xf numFmtId="49" fontId="4" fillId="14" borderId="28" xfId="0" applyNumberFormat="1" applyFont="1" applyFill="1" applyBorder="1" applyAlignment="1">
      <alignment horizontal="center"/>
    </xf>
    <xf numFmtId="3" fontId="40" fillId="11" borderId="47" xfId="0" applyNumberFormat="1" applyFont="1" applyFill="1" applyBorder="1" applyAlignment="1">
      <alignment horizontal="right"/>
    </xf>
    <xf numFmtId="49" fontId="3" fillId="0" borderId="4" xfId="0" applyNumberFormat="1" applyFont="1" applyFill="1" applyBorder="1" applyAlignment="1">
      <alignment horizontal="center"/>
    </xf>
    <xf numFmtId="49" fontId="4" fillId="2" borderId="24" xfId="0" applyNumberFormat="1" applyFont="1" applyFill="1" applyBorder="1" applyAlignment="1">
      <alignment horizontal="center"/>
    </xf>
    <xf numFmtId="49" fontId="13" fillId="2" borderId="7" xfId="0" applyNumberFormat="1" applyFont="1" applyFill="1" applyBorder="1" applyAlignment="1">
      <alignment horizontal="center"/>
    </xf>
    <xf numFmtId="0" fontId="3" fillId="2" borderId="8" xfId="0" applyFont="1" applyFill="1" applyBorder="1"/>
    <xf numFmtId="0" fontId="13" fillId="16" borderId="3" xfId="0" applyFont="1" applyFill="1" applyBorder="1" applyAlignment="1">
      <alignment horizontal="center"/>
    </xf>
    <xf numFmtId="0" fontId="36" fillId="0" borderId="31" xfId="0" applyFont="1" applyBorder="1" applyAlignment="1">
      <alignment horizontal="center"/>
    </xf>
    <xf numFmtId="0" fontId="1" fillId="10" borderId="55" xfId="0" applyFont="1" applyFill="1" applyBorder="1" applyAlignment="1">
      <alignment horizontal="center"/>
    </xf>
    <xf numFmtId="3" fontId="60" fillId="20" borderId="56" xfId="0" applyNumberFormat="1" applyFont="1" applyFill="1" applyBorder="1" applyAlignment="1"/>
    <xf numFmtId="0" fontId="3" fillId="10" borderId="56" xfId="0" applyFont="1" applyFill="1" applyBorder="1" applyAlignment="1"/>
    <xf numFmtId="0" fontId="3" fillId="10" borderId="16" xfId="0" applyFont="1" applyFill="1" applyBorder="1" applyAlignment="1"/>
    <xf numFmtId="0" fontId="1" fillId="10" borderId="57" xfId="0" applyFont="1" applyFill="1" applyBorder="1" applyAlignment="1">
      <alignment horizontal="center"/>
    </xf>
    <xf numFmtId="0" fontId="1" fillId="0" borderId="52" xfId="0" applyFont="1" applyBorder="1" applyAlignment="1">
      <alignment horizontal="center"/>
    </xf>
    <xf numFmtId="3" fontId="18" fillId="0" borderId="25" xfId="0" applyNumberFormat="1" applyFont="1" applyFill="1" applyBorder="1" applyAlignment="1">
      <alignment vertical="center"/>
    </xf>
    <xf numFmtId="3" fontId="46" fillId="13" borderId="58" xfId="0" applyNumberFormat="1" applyFont="1" applyFill="1" applyBorder="1" applyAlignment="1">
      <alignment vertical="center"/>
    </xf>
    <xf numFmtId="0" fontId="4" fillId="12" borderId="26" xfId="0" applyFont="1" applyFill="1" applyBorder="1" applyAlignment="1">
      <alignment horizontal="center"/>
    </xf>
    <xf numFmtId="0" fontId="9" fillId="12" borderId="26" xfId="0" applyFont="1" applyFill="1" applyBorder="1" applyAlignment="1">
      <alignment horizontal="center"/>
    </xf>
    <xf numFmtId="0" fontId="9" fillId="26" borderId="28" xfId="0" applyFont="1" applyFill="1" applyBorder="1" applyAlignment="1"/>
    <xf numFmtId="3" fontId="40" fillId="26" borderId="3" xfId="0" applyNumberFormat="1" applyFont="1" applyFill="1" applyBorder="1" applyAlignment="1">
      <alignment horizontal="right"/>
    </xf>
    <xf numFmtId="0" fontId="6" fillId="26" borderId="2" xfId="0" applyFont="1" applyFill="1" applyBorder="1" applyAlignment="1"/>
    <xf numFmtId="0" fontId="13" fillId="26" borderId="28" xfId="0" applyFont="1" applyFill="1" applyBorder="1" applyAlignment="1"/>
    <xf numFmtId="3" fontId="9" fillId="26" borderId="3" xfId="0" applyNumberFormat="1" applyFont="1" applyFill="1" applyBorder="1" applyAlignment="1">
      <alignment horizontal="right"/>
    </xf>
    <xf numFmtId="3" fontId="9" fillId="26" borderId="33" xfId="0" applyNumberFormat="1" applyFont="1" applyFill="1" applyBorder="1"/>
    <xf numFmtId="0" fontId="13" fillId="26" borderId="28" xfId="0" applyFont="1" applyFill="1" applyBorder="1" applyAlignment="1">
      <alignment horizontal="center"/>
    </xf>
    <xf numFmtId="3" fontId="9" fillId="26" borderId="2" xfId="0" applyNumberFormat="1" applyFont="1" applyFill="1" applyBorder="1" applyAlignment="1"/>
    <xf numFmtId="3" fontId="9" fillId="26" borderId="1" xfId="0" applyNumberFormat="1" applyFont="1" applyFill="1" applyBorder="1" applyAlignment="1">
      <alignment horizontal="right"/>
    </xf>
    <xf numFmtId="0" fontId="3" fillId="11" borderId="1" xfId="0" applyFont="1" applyFill="1" applyBorder="1" applyAlignment="1">
      <alignment horizontal="center"/>
    </xf>
    <xf numFmtId="0" fontId="21" fillId="11" borderId="1" xfId="0" applyFont="1" applyFill="1" applyBorder="1"/>
    <xf numFmtId="3" fontId="21" fillId="11" borderId="1" xfId="0" applyNumberFormat="1" applyFont="1" applyFill="1" applyBorder="1" applyAlignment="1">
      <alignment horizontal="right"/>
    </xf>
    <xf numFmtId="3" fontId="21" fillId="11" borderId="49" xfId="0" applyNumberFormat="1" applyFont="1" applyFill="1" applyBorder="1" applyAlignment="1">
      <alignment horizontal="right"/>
    </xf>
    <xf numFmtId="3" fontId="21" fillId="11" borderId="33" xfId="0" applyNumberFormat="1" applyFont="1" applyFill="1" applyBorder="1"/>
    <xf numFmtId="3" fontId="9" fillId="11" borderId="1" xfId="0" applyNumberFormat="1" applyFont="1" applyFill="1" applyBorder="1" applyAlignment="1">
      <alignment horizontal="right"/>
    </xf>
    <xf numFmtId="3" fontId="9" fillId="11" borderId="33" xfId="0" applyNumberFormat="1" applyFont="1" applyFill="1" applyBorder="1"/>
    <xf numFmtId="3" fontId="21" fillId="11" borderId="1" xfId="0" applyNumberFormat="1" applyFont="1" applyFill="1" applyBorder="1" applyAlignment="1">
      <alignment horizontal="right" vertical="center"/>
    </xf>
    <xf numFmtId="3" fontId="21" fillId="11" borderId="49" xfId="0" applyNumberFormat="1" applyFont="1" applyFill="1" applyBorder="1" applyAlignment="1">
      <alignment horizontal="right" vertical="center"/>
    </xf>
    <xf numFmtId="0" fontId="21" fillId="0" borderId="6" xfId="0" applyFont="1" applyFill="1" applyBorder="1"/>
    <xf numFmtId="3" fontId="21" fillId="0" borderId="1" xfId="0" applyNumberFormat="1" applyFont="1" applyFill="1" applyBorder="1" applyAlignment="1">
      <alignment horizontal="right" vertical="center"/>
    </xf>
    <xf numFmtId="3" fontId="6" fillId="14" borderId="1" xfId="0" applyNumberFormat="1" applyFont="1" applyFill="1" applyBorder="1" applyAlignment="1">
      <alignment horizontal="right"/>
    </xf>
    <xf numFmtId="3" fontId="8" fillId="0" borderId="33" xfId="0" applyNumberFormat="1" applyFont="1" applyFill="1" applyBorder="1" applyAlignment="1">
      <alignment horizontal="right"/>
    </xf>
    <xf numFmtId="3" fontId="7" fillId="0" borderId="34" xfId="0" applyNumberFormat="1" applyFont="1" applyBorder="1" applyAlignment="1">
      <alignment horizontal="right"/>
    </xf>
    <xf numFmtId="3" fontId="8" fillId="2" borderId="33" xfId="0" applyNumberFormat="1" applyFont="1" applyFill="1" applyBorder="1" applyAlignment="1">
      <alignment horizontal="right"/>
    </xf>
    <xf numFmtId="3" fontId="8" fillId="11" borderId="34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vertical="center"/>
    </xf>
    <xf numFmtId="49" fontId="74" fillId="12" borderId="51" xfId="0" applyNumberFormat="1" applyFont="1" applyFill="1" applyBorder="1" applyAlignment="1">
      <alignment horizontal="center" vertical="center" wrapText="1"/>
    </xf>
    <xf numFmtId="3" fontId="33" fillId="12" borderId="34" xfId="0" applyNumberFormat="1" applyFont="1" applyFill="1" applyBorder="1" applyAlignment="1">
      <alignment horizontal="right"/>
    </xf>
    <xf numFmtId="3" fontId="33" fillId="12" borderId="33" xfId="0" applyNumberFormat="1" applyFont="1" applyFill="1" applyBorder="1" applyAlignment="1">
      <alignment horizontal="right"/>
    </xf>
    <xf numFmtId="4" fontId="44" fillId="11" borderId="33" xfId="0" applyNumberFormat="1" applyFont="1" applyFill="1" applyBorder="1" applyAlignment="1">
      <alignment horizontal="right"/>
    </xf>
    <xf numFmtId="3" fontId="44" fillId="12" borderId="33" xfId="0" applyNumberFormat="1" applyFont="1" applyFill="1" applyBorder="1" applyAlignment="1">
      <alignment horizontal="right"/>
    </xf>
    <xf numFmtId="4" fontId="25" fillId="12" borderId="29" xfId="0" applyNumberFormat="1" applyFont="1" applyFill="1" applyBorder="1" applyAlignment="1">
      <alignment horizontal="right"/>
    </xf>
    <xf numFmtId="4" fontId="25" fillId="12" borderId="34" xfId="0" applyNumberFormat="1" applyFont="1" applyFill="1" applyBorder="1" applyAlignment="1">
      <alignment horizontal="right"/>
    </xf>
    <xf numFmtId="4" fontId="25" fillId="12" borderId="40" xfId="0" applyNumberFormat="1" applyFont="1" applyFill="1" applyBorder="1" applyAlignment="1">
      <alignment horizontal="right"/>
    </xf>
    <xf numFmtId="3" fontId="26" fillId="11" borderId="34" xfId="0" applyNumberFormat="1" applyFont="1" applyFill="1" applyBorder="1" applyAlignment="1">
      <alignment horizontal="right" vertical="center"/>
    </xf>
    <xf numFmtId="0" fontId="4" fillId="0" borderId="2" xfId="0" applyFont="1" applyFill="1" applyBorder="1" applyAlignment="1">
      <alignment vertical="center" wrapText="1"/>
    </xf>
    <xf numFmtId="3" fontId="62" fillId="25" borderId="34" xfId="0" applyNumberFormat="1" applyFont="1" applyFill="1" applyBorder="1" applyAlignment="1">
      <alignment horizontal="right" vertical="center"/>
    </xf>
    <xf numFmtId="3" fontId="7" fillId="0" borderId="34" xfId="0" applyNumberFormat="1" applyFont="1" applyFill="1" applyBorder="1" applyAlignment="1">
      <alignment horizontal="right"/>
    </xf>
    <xf numFmtId="3" fontId="8" fillId="0" borderId="33" xfId="0" applyNumberFormat="1" applyFont="1" applyBorder="1" applyAlignment="1">
      <alignment horizontal="right"/>
    </xf>
    <xf numFmtId="3" fontId="8" fillId="0" borderId="34" xfId="0" applyNumberFormat="1" applyFont="1" applyFill="1" applyBorder="1" applyAlignment="1">
      <alignment horizontal="right"/>
    </xf>
    <xf numFmtId="3" fontId="8" fillId="0" borderId="34" xfId="0" applyNumberFormat="1" applyFont="1" applyBorder="1" applyAlignment="1">
      <alignment horizontal="right"/>
    </xf>
    <xf numFmtId="3" fontId="3" fillId="0" borderId="33" xfId="0" applyNumberFormat="1" applyFont="1" applyBorder="1" applyAlignment="1">
      <alignment horizontal="right"/>
    </xf>
    <xf numFmtId="3" fontId="7" fillId="0" borderId="33" xfId="0" applyNumberFormat="1" applyFont="1" applyBorder="1" applyAlignment="1">
      <alignment horizontal="right"/>
    </xf>
    <xf numFmtId="3" fontId="62" fillId="25" borderId="33" xfId="0" applyNumberFormat="1" applyFont="1" applyFill="1" applyBorder="1" applyAlignment="1">
      <alignment horizontal="right" vertical="center"/>
    </xf>
    <xf numFmtId="3" fontId="7" fillId="8" borderId="34" xfId="0" applyNumberFormat="1" applyFont="1" applyFill="1" applyBorder="1" applyAlignment="1">
      <alignment horizontal="right"/>
    </xf>
    <xf numFmtId="3" fontId="7" fillId="11" borderId="34" xfId="0" applyNumberFormat="1" applyFont="1" applyFill="1" applyBorder="1" applyAlignment="1">
      <alignment horizontal="right"/>
    </xf>
    <xf numFmtId="3" fontId="6" fillId="2" borderId="40" xfId="0" applyNumberFormat="1" applyFont="1" applyFill="1" applyBorder="1" applyAlignment="1">
      <alignment horizontal="right"/>
    </xf>
    <xf numFmtId="3" fontId="8" fillId="8" borderId="37" xfId="0" applyNumberFormat="1" applyFont="1" applyFill="1" applyBorder="1" applyAlignment="1">
      <alignment horizontal="right"/>
    </xf>
    <xf numFmtId="3" fontId="8" fillId="2" borderId="29" xfId="0" applyNumberFormat="1" applyFont="1" applyFill="1" applyBorder="1" applyAlignment="1">
      <alignment horizontal="right"/>
    </xf>
    <xf numFmtId="3" fontId="8" fillId="2" borderId="59" xfId="0" applyNumberFormat="1" applyFont="1" applyFill="1" applyBorder="1" applyAlignment="1">
      <alignment horizontal="right"/>
    </xf>
    <xf numFmtId="3" fontId="25" fillId="2" borderId="34" xfId="0" applyNumberFormat="1" applyFont="1" applyFill="1" applyBorder="1"/>
    <xf numFmtId="3" fontId="7" fillId="2" borderId="34" xfId="0" applyNumberFormat="1" applyFont="1" applyFill="1" applyBorder="1"/>
    <xf numFmtId="3" fontId="8" fillId="2" borderId="34" xfId="0" applyNumberFormat="1" applyFont="1" applyFill="1" applyBorder="1"/>
    <xf numFmtId="3" fontId="25" fillId="0" borderId="34" xfId="0" applyNumberFormat="1" applyFont="1" applyFill="1" applyBorder="1"/>
    <xf numFmtId="3" fontId="86" fillId="25" borderId="60" xfId="0" applyNumberFormat="1" applyFont="1" applyFill="1" applyBorder="1"/>
    <xf numFmtId="3" fontId="86" fillId="25" borderId="33" xfId="0" applyNumberFormat="1" applyFont="1" applyFill="1" applyBorder="1"/>
    <xf numFmtId="3" fontId="86" fillId="25" borderId="40" xfId="0" applyNumberFormat="1" applyFont="1" applyFill="1" applyBorder="1"/>
    <xf numFmtId="0" fontId="63" fillId="23" borderId="28" xfId="0" applyFont="1" applyFill="1" applyBorder="1" applyAlignment="1"/>
    <xf numFmtId="0" fontId="67" fillId="23" borderId="6" xfId="0" applyFont="1" applyFill="1" applyBorder="1" applyAlignment="1"/>
    <xf numFmtId="0" fontId="16" fillId="11" borderId="26" xfId="0" applyFont="1" applyFill="1" applyBorder="1" applyAlignment="1"/>
    <xf numFmtId="0" fontId="11" fillId="11" borderId="5" xfId="0" applyFont="1" applyFill="1" applyBorder="1" applyAlignment="1"/>
    <xf numFmtId="0" fontId="42" fillId="7" borderId="61" xfId="0" applyFont="1" applyFill="1" applyBorder="1" applyAlignment="1">
      <alignment horizontal="left" vertical="center"/>
    </xf>
    <xf numFmtId="0" fontId="3" fillId="11" borderId="57" xfId="0" applyFont="1" applyFill="1" applyBorder="1" applyAlignment="1">
      <alignment horizontal="center"/>
    </xf>
    <xf numFmtId="3" fontId="9" fillId="11" borderId="34" xfId="0" applyNumberFormat="1" applyFont="1" applyFill="1" applyBorder="1"/>
    <xf numFmtId="3" fontId="6" fillId="11" borderId="29" xfId="0" applyNumberFormat="1" applyFont="1" applyFill="1" applyBorder="1"/>
    <xf numFmtId="0" fontId="3" fillId="0" borderId="32" xfId="0" applyFont="1" applyFill="1" applyBorder="1" applyAlignment="1">
      <alignment horizontal="center"/>
    </xf>
    <xf numFmtId="3" fontId="22" fillId="8" borderId="37" xfId="0" applyNumberFormat="1" applyFont="1" applyFill="1" applyBorder="1" applyAlignment="1">
      <alignment horizontal="right"/>
    </xf>
    <xf numFmtId="0" fontId="3" fillId="0" borderId="25" xfId="0" applyFont="1" applyFill="1" applyBorder="1" applyAlignment="1">
      <alignment horizontal="center"/>
    </xf>
    <xf numFmtId="49" fontId="5" fillId="2" borderId="25" xfId="0" applyNumberFormat="1" applyFont="1" applyFill="1" applyBorder="1" applyAlignment="1">
      <alignment horizontal="center"/>
    </xf>
    <xf numFmtId="49" fontId="3" fillId="0" borderId="25" xfId="0" applyNumberFormat="1" applyFont="1" applyBorder="1" applyAlignment="1">
      <alignment horizontal="center"/>
    </xf>
    <xf numFmtId="49" fontId="13" fillId="2" borderId="25" xfId="0" applyNumberFormat="1" applyFont="1" applyFill="1" applyBorder="1" applyAlignment="1">
      <alignment horizontal="center"/>
    </xf>
    <xf numFmtId="0" fontId="4" fillId="0" borderId="25" xfId="0" applyFont="1" applyBorder="1"/>
    <xf numFmtId="0" fontId="3" fillId="2" borderId="25" xfId="0" applyFont="1" applyFill="1" applyBorder="1"/>
    <xf numFmtId="3" fontId="8" fillId="2" borderId="25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3" fillId="0" borderId="8" xfId="0" applyFont="1" applyFill="1" applyBorder="1" applyAlignment="1">
      <alignment horizontal="center"/>
    </xf>
    <xf numFmtId="49" fontId="5" fillId="2" borderId="8" xfId="0" applyNumberFormat="1" applyFont="1" applyFill="1" applyBorder="1" applyAlignment="1">
      <alignment horizontal="center"/>
    </xf>
    <xf numFmtId="49" fontId="3" fillId="0" borderId="8" xfId="0" applyNumberFormat="1" applyFont="1" applyBorder="1" applyAlignment="1">
      <alignment horizontal="center"/>
    </xf>
    <xf numFmtId="49" fontId="13" fillId="2" borderId="8" xfId="0" applyNumberFormat="1" applyFont="1" applyFill="1" applyBorder="1" applyAlignment="1">
      <alignment horizontal="center"/>
    </xf>
    <xf numFmtId="0" fontId="4" fillId="0" borderId="8" xfId="0" applyFont="1" applyBorder="1"/>
    <xf numFmtId="3" fontId="8" fillId="2" borderId="8" xfId="0" applyNumberFormat="1" applyFont="1" applyFill="1" applyBorder="1" applyAlignment="1">
      <alignment horizontal="right"/>
    </xf>
    <xf numFmtId="0" fontId="80" fillId="3" borderId="5" xfId="0" applyFont="1" applyFill="1" applyBorder="1" applyAlignment="1"/>
    <xf numFmtId="0" fontId="4" fillId="11" borderId="1" xfId="0" applyFont="1" applyFill="1" applyBorder="1"/>
    <xf numFmtId="0" fontId="9" fillId="26" borderId="1" xfId="0" applyFont="1" applyFill="1" applyBorder="1" applyAlignment="1"/>
    <xf numFmtId="0" fontId="21" fillId="0" borderId="4" xfId="0" applyFont="1" applyFill="1" applyBorder="1" applyAlignment="1">
      <alignment vertical="center" wrapText="1"/>
    </xf>
    <xf numFmtId="0" fontId="21" fillId="11" borderId="2" xfId="0" applyFont="1" applyFill="1" applyBorder="1" applyAlignment="1">
      <alignment wrapText="1"/>
    </xf>
    <xf numFmtId="3" fontId="61" fillId="23" borderId="60" xfId="0" applyNumberFormat="1" applyFont="1" applyFill="1" applyBorder="1" applyAlignment="1">
      <alignment horizontal="right"/>
    </xf>
    <xf numFmtId="3" fontId="25" fillId="21" borderId="34" xfId="0" applyNumberFormat="1" applyFont="1" applyFill="1" applyBorder="1" applyAlignment="1">
      <alignment horizontal="right"/>
    </xf>
    <xf numFmtId="3" fontId="61" fillId="23" borderId="34" xfId="0" applyNumberFormat="1" applyFont="1" applyFill="1" applyBorder="1" applyAlignment="1">
      <alignment horizontal="right"/>
    </xf>
    <xf numFmtId="3" fontId="45" fillId="11" borderId="33" xfId="0" applyNumberFormat="1" applyFont="1" applyFill="1" applyBorder="1" applyAlignment="1">
      <alignment horizontal="right"/>
    </xf>
    <xf numFmtId="3" fontId="29" fillId="27" borderId="62" xfId="0" applyNumberFormat="1" applyFont="1" applyFill="1" applyBorder="1" applyAlignment="1">
      <alignment horizontal="right"/>
    </xf>
    <xf numFmtId="3" fontId="25" fillId="21" borderId="33" xfId="0" applyNumberFormat="1" applyFont="1" applyFill="1" applyBorder="1" applyAlignment="1">
      <alignment horizontal="right"/>
    </xf>
    <xf numFmtId="0" fontId="14" fillId="0" borderId="42" xfId="0" applyNumberFormat="1" applyFont="1" applyFill="1" applyBorder="1" applyAlignment="1">
      <alignment horizontal="center"/>
    </xf>
    <xf numFmtId="49" fontId="4" fillId="0" borderId="38" xfId="0" applyNumberFormat="1" applyFont="1" applyFill="1" applyBorder="1" applyAlignment="1">
      <alignment horizontal="center"/>
    </xf>
    <xf numFmtId="49" fontId="4" fillId="0" borderId="42" xfId="0" applyNumberFormat="1" applyFont="1" applyFill="1" applyBorder="1" applyAlignment="1">
      <alignment horizontal="center"/>
    </xf>
    <xf numFmtId="0" fontId="3" fillId="0" borderId="41" xfId="0" applyNumberFormat="1" applyFont="1" applyFill="1" applyBorder="1"/>
    <xf numFmtId="3" fontId="8" fillId="2" borderId="30" xfId="0" applyNumberFormat="1" applyFont="1" applyFill="1" applyBorder="1" applyAlignment="1">
      <alignment horizontal="right"/>
    </xf>
    <xf numFmtId="3" fontId="38" fillId="25" borderId="30" xfId="0" applyNumberFormat="1" applyFont="1" applyFill="1" applyBorder="1" applyAlignment="1">
      <alignment vertical="center"/>
    </xf>
    <xf numFmtId="0" fontId="57" fillId="17" borderId="24" xfId="0" applyFont="1" applyFill="1" applyBorder="1" applyAlignment="1">
      <alignment vertical="center"/>
    </xf>
    <xf numFmtId="0" fontId="1" fillId="0" borderId="63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" fillId="11" borderId="9" xfId="0" applyFont="1" applyFill="1" applyBorder="1" applyAlignment="1">
      <alignment horizontal="center"/>
    </xf>
    <xf numFmtId="49" fontId="13" fillId="11" borderId="11" xfId="0" applyNumberFormat="1" applyFont="1" applyFill="1" applyBorder="1" applyAlignment="1">
      <alignment horizontal="center"/>
    </xf>
    <xf numFmtId="3" fontId="9" fillId="11" borderId="37" xfId="0" applyNumberFormat="1" applyFont="1" applyFill="1" applyBorder="1"/>
    <xf numFmtId="0" fontId="1" fillId="0" borderId="12" xfId="0" applyFont="1" applyBorder="1" applyAlignment="1">
      <alignment horizontal="center"/>
    </xf>
    <xf numFmtId="49" fontId="40" fillId="11" borderId="1" xfId="0" applyNumberFormat="1" applyFont="1" applyFill="1" applyBorder="1" applyAlignment="1">
      <alignment horizontal="left"/>
    </xf>
    <xf numFmtId="49" fontId="4" fillId="15" borderId="1" xfId="0" applyNumberFormat="1" applyFont="1" applyFill="1" applyBorder="1" applyAlignment="1">
      <alignment horizontal="center"/>
    </xf>
    <xf numFmtId="3" fontId="40" fillId="11" borderId="5" xfId="0" applyNumberFormat="1" applyFont="1" applyFill="1" applyBorder="1" applyAlignment="1">
      <alignment horizontal="right"/>
    </xf>
    <xf numFmtId="0" fontId="9" fillId="26" borderId="26" xfId="0" applyFont="1" applyFill="1" applyBorder="1" applyAlignment="1"/>
    <xf numFmtId="0" fontId="13" fillId="26" borderId="26" xfId="0" applyFont="1" applyFill="1" applyBorder="1" applyAlignment="1">
      <alignment horizontal="center"/>
    </xf>
    <xf numFmtId="0" fontId="13" fillId="26" borderId="26" xfId="0" applyFont="1" applyFill="1" applyBorder="1" applyAlignment="1"/>
    <xf numFmtId="0" fontId="6" fillId="26" borderId="4" xfId="0" applyFont="1" applyFill="1" applyBorder="1" applyAlignment="1"/>
    <xf numFmtId="3" fontId="44" fillId="0" borderId="5" xfId="0" applyNumberFormat="1" applyFont="1" applyFill="1" applyBorder="1" applyAlignment="1">
      <alignment horizontal="right"/>
    </xf>
    <xf numFmtId="0" fontId="36" fillId="0" borderId="63" xfId="0" applyFont="1" applyBorder="1" applyAlignment="1">
      <alignment horizontal="center"/>
    </xf>
    <xf numFmtId="49" fontId="4" fillId="11" borderId="11" xfId="0" applyNumberFormat="1" applyFont="1" applyFill="1" applyBorder="1" applyAlignment="1">
      <alignment horizontal="left" vertical="center" wrapText="1"/>
    </xf>
    <xf numFmtId="0" fontId="21" fillId="11" borderId="9" xfId="0" applyFont="1" applyFill="1" applyBorder="1" applyAlignment="1">
      <alignment horizontal="left" vertical="center" wrapText="1"/>
    </xf>
    <xf numFmtId="49" fontId="4" fillId="11" borderId="1" xfId="0" applyNumberFormat="1" applyFont="1" applyFill="1" applyBorder="1" applyAlignment="1">
      <alignment horizontal="left" vertical="center" wrapText="1"/>
    </xf>
    <xf numFmtId="0" fontId="79" fillId="0" borderId="4" xfId="0" applyFont="1" applyFill="1" applyBorder="1" applyAlignment="1">
      <alignment horizontal="left" vertical="center" wrapText="1"/>
    </xf>
    <xf numFmtId="3" fontId="4" fillId="11" borderId="5" xfId="0" applyNumberFormat="1" applyFont="1" applyFill="1" applyBorder="1" applyAlignment="1">
      <alignment vertical="center"/>
    </xf>
    <xf numFmtId="3" fontId="21" fillId="11" borderId="1" xfId="0" applyNumberFormat="1" applyFont="1" applyFill="1" applyBorder="1" applyAlignment="1">
      <alignment vertical="center"/>
    </xf>
    <xf numFmtId="0" fontId="10" fillId="3" borderId="26" xfId="0" applyFont="1" applyFill="1" applyBorder="1" applyAlignment="1"/>
    <xf numFmtId="3" fontId="21" fillId="0" borderId="1" xfId="0" applyNumberFormat="1" applyFont="1" applyFill="1" applyBorder="1" applyAlignment="1">
      <alignment vertical="center"/>
    </xf>
    <xf numFmtId="0" fontId="36" fillId="0" borderId="12" xfId="0" applyFont="1" applyBorder="1" applyAlignment="1">
      <alignment horizontal="center"/>
    </xf>
    <xf numFmtId="0" fontId="14" fillId="0" borderId="9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49" fontId="4" fillId="0" borderId="9" xfId="0" applyNumberFormat="1" applyFont="1" applyFill="1" applyBorder="1" applyAlignment="1">
      <alignment horizontal="center"/>
    </xf>
    <xf numFmtId="0" fontId="3" fillId="0" borderId="0" xfId="0" applyNumberFormat="1" applyFont="1" applyFill="1" applyBorder="1"/>
    <xf numFmtId="0" fontId="3" fillId="2" borderId="47" xfId="0" applyNumberFormat="1" applyFont="1" applyFill="1" applyBorder="1"/>
    <xf numFmtId="3" fontId="8" fillId="2" borderId="37" xfId="0" applyNumberFormat="1" applyFont="1" applyFill="1" applyBorder="1" applyAlignment="1">
      <alignment horizontal="right"/>
    </xf>
    <xf numFmtId="0" fontId="21" fillId="28" borderId="1" xfId="0" applyFont="1" applyFill="1" applyBorder="1"/>
    <xf numFmtId="3" fontId="21" fillId="28" borderId="1" xfId="0" applyNumberFormat="1" applyFont="1" applyFill="1" applyBorder="1" applyAlignment="1">
      <alignment horizontal="right"/>
    </xf>
    <xf numFmtId="3" fontId="4" fillId="11" borderId="1" xfId="0" applyNumberFormat="1" applyFont="1" applyFill="1" applyBorder="1" applyAlignment="1">
      <alignment horizontal="right"/>
    </xf>
    <xf numFmtId="3" fontId="4" fillId="11" borderId="26" xfId="0" applyNumberFormat="1" applyFont="1" applyFill="1" applyBorder="1" applyAlignment="1">
      <alignment horizontal="right"/>
    </xf>
    <xf numFmtId="0" fontId="3" fillId="11" borderId="49" xfId="0" applyFont="1" applyFill="1" applyBorder="1" applyAlignment="1">
      <alignment horizontal="center"/>
    </xf>
    <xf numFmtId="0" fontId="21" fillId="11" borderId="49" xfId="0" applyFont="1" applyFill="1" applyBorder="1"/>
    <xf numFmtId="49" fontId="4" fillId="11" borderId="26" xfId="0" applyNumberFormat="1" applyFont="1" applyFill="1" applyBorder="1" applyAlignment="1">
      <alignment horizontal="center"/>
    </xf>
    <xf numFmtId="0" fontId="36" fillId="0" borderId="13" xfId="0" applyFont="1" applyBorder="1" applyAlignment="1">
      <alignment horizontal="center"/>
    </xf>
    <xf numFmtId="3" fontId="4" fillId="11" borderId="49" xfId="0" applyNumberFormat="1" applyFont="1" applyFill="1" applyBorder="1" applyAlignment="1">
      <alignment horizontal="right"/>
    </xf>
    <xf numFmtId="49" fontId="13" fillId="11" borderId="2" xfId="0" applyNumberFormat="1" applyFont="1" applyFill="1" applyBorder="1" applyAlignment="1">
      <alignment horizontal="center"/>
    </xf>
    <xf numFmtId="49" fontId="13" fillId="11" borderId="49" xfId="0" applyNumberFormat="1" applyFont="1" applyFill="1" applyBorder="1" applyAlignment="1">
      <alignment horizontal="center"/>
    </xf>
    <xf numFmtId="49" fontId="4" fillId="11" borderId="49" xfId="0" applyNumberFormat="1" applyFont="1" applyFill="1" applyBorder="1" applyAlignment="1">
      <alignment horizontal="center"/>
    </xf>
    <xf numFmtId="0" fontId="3" fillId="11" borderId="28" xfId="0" applyFont="1" applyFill="1" applyBorder="1" applyAlignment="1">
      <alignment horizontal="center" vertical="center"/>
    </xf>
    <xf numFmtId="0" fontId="2" fillId="11" borderId="26" xfId="0" applyFont="1" applyFill="1" applyBorder="1" applyAlignment="1">
      <alignment horizontal="center"/>
    </xf>
    <xf numFmtId="0" fontId="4" fillId="11" borderId="26" xfId="0" applyFont="1" applyFill="1" applyBorder="1" applyAlignment="1">
      <alignment horizontal="center"/>
    </xf>
    <xf numFmtId="0" fontId="3" fillId="0" borderId="49" xfId="0" applyFont="1" applyFill="1" applyBorder="1" applyAlignment="1">
      <alignment horizontal="center"/>
    </xf>
    <xf numFmtId="3" fontId="21" fillId="11" borderId="29" xfId="0" applyNumberFormat="1" applyFont="1" applyFill="1" applyBorder="1" applyAlignment="1">
      <alignment horizontal="right" vertical="center"/>
    </xf>
    <xf numFmtId="0" fontId="3" fillId="11" borderId="49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4" fillId="11" borderId="42" xfId="0" applyNumberFormat="1" applyFont="1" applyFill="1" applyBorder="1" applyAlignment="1">
      <alignment horizontal="center"/>
    </xf>
    <xf numFmtId="0" fontId="4" fillId="11" borderId="74" xfId="0" applyFont="1" applyFill="1" applyBorder="1" applyAlignment="1">
      <alignment horizontal="center"/>
    </xf>
    <xf numFmtId="0" fontId="4" fillId="11" borderId="38" xfId="0" applyFont="1" applyFill="1" applyBorder="1" applyAlignment="1">
      <alignment horizontal="center"/>
    </xf>
    <xf numFmtId="3" fontId="4" fillId="11" borderId="41" xfId="0" applyNumberFormat="1" applyFont="1" applyFill="1" applyBorder="1" applyAlignment="1">
      <alignment horizontal="right"/>
    </xf>
    <xf numFmtId="0" fontId="3" fillId="2" borderId="0" xfId="0" applyFont="1" applyFill="1" applyBorder="1"/>
    <xf numFmtId="3" fontId="6" fillId="11" borderId="34" xfId="0" applyNumberFormat="1" applyFont="1" applyFill="1" applyBorder="1" applyAlignment="1">
      <alignment horizontal="right"/>
    </xf>
    <xf numFmtId="0" fontId="1" fillId="0" borderId="10" xfId="0" applyFont="1" applyBorder="1" applyAlignment="1">
      <alignment horizontal="center" vertical="center"/>
    </xf>
    <xf numFmtId="0" fontId="36" fillId="0" borderId="2" xfId="0" applyFont="1" applyBorder="1" applyAlignment="1">
      <alignment horizontal="center"/>
    </xf>
    <xf numFmtId="0" fontId="3" fillId="28" borderId="49" xfId="0" applyFont="1" applyFill="1" applyBorder="1" applyAlignment="1">
      <alignment horizontal="center"/>
    </xf>
    <xf numFmtId="0" fontId="21" fillId="28" borderId="49" xfId="0" applyFont="1" applyFill="1" applyBorder="1"/>
    <xf numFmtId="3" fontId="4" fillId="28" borderId="1" xfId="0" applyNumberFormat="1" applyFont="1" applyFill="1" applyBorder="1" applyAlignment="1">
      <alignment horizontal="right"/>
    </xf>
    <xf numFmtId="3" fontId="4" fillId="28" borderId="26" xfId="0" applyNumberFormat="1" applyFont="1" applyFill="1" applyBorder="1" applyAlignment="1">
      <alignment horizontal="right"/>
    </xf>
    <xf numFmtId="3" fontId="21" fillId="28" borderId="33" xfId="0" applyNumberFormat="1" applyFont="1" applyFill="1" applyBorder="1"/>
    <xf numFmtId="0" fontId="3" fillId="28" borderId="1" xfId="0" applyFont="1" applyFill="1" applyBorder="1" applyAlignment="1">
      <alignment horizontal="center"/>
    </xf>
    <xf numFmtId="3" fontId="21" fillId="28" borderId="11" xfId="0" applyNumberFormat="1" applyFont="1" applyFill="1" applyBorder="1" applyAlignment="1">
      <alignment horizontal="right"/>
    </xf>
    <xf numFmtId="3" fontId="4" fillId="28" borderId="11" xfId="0" applyNumberFormat="1" applyFont="1" applyFill="1" applyBorder="1" applyAlignment="1">
      <alignment horizontal="right"/>
    </xf>
    <xf numFmtId="3" fontId="4" fillId="28" borderId="75" xfId="0" applyNumberFormat="1" applyFont="1" applyFill="1" applyBorder="1" applyAlignment="1">
      <alignment horizontal="right"/>
    </xf>
    <xf numFmtId="3" fontId="21" fillId="28" borderId="37" xfId="0" applyNumberFormat="1" applyFont="1" applyFill="1" applyBorder="1"/>
    <xf numFmtId="3" fontId="21" fillId="28" borderId="49" xfId="0" applyNumberFormat="1" applyFont="1" applyFill="1" applyBorder="1" applyAlignment="1">
      <alignment horizontal="right"/>
    </xf>
    <xf numFmtId="3" fontId="4" fillId="28" borderId="49" xfId="0" applyNumberFormat="1" applyFont="1" applyFill="1" applyBorder="1" applyAlignment="1">
      <alignment horizontal="right"/>
    </xf>
    <xf numFmtId="3" fontId="4" fillId="28" borderId="70" xfId="0" applyNumberFormat="1" applyFont="1" applyFill="1" applyBorder="1" applyAlignment="1">
      <alignment horizontal="right"/>
    </xf>
    <xf numFmtId="3" fontId="21" fillId="28" borderId="29" xfId="0" applyNumberFormat="1" applyFont="1" applyFill="1" applyBorder="1"/>
    <xf numFmtId="0" fontId="3" fillId="14" borderId="1" xfId="0" applyFont="1" applyFill="1" applyBorder="1" applyAlignment="1">
      <alignment horizontal="center"/>
    </xf>
    <xf numFmtId="0" fontId="21" fillId="14" borderId="1" xfId="0" applyFont="1" applyFill="1" applyBorder="1"/>
    <xf numFmtId="3" fontId="4" fillId="14" borderId="49" xfId="0" applyNumberFormat="1" applyFont="1" applyFill="1" applyBorder="1" applyAlignment="1">
      <alignment horizontal="right"/>
    </xf>
    <xf numFmtId="3" fontId="4" fillId="14" borderId="70" xfId="0" applyNumberFormat="1" applyFont="1" applyFill="1" applyBorder="1" applyAlignment="1">
      <alignment horizontal="right"/>
    </xf>
    <xf numFmtId="3" fontId="21" fillId="14" borderId="29" xfId="0" applyNumberFormat="1" applyFont="1" applyFill="1" applyBorder="1"/>
    <xf numFmtId="0" fontId="3" fillId="29" borderId="1" xfId="0" applyFont="1" applyFill="1" applyBorder="1" applyAlignment="1">
      <alignment horizontal="center"/>
    </xf>
    <xf numFmtId="0" fontId="21" fillId="29" borderId="1" xfId="0" applyFont="1" applyFill="1" applyBorder="1"/>
    <xf numFmtId="3" fontId="21" fillId="29" borderId="49" xfId="0" applyNumberFormat="1" applyFont="1" applyFill="1" applyBorder="1" applyAlignment="1">
      <alignment horizontal="right"/>
    </xf>
    <xf numFmtId="3" fontId="4" fillId="29" borderId="49" xfId="0" applyNumberFormat="1" applyFont="1" applyFill="1" applyBorder="1" applyAlignment="1">
      <alignment horizontal="right"/>
    </xf>
    <xf numFmtId="3" fontId="4" fillId="29" borderId="70" xfId="0" applyNumberFormat="1" applyFont="1" applyFill="1" applyBorder="1" applyAlignment="1">
      <alignment horizontal="right"/>
    </xf>
    <xf numFmtId="3" fontId="21" fillId="29" borderId="29" xfId="0" applyNumberFormat="1" applyFont="1" applyFill="1" applyBorder="1"/>
    <xf numFmtId="0" fontId="3" fillId="29" borderId="1" xfId="0" applyFont="1" applyFill="1" applyBorder="1" applyAlignment="1">
      <alignment horizontal="center" vertical="center"/>
    </xf>
    <xf numFmtId="0" fontId="4" fillId="29" borderId="1" xfId="0" applyFont="1" applyFill="1" applyBorder="1" applyAlignment="1">
      <alignment vertical="center" wrapText="1"/>
    </xf>
    <xf numFmtId="3" fontId="21" fillId="29" borderId="49" xfId="0" applyNumberFormat="1" applyFont="1" applyFill="1" applyBorder="1" applyAlignment="1">
      <alignment horizontal="right" vertical="center"/>
    </xf>
    <xf numFmtId="3" fontId="4" fillId="29" borderId="49" xfId="0" applyNumberFormat="1" applyFont="1" applyFill="1" applyBorder="1" applyAlignment="1">
      <alignment horizontal="right" vertical="center"/>
    </xf>
    <xf numFmtId="3" fontId="4" fillId="29" borderId="70" xfId="0" applyNumberFormat="1" applyFont="1" applyFill="1" applyBorder="1" applyAlignment="1">
      <alignment horizontal="right" vertical="center"/>
    </xf>
    <xf numFmtId="3" fontId="21" fillId="29" borderId="29" xfId="0" applyNumberFormat="1" applyFont="1" applyFill="1" applyBorder="1" applyAlignment="1">
      <alignment vertical="center"/>
    </xf>
    <xf numFmtId="0" fontId="3" fillId="29" borderId="49" xfId="0" applyFont="1" applyFill="1" applyBorder="1" applyAlignment="1">
      <alignment horizontal="center"/>
    </xf>
    <xf numFmtId="0" fontId="4" fillId="29" borderId="49" xfId="0" applyFont="1" applyFill="1" applyBorder="1" applyAlignment="1">
      <alignment wrapText="1"/>
    </xf>
    <xf numFmtId="0" fontId="21" fillId="31" borderId="2" xfId="0" applyFont="1" applyFill="1" applyBorder="1"/>
    <xf numFmtId="3" fontId="21" fillId="31" borderId="1" xfId="0" applyNumberFormat="1" applyFont="1" applyFill="1" applyBorder="1" applyAlignment="1">
      <alignment horizontal="right"/>
    </xf>
    <xf numFmtId="3" fontId="4" fillId="31" borderId="0" xfId="0" applyNumberFormat="1" applyFont="1" applyFill="1" applyBorder="1" applyAlignment="1">
      <alignment horizontal="right"/>
    </xf>
    <xf numFmtId="3" fontId="21" fillId="31" borderId="3" xfId="0" applyNumberFormat="1" applyFont="1" applyFill="1" applyBorder="1" applyAlignment="1">
      <alignment horizontal="right"/>
    </xf>
    <xf numFmtId="3" fontId="21" fillId="31" borderId="34" xfId="0" applyNumberFormat="1" applyFont="1" applyFill="1" applyBorder="1"/>
    <xf numFmtId="0" fontId="21" fillId="22" borderId="2" xfId="0" applyFont="1" applyFill="1" applyBorder="1"/>
    <xf numFmtId="3" fontId="21" fillId="22" borderId="1" xfId="0" applyNumberFormat="1" applyFont="1" applyFill="1" applyBorder="1" applyAlignment="1">
      <alignment horizontal="right"/>
    </xf>
    <xf numFmtId="3" fontId="4" fillId="22" borderId="0" xfId="0" applyNumberFormat="1" applyFont="1" applyFill="1" applyBorder="1" applyAlignment="1">
      <alignment horizontal="right"/>
    </xf>
    <xf numFmtId="0" fontId="21" fillId="29" borderId="2" xfId="0" applyFont="1" applyFill="1" applyBorder="1"/>
    <xf numFmtId="3" fontId="21" fillId="29" borderId="1" xfId="0" applyNumberFormat="1" applyFont="1" applyFill="1" applyBorder="1" applyAlignment="1">
      <alignment horizontal="right"/>
    </xf>
    <xf numFmtId="3" fontId="4" fillId="29" borderId="0" xfId="0" applyNumberFormat="1" applyFont="1" applyFill="1" applyBorder="1" applyAlignment="1">
      <alignment horizontal="right"/>
    </xf>
    <xf numFmtId="3" fontId="21" fillId="29" borderId="3" xfId="0" applyNumberFormat="1" applyFont="1" applyFill="1" applyBorder="1" applyAlignment="1">
      <alignment horizontal="right"/>
    </xf>
    <xf numFmtId="3" fontId="21" fillId="29" borderId="34" xfId="0" applyNumberFormat="1" applyFont="1" applyFill="1" applyBorder="1"/>
    <xf numFmtId="0" fontId="3" fillId="31" borderId="1" xfId="0" applyFont="1" applyFill="1" applyBorder="1" applyAlignment="1">
      <alignment horizontal="center"/>
    </xf>
    <xf numFmtId="0" fontId="21" fillId="14" borderId="4" xfId="0" applyFont="1" applyFill="1" applyBorder="1"/>
    <xf numFmtId="3" fontId="4" fillId="14" borderId="0" xfId="0" applyNumberFormat="1" applyFont="1" applyFill="1" applyBorder="1" applyAlignment="1">
      <alignment horizontal="right"/>
    </xf>
    <xf numFmtId="3" fontId="21" fillId="14" borderId="33" xfId="0" applyNumberFormat="1" applyFont="1" applyFill="1" applyBorder="1"/>
    <xf numFmtId="49" fontId="4" fillId="30" borderId="3" xfId="0" applyNumberFormat="1" applyFont="1" applyFill="1" applyBorder="1" applyAlignment="1">
      <alignment horizontal="center"/>
    </xf>
    <xf numFmtId="0" fontId="21" fillId="30" borderId="2" xfId="0" applyFont="1" applyFill="1" applyBorder="1"/>
    <xf numFmtId="3" fontId="21" fillId="30" borderId="1" xfId="0" applyNumberFormat="1" applyFont="1" applyFill="1" applyBorder="1" applyAlignment="1">
      <alignment horizontal="right"/>
    </xf>
    <xf numFmtId="3" fontId="13" fillId="30" borderId="0" xfId="0" applyNumberFormat="1" applyFont="1" applyFill="1" applyBorder="1" applyAlignment="1">
      <alignment horizontal="right"/>
    </xf>
    <xf numFmtId="3" fontId="26" fillId="30" borderId="29" xfId="0" applyNumberFormat="1" applyFont="1" applyFill="1" applyBorder="1"/>
    <xf numFmtId="3" fontId="13" fillId="22" borderId="0" xfId="0" applyNumberFormat="1" applyFont="1" applyFill="1" applyBorder="1" applyAlignment="1">
      <alignment horizontal="right"/>
    </xf>
    <xf numFmtId="3" fontId="26" fillId="22" borderId="29" xfId="0" applyNumberFormat="1" applyFont="1" applyFill="1" applyBorder="1"/>
    <xf numFmtId="49" fontId="4" fillId="29" borderId="3" xfId="0" applyNumberFormat="1" applyFont="1" applyFill="1" applyBorder="1" applyAlignment="1">
      <alignment horizontal="center"/>
    </xf>
    <xf numFmtId="3" fontId="13" fillId="29" borderId="0" xfId="0" applyNumberFormat="1" applyFont="1" applyFill="1" applyBorder="1" applyAlignment="1">
      <alignment horizontal="right"/>
    </xf>
    <xf numFmtId="3" fontId="26" fillId="29" borderId="29" xfId="0" applyNumberFormat="1" applyFont="1" applyFill="1" applyBorder="1"/>
    <xf numFmtId="49" fontId="13" fillId="22" borderId="26" xfId="0" applyNumberFormat="1" applyFont="1" applyFill="1" applyBorder="1" applyAlignment="1">
      <alignment horizontal="center"/>
    </xf>
    <xf numFmtId="0" fontId="6" fillId="22" borderId="2" xfId="0" applyFont="1" applyFill="1" applyBorder="1"/>
    <xf numFmtId="3" fontId="6" fillId="22" borderId="1" xfId="0" applyNumberFormat="1" applyFont="1" applyFill="1" applyBorder="1" applyAlignment="1">
      <alignment horizontal="right"/>
    </xf>
    <xf numFmtId="3" fontId="9" fillId="22" borderId="29" xfId="0" applyNumberFormat="1" applyFont="1" applyFill="1" applyBorder="1"/>
    <xf numFmtId="3" fontId="21" fillId="22" borderId="38" xfId="0" applyNumberFormat="1" applyFont="1" applyFill="1" applyBorder="1" applyAlignment="1">
      <alignment horizontal="right"/>
    </xf>
    <xf numFmtId="3" fontId="4" fillId="22" borderId="0" xfId="0" applyNumberFormat="1" applyFont="1" applyFill="1" applyBorder="1" applyAlignment="1">
      <alignment horizontal="right" vertical="center"/>
    </xf>
    <xf numFmtId="3" fontId="26" fillId="22" borderId="29" xfId="0" applyNumberFormat="1" applyFont="1" applyFill="1" applyBorder="1" applyAlignment="1">
      <alignment vertical="center"/>
    </xf>
    <xf numFmtId="0" fontId="3" fillId="31" borderId="1" xfId="0" applyFont="1" applyFill="1" applyBorder="1" applyAlignment="1">
      <alignment horizontal="center" vertical="center"/>
    </xf>
    <xf numFmtId="0" fontId="79" fillId="31" borderId="2" xfId="0" applyFont="1" applyFill="1" applyBorder="1" applyAlignment="1">
      <alignment vertical="center" wrapText="1"/>
    </xf>
    <xf numFmtId="3" fontId="21" fillId="31" borderId="1" xfId="0" applyNumberFormat="1" applyFont="1" applyFill="1" applyBorder="1" applyAlignment="1">
      <alignment horizontal="right" vertical="center"/>
    </xf>
    <xf numFmtId="3" fontId="4" fillId="31" borderId="0" xfId="0" applyNumberFormat="1" applyFont="1" applyFill="1" applyBorder="1" applyAlignment="1">
      <alignment horizontal="right" vertical="center"/>
    </xf>
    <xf numFmtId="3" fontId="21" fillId="31" borderId="49" xfId="0" applyNumberFormat="1" applyFont="1" applyFill="1" applyBorder="1" applyAlignment="1">
      <alignment horizontal="right" vertical="center"/>
    </xf>
    <xf numFmtId="3" fontId="21" fillId="31" borderId="33" xfId="0" applyNumberFormat="1" applyFont="1" applyFill="1" applyBorder="1" applyAlignment="1">
      <alignment vertical="center"/>
    </xf>
    <xf numFmtId="0" fontId="3" fillId="14" borderId="3" xfId="0" applyFont="1" applyFill="1" applyBorder="1" applyAlignment="1">
      <alignment horizontal="center"/>
    </xf>
    <xf numFmtId="0" fontId="21" fillId="14" borderId="6" xfId="0" applyFont="1" applyFill="1" applyBorder="1"/>
    <xf numFmtId="3" fontId="21" fillId="14" borderId="1" xfId="0" applyNumberFormat="1" applyFont="1" applyFill="1" applyBorder="1" applyAlignment="1">
      <alignment horizontal="right"/>
    </xf>
    <xf numFmtId="3" fontId="21" fillId="14" borderId="3" xfId="0" applyNumberFormat="1" applyFont="1" applyFill="1" applyBorder="1" applyAlignment="1">
      <alignment horizontal="right"/>
    </xf>
    <xf numFmtId="3" fontId="21" fillId="14" borderId="34" xfId="0" applyNumberFormat="1" applyFont="1" applyFill="1" applyBorder="1"/>
    <xf numFmtId="0" fontId="36" fillId="0" borderId="10" xfId="0" applyFont="1" applyBorder="1" applyAlignment="1">
      <alignment horizontal="center" vertical="center"/>
    </xf>
    <xf numFmtId="0" fontId="28" fillId="11" borderId="0" xfId="0" applyFont="1" applyFill="1" applyBorder="1"/>
    <xf numFmtId="0" fontId="11" fillId="11" borderId="0" xfId="0" applyFont="1" applyFill="1"/>
    <xf numFmtId="0" fontId="21" fillId="31" borderId="1" xfId="0" applyFont="1" applyFill="1" applyBorder="1"/>
    <xf numFmtId="3" fontId="4" fillId="31" borderId="1" xfId="0" applyNumberFormat="1" applyFont="1" applyFill="1" applyBorder="1" applyAlignment="1">
      <alignment horizontal="right"/>
    </xf>
    <xf numFmtId="3" fontId="4" fillId="11" borderId="38" xfId="0" applyNumberFormat="1" applyFont="1" applyFill="1" applyBorder="1" applyAlignment="1">
      <alignment horizontal="right"/>
    </xf>
    <xf numFmtId="3" fontId="4" fillId="31" borderId="26" xfId="0" applyNumberFormat="1" applyFont="1" applyFill="1" applyBorder="1" applyAlignment="1">
      <alignment horizontal="right"/>
    </xf>
    <xf numFmtId="3" fontId="4" fillId="11" borderId="74" xfId="0" applyNumberFormat="1" applyFont="1" applyFill="1" applyBorder="1" applyAlignment="1">
      <alignment horizontal="right"/>
    </xf>
    <xf numFmtId="3" fontId="21" fillId="31" borderId="33" xfId="0" applyNumberFormat="1" applyFont="1" applyFill="1" applyBorder="1"/>
    <xf numFmtId="0" fontId="6" fillId="11" borderId="9" xfId="0" applyFont="1" applyFill="1" applyBorder="1"/>
    <xf numFmtId="0" fontId="3" fillId="22" borderId="38" xfId="0" applyFont="1" applyFill="1" applyBorder="1" applyAlignment="1">
      <alignment horizontal="center"/>
    </xf>
    <xf numFmtId="0" fontId="4" fillId="22" borderId="38" xfId="0" applyFont="1" applyFill="1" applyBorder="1"/>
    <xf numFmtId="3" fontId="4" fillId="22" borderId="38" xfId="0" applyNumberFormat="1" applyFont="1" applyFill="1" applyBorder="1" applyAlignment="1">
      <alignment horizontal="right"/>
    </xf>
    <xf numFmtId="3" fontId="21" fillId="22" borderId="72" xfId="0" applyNumberFormat="1" applyFont="1" applyFill="1" applyBorder="1"/>
    <xf numFmtId="0" fontId="3" fillId="22" borderId="1" xfId="0" applyFont="1" applyFill="1" applyBorder="1" applyAlignment="1">
      <alignment horizontal="center"/>
    </xf>
    <xf numFmtId="0" fontId="4" fillId="22" borderId="1" xfId="0" applyFont="1" applyFill="1" applyBorder="1"/>
    <xf numFmtId="3" fontId="4" fillId="22" borderId="1" xfId="0" applyNumberFormat="1" applyFont="1" applyFill="1" applyBorder="1" applyAlignment="1">
      <alignment horizontal="right"/>
    </xf>
    <xf numFmtId="3" fontId="21" fillId="22" borderId="73" xfId="0" applyNumberFormat="1" applyFont="1" applyFill="1" applyBorder="1"/>
    <xf numFmtId="0" fontId="4" fillId="11" borderId="2" xfId="0" applyFont="1" applyFill="1" applyBorder="1"/>
    <xf numFmtId="0" fontId="3" fillId="0" borderId="26" xfId="0" applyFont="1" applyBorder="1"/>
    <xf numFmtId="3" fontId="55" fillId="13" borderId="3" xfId="0" applyNumberFormat="1" applyFont="1" applyFill="1" applyBorder="1" applyAlignment="1"/>
    <xf numFmtId="3" fontId="55" fillId="13" borderId="38" xfId="0" applyNumberFormat="1" applyFont="1" applyFill="1" applyBorder="1" applyAlignment="1"/>
    <xf numFmtId="3" fontId="55" fillId="13" borderId="1" xfId="0" applyNumberFormat="1" applyFont="1" applyFill="1" applyBorder="1" applyAlignment="1"/>
    <xf numFmtId="3" fontId="21" fillId="11" borderId="34" xfId="0" applyNumberFormat="1" applyFont="1" applyFill="1" applyBorder="1" applyAlignment="1">
      <alignment vertical="center"/>
    </xf>
    <xf numFmtId="49" fontId="5" fillId="3" borderId="4" xfId="0" applyNumberFormat="1" applyFont="1" applyFill="1" applyBorder="1" applyAlignment="1">
      <alignment horizontal="center" vertical="center"/>
    </xf>
    <xf numFmtId="49" fontId="5" fillId="3" borderId="1" xfId="0" applyNumberFormat="1" applyFont="1" applyFill="1" applyBorder="1" applyAlignment="1">
      <alignment horizontal="center" vertical="center"/>
    </xf>
    <xf numFmtId="49" fontId="3" fillId="3" borderId="4" xfId="0" applyNumberFormat="1" applyFont="1" applyFill="1" applyBorder="1" applyAlignment="1">
      <alignment horizontal="center" vertical="center"/>
    </xf>
    <xf numFmtId="0" fontId="3" fillId="3" borderId="5" xfId="0" applyFont="1" applyFill="1" applyBorder="1" applyAlignment="1">
      <alignment vertical="center"/>
    </xf>
    <xf numFmtId="3" fontId="21" fillId="0" borderId="34" xfId="0" applyNumberFormat="1" applyFont="1" applyFill="1" applyBorder="1"/>
    <xf numFmtId="0" fontId="16" fillId="3" borderId="5" xfId="0" applyFont="1" applyFill="1" applyBorder="1" applyAlignment="1">
      <alignment vertical="center"/>
    </xf>
    <xf numFmtId="0" fontId="13" fillId="11" borderId="38" xfId="0" applyFont="1" applyFill="1" applyBorder="1" applyAlignment="1">
      <alignment horizontal="center"/>
    </xf>
    <xf numFmtId="0" fontId="6" fillId="11" borderId="42" xfId="0" applyFont="1" applyFill="1" applyBorder="1"/>
    <xf numFmtId="3" fontId="6" fillId="11" borderId="38" xfId="0" applyNumberFormat="1" applyFont="1" applyFill="1" applyBorder="1" applyAlignment="1">
      <alignment horizontal="right"/>
    </xf>
    <xf numFmtId="3" fontId="9" fillId="11" borderId="30" xfId="0" applyNumberFormat="1" applyFont="1" applyFill="1" applyBorder="1"/>
    <xf numFmtId="49" fontId="87" fillId="11" borderId="0" xfId="0" applyNumberFormat="1" applyFont="1" applyFill="1" applyBorder="1" applyAlignment="1">
      <alignment horizontal="left" vertical="center" wrapText="1"/>
    </xf>
    <xf numFmtId="0" fontId="0" fillId="11" borderId="0" xfId="0" applyFill="1" applyAlignment="1">
      <alignment horizontal="center" wrapText="1"/>
    </xf>
    <xf numFmtId="0" fontId="77" fillId="11" borderId="0" xfId="0" applyFont="1" applyFill="1" applyAlignment="1">
      <alignment horizontal="center" wrapText="1"/>
    </xf>
    <xf numFmtId="3" fontId="21" fillId="2" borderId="34" xfId="0" applyNumberFormat="1" applyFont="1" applyFill="1" applyBorder="1" applyAlignment="1">
      <alignment horizontal="right"/>
    </xf>
    <xf numFmtId="3" fontId="6" fillId="0" borderId="34" xfId="0" applyNumberFormat="1" applyFont="1" applyBorder="1" applyAlignment="1">
      <alignment horizontal="right"/>
    </xf>
    <xf numFmtId="3" fontId="21" fillId="0" borderId="34" xfId="0" applyNumberFormat="1" applyFont="1" applyBorder="1" applyAlignment="1">
      <alignment horizontal="right"/>
    </xf>
    <xf numFmtId="3" fontId="21" fillId="0" borderId="34" xfId="0" applyNumberFormat="1" applyFont="1" applyFill="1" applyBorder="1" applyAlignment="1">
      <alignment horizontal="right"/>
    </xf>
    <xf numFmtId="3" fontId="6" fillId="0" borderId="34" xfId="0" applyNumberFormat="1" applyFont="1" applyFill="1" applyBorder="1" applyAlignment="1">
      <alignment horizontal="right"/>
    </xf>
    <xf numFmtId="3" fontId="22" fillId="8" borderId="30" xfId="0" applyNumberFormat="1" applyFont="1" applyFill="1" applyBorder="1" applyAlignment="1">
      <alignment horizontal="right"/>
    </xf>
    <xf numFmtId="3" fontId="21" fillId="11" borderId="26" xfId="0" applyNumberFormat="1" applyFont="1" applyFill="1" applyBorder="1" applyAlignment="1">
      <alignment horizontal="right"/>
    </xf>
    <xf numFmtId="3" fontId="21" fillId="11" borderId="70" xfId="0" applyNumberFormat="1" applyFont="1" applyFill="1" applyBorder="1" applyAlignment="1">
      <alignment horizontal="right"/>
    </xf>
    <xf numFmtId="3" fontId="21" fillId="28" borderId="26" xfId="0" applyNumberFormat="1" applyFont="1" applyFill="1" applyBorder="1" applyAlignment="1">
      <alignment horizontal="right"/>
    </xf>
    <xf numFmtId="3" fontId="21" fillId="28" borderId="75" xfId="0" applyNumberFormat="1" applyFont="1" applyFill="1" applyBorder="1" applyAlignment="1">
      <alignment horizontal="right"/>
    </xf>
    <xf numFmtId="3" fontId="21" fillId="28" borderId="70" xfId="0" applyNumberFormat="1" applyFont="1" applyFill="1" applyBorder="1" applyAlignment="1">
      <alignment horizontal="right"/>
    </xf>
    <xf numFmtId="3" fontId="21" fillId="14" borderId="70" xfId="0" applyNumberFormat="1" applyFont="1" applyFill="1" applyBorder="1" applyAlignment="1">
      <alignment horizontal="right"/>
    </xf>
    <xf numFmtId="3" fontId="21" fillId="29" borderId="70" xfId="0" applyNumberFormat="1" applyFont="1" applyFill="1" applyBorder="1" applyAlignment="1">
      <alignment horizontal="right"/>
    </xf>
    <xf numFmtId="3" fontId="21" fillId="29" borderId="70" xfId="0" applyNumberFormat="1" applyFont="1" applyFill="1" applyBorder="1" applyAlignment="1">
      <alignment horizontal="right" vertical="center"/>
    </xf>
    <xf numFmtId="3" fontId="21" fillId="31" borderId="26" xfId="0" applyNumberFormat="1" applyFont="1" applyFill="1" applyBorder="1" applyAlignment="1">
      <alignment horizontal="right"/>
    </xf>
    <xf numFmtId="3" fontId="21" fillId="11" borderId="74" xfId="0" applyNumberFormat="1" applyFont="1" applyFill="1" applyBorder="1" applyAlignment="1">
      <alignment horizontal="right"/>
    </xf>
    <xf numFmtId="0" fontId="35" fillId="0" borderId="0" xfId="0" applyFont="1" applyFill="1" applyBorder="1" applyAlignment="1">
      <alignment horizontal="left"/>
    </xf>
    <xf numFmtId="3" fontId="32" fillId="13" borderId="19" xfId="0" applyNumberFormat="1" applyFont="1" applyFill="1" applyBorder="1" applyAlignment="1"/>
    <xf numFmtId="3" fontId="21" fillId="31" borderId="49" xfId="0" applyNumberFormat="1" applyFont="1" applyFill="1" applyBorder="1" applyAlignment="1">
      <alignment horizontal="right"/>
    </xf>
    <xf numFmtId="3" fontId="21" fillId="11" borderId="25" xfId="0" applyNumberFormat="1" applyFont="1" applyFill="1" applyBorder="1" applyAlignment="1">
      <alignment horizontal="right"/>
    </xf>
    <xf numFmtId="49" fontId="74" fillId="22" borderId="51" xfId="0" applyNumberFormat="1" applyFont="1" applyFill="1" applyBorder="1" applyAlignment="1">
      <alignment horizontal="center" vertical="center" wrapText="1"/>
    </xf>
    <xf numFmtId="3" fontId="69" fillId="22" borderId="34" xfId="0" applyNumberFormat="1" applyFont="1" applyFill="1" applyBorder="1" applyAlignment="1">
      <alignment horizontal="right"/>
    </xf>
    <xf numFmtId="49" fontId="74" fillId="14" borderId="51" xfId="0" applyNumberFormat="1" applyFont="1" applyFill="1" applyBorder="1" applyAlignment="1">
      <alignment horizontal="center" vertical="center" wrapText="1"/>
    </xf>
    <xf numFmtId="3" fontId="69" fillId="14" borderId="34" xfId="0" applyNumberFormat="1" applyFont="1" applyFill="1" applyBorder="1" applyAlignment="1">
      <alignment horizontal="right"/>
    </xf>
    <xf numFmtId="3" fontId="69" fillId="14" borderId="33" xfId="0" applyNumberFormat="1" applyFont="1" applyFill="1" applyBorder="1" applyAlignment="1">
      <alignment horizontal="right"/>
    </xf>
    <xf numFmtId="3" fontId="44" fillId="14" borderId="33" xfId="0" applyNumberFormat="1" applyFont="1" applyFill="1" applyBorder="1" applyAlignment="1">
      <alignment horizontal="right"/>
    </xf>
    <xf numFmtId="3" fontId="33" fillId="14" borderId="37" xfId="0" applyNumberFormat="1" applyFont="1" applyFill="1" applyBorder="1" applyAlignment="1">
      <alignment horizontal="right"/>
    </xf>
    <xf numFmtId="3" fontId="33" fillId="14" borderId="34" xfId="0" applyNumberFormat="1" applyFont="1" applyFill="1" applyBorder="1" applyAlignment="1">
      <alignment horizontal="right"/>
    </xf>
    <xf numFmtId="4" fontId="2" fillId="14" borderId="30" xfId="0" applyNumberFormat="1" applyFont="1" applyFill="1" applyBorder="1" applyAlignment="1">
      <alignment horizontal="right"/>
    </xf>
    <xf numFmtId="4" fontId="2" fillId="14" borderId="40" xfId="0" applyNumberFormat="1" applyFont="1" applyFill="1" applyBorder="1" applyAlignment="1">
      <alignment horizontal="right"/>
    </xf>
    <xf numFmtId="3" fontId="40" fillId="22" borderId="33" xfId="0" applyNumberFormat="1" applyFont="1" applyFill="1" applyBorder="1" applyAlignment="1">
      <alignment horizontal="right"/>
    </xf>
    <xf numFmtId="3" fontId="33" fillId="22" borderId="40" xfId="0" applyNumberFormat="1" applyFont="1" applyFill="1" applyBorder="1" applyAlignment="1">
      <alignment horizontal="right" vertical="center"/>
    </xf>
    <xf numFmtId="0" fontId="88" fillId="24" borderId="68" xfId="0" applyFont="1" applyFill="1" applyBorder="1" applyAlignment="1">
      <alignment horizontal="center"/>
    </xf>
    <xf numFmtId="3" fontId="21" fillId="11" borderId="37" xfId="0" applyNumberFormat="1" applyFont="1" applyFill="1" applyBorder="1" applyAlignment="1">
      <alignment horizontal="right"/>
    </xf>
    <xf numFmtId="49" fontId="56" fillId="6" borderId="43" xfId="0" applyNumberFormat="1" applyFont="1" applyFill="1" applyBorder="1" applyAlignment="1">
      <alignment horizontal="center"/>
    </xf>
    <xf numFmtId="49" fontId="56" fillId="6" borderId="76" xfId="0" applyNumberFormat="1" applyFont="1" applyFill="1" applyBorder="1" applyAlignment="1">
      <alignment horizontal="center"/>
    </xf>
    <xf numFmtId="49" fontId="54" fillId="6" borderId="76" xfId="0" applyNumberFormat="1" applyFont="1" applyFill="1" applyBorder="1" applyAlignment="1">
      <alignment horizontal="center"/>
    </xf>
    <xf numFmtId="0" fontId="57" fillId="6" borderId="35" xfId="0" applyFont="1" applyFill="1" applyBorder="1"/>
    <xf numFmtId="0" fontId="54" fillId="6" borderId="35" xfId="0" applyFont="1" applyFill="1" applyBorder="1"/>
    <xf numFmtId="3" fontId="62" fillId="25" borderId="62" xfId="0" applyNumberFormat="1" applyFont="1" applyFill="1" applyBorder="1" applyAlignment="1">
      <alignment horizontal="right"/>
    </xf>
    <xf numFmtId="0" fontId="0" fillId="0" borderId="0" xfId="0" applyFill="1" applyAlignment="1">
      <alignment vertical="center"/>
    </xf>
    <xf numFmtId="49" fontId="4" fillId="11" borderId="11" xfId="0" applyNumberFormat="1" applyFont="1" applyFill="1" applyBorder="1" applyAlignment="1">
      <alignment horizontal="center" vertical="center"/>
    </xf>
    <xf numFmtId="3" fontId="21" fillId="11" borderId="29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3" fontId="21" fillId="22" borderId="1" xfId="0" applyNumberFormat="1" applyFont="1" applyFill="1" applyBorder="1" applyAlignment="1">
      <alignment horizontal="right" vertical="center"/>
    </xf>
    <xf numFmtId="49" fontId="4" fillId="11" borderId="3" xfId="0" applyNumberFormat="1" applyFont="1" applyFill="1" applyBorder="1" applyAlignment="1">
      <alignment horizontal="center" vertical="center"/>
    </xf>
    <xf numFmtId="0" fontId="21" fillId="22" borderId="2" xfId="0" applyFont="1" applyFill="1" applyBorder="1" applyAlignment="1">
      <alignment vertical="center" wrapText="1"/>
    </xf>
    <xf numFmtId="3" fontId="4" fillId="11" borderId="47" xfId="0" applyNumberFormat="1" applyFont="1" applyFill="1" applyBorder="1" applyAlignment="1">
      <alignment horizontal="right"/>
    </xf>
    <xf numFmtId="0" fontId="21" fillId="0" borderId="9" xfId="0" applyFont="1" applyFill="1" applyBorder="1"/>
    <xf numFmtId="0" fontId="3" fillId="0" borderId="11" xfId="0" applyFont="1" applyFill="1" applyBorder="1" applyAlignment="1">
      <alignment horizontal="center"/>
    </xf>
    <xf numFmtId="3" fontId="21" fillId="0" borderId="49" xfId="0" applyNumberFormat="1" applyFont="1" applyFill="1" applyBorder="1" applyAlignment="1">
      <alignment horizontal="right"/>
    </xf>
    <xf numFmtId="0" fontId="21" fillId="0" borderId="1" xfId="0" applyFont="1" applyFill="1" applyBorder="1"/>
    <xf numFmtId="3" fontId="4" fillId="0" borderId="1" xfId="0" applyNumberFormat="1" applyFont="1" applyFill="1" applyBorder="1" applyAlignment="1">
      <alignment horizontal="right"/>
    </xf>
    <xf numFmtId="49" fontId="5" fillId="2" borderId="22" xfId="0" applyNumberFormat="1" applyFont="1" applyFill="1" applyBorder="1" applyAlignment="1">
      <alignment horizontal="center"/>
    </xf>
    <xf numFmtId="3" fontId="21" fillId="11" borderId="59" xfId="0" applyNumberFormat="1" applyFont="1" applyFill="1" applyBorder="1" applyAlignment="1">
      <alignment horizontal="right"/>
    </xf>
    <xf numFmtId="0" fontId="88" fillId="24" borderId="71" xfId="0" applyFont="1" applyFill="1" applyBorder="1" applyAlignment="1">
      <alignment horizontal="center"/>
    </xf>
    <xf numFmtId="3" fontId="44" fillId="0" borderId="33" xfId="0" applyNumberFormat="1" applyFont="1" applyFill="1" applyBorder="1" applyAlignment="1">
      <alignment horizontal="right"/>
    </xf>
    <xf numFmtId="4" fontId="40" fillId="0" borderId="33" xfId="0" applyNumberFormat="1" applyFont="1" applyFill="1" applyBorder="1" applyAlignment="1">
      <alignment horizontal="right"/>
    </xf>
    <xf numFmtId="3" fontId="40" fillId="11" borderId="49" xfId="0" applyNumberFormat="1" applyFont="1" applyFill="1" applyBorder="1" applyAlignment="1">
      <alignment horizontal="right"/>
    </xf>
    <xf numFmtId="3" fontId="40" fillId="4" borderId="49" xfId="0" applyNumberFormat="1" applyFont="1" applyFill="1" applyBorder="1" applyAlignment="1">
      <alignment horizontal="right"/>
    </xf>
    <xf numFmtId="3" fontId="40" fillId="15" borderId="49" xfId="0" applyNumberFormat="1" applyFont="1" applyFill="1" applyBorder="1" applyAlignment="1">
      <alignment horizontal="right"/>
    </xf>
    <xf numFmtId="3" fontId="44" fillId="15" borderId="1" xfId="0" applyNumberFormat="1" applyFont="1" applyFill="1" applyBorder="1" applyAlignment="1">
      <alignment horizontal="right"/>
    </xf>
    <xf numFmtId="3" fontId="44" fillId="15" borderId="49" xfId="0" applyNumberFormat="1" applyFont="1" applyFill="1" applyBorder="1" applyAlignment="1">
      <alignment horizontal="right"/>
    </xf>
    <xf numFmtId="3" fontId="21" fillId="30" borderId="49" xfId="0" applyNumberFormat="1" applyFont="1" applyFill="1" applyBorder="1" applyAlignment="1">
      <alignment horizontal="right"/>
    </xf>
    <xf numFmtId="3" fontId="6" fillId="22" borderId="49" xfId="0" applyNumberFormat="1" applyFont="1" applyFill="1" applyBorder="1" applyAlignment="1">
      <alignment horizontal="right"/>
    </xf>
    <xf numFmtId="3" fontId="9" fillId="15" borderId="49" xfId="0" applyNumberFormat="1" applyFont="1" applyFill="1" applyBorder="1" applyAlignment="1">
      <alignment horizontal="right"/>
    </xf>
    <xf numFmtId="3" fontId="32" fillId="24" borderId="3" xfId="0" applyNumberFormat="1" applyFont="1" applyFill="1" applyBorder="1" applyAlignment="1"/>
    <xf numFmtId="3" fontId="44" fillId="26" borderId="1" xfId="0" applyNumberFormat="1" applyFont="1" applyFill="1" applyBorder="1" applyAlignment="1">
      <alignment horizontal="right"/>
    </xf>
    <xf numFmtId="3" fontId="40" fillId="4" borderId="11" xfId="0" applyNumberFormat="1" applyFont="1" applyFill="1" applyBorder="1" applyAlignment="1">
      <alignment horizontal="right"/>
    </xf>
    <xf numFmtId="3" fontId="21" fillId="15" borderId="49" xfId="0" applyNumberFormat="1" applyFont="1" applyFill="1" applyBorder="1" applyAlignment="1">
      <alignment horizontal="right"/>
    </xf>
    <xf numFmtId="3" fontId="40" fillId="26" borderId="1" xfId="0" applyNumberFormat="1" applyFont="1" applyFill="1" applyBorder="1" applyAlignment="1">
      <alignment horizontal="right"/>
    </xf>
    <xf numFmtId="3" fontId="44" fillId="15" borderId="3" xfId="0" applyNumberFormat="1" applyFont="1" applyFill="1" applyBorder="1" applyAlignment="1">
      <alignment horizontal="right"/>
    </xf>
    <xf numFmtId="3" fontId="40" fillId="15" borderId="3" xfId="0" applyNumberFormat="1" applyFont="1" applyFill="1" applyBorder="1" applyAlignment="1">
      <alignment horizontal="right"/>
    </xf>
    <xf numFmtId="3" fontId="21" fillId="16" borderId="1" xfId="0" applyNumberFormat="1" applyFont="1" applyFill="1" applyBorder="1" applyAlignment="1">
      <alignment horizontal="right"/>
    </xf>
    <xf numFmtId="3" fontId="21" fillId="16" borderId="3" xfId="0" applyNumberFormat="1" applyFont="1" applyFill="1" applyBorder="1" applyAlignment="1">
      <alignment horizontal="right"/>
    </xf>
    <xf numFmtId="3" fontId="40" fillId="0" borderId="49" xfId="0" applyNumberFormat="1" applyFont="1" applyFill="1" applyBorder="1" applyAlignment="1">
      <alignment horizontal="right"/>
    </xf>
    <xf numFmtId="3" fontId="9" fillId="11" borderId="11" xfId="0" applyNumberFormat="1" applyFont="1" applyFill="1" applyBorder="1" applyAlignment="1">
      <alignment horizontal="right"/>
    </xf>
    <xf numFmtId="3" fontId="89" fillId="11" borderId="49" xfId="0" applyNumberFormat="1" applyFont="1" applyFill="1" applyBorder="1" applyAlignment="1">
      <alignment horizontal="right"/>
    </xf>
    <xf numFmtId="3" fontId="89" fillId="11" borderId="1" xfId="0" applyNumberFormat="1" applyFont="1" applyFill="1" applyBorder="1" applyAlignment="1">
      <alignment horizontal="right"/>
    </xf>
    <xf numFmtId="3" fontId="26" fillId="11" borderId="11" xfId="0" applyNumberFormat="1" applyFont="1" applyFill="1" applyBorder="1" applyAlignment="1">
      <alignment horizontal="right"/>
    </xf>
    <xf numFmtId="3" fontId="21" fillId="22" borderId="49" xfId="0" applyNumberFormat="1" applyFont="1" applyFill="1" applyBorder="1" applyAlignment="1">
      <alignment horizontal="right" vertical="center"/>
    </xf>
    <xf numFmtId="3" fontId="60" fillId="13" borderId="3" xfId="0" applyNumberFormat="1" applyFont="1" applyFill="1" applyBorder="1" applyAlignment="1"/>
    <xf numFmtId="3" fontId="6" fillId="18" borderId="49" xfId="0" applyNumberFormat="1" applyFont="1" applyFill="1" applyBorder="1" applyAlignment="1">
      <alignment horizontal="right"/>
    </xf>
    <xf numFmtId="3" fontId="53" fillId="13" borderId="1" xfId="0" applyNumberFormat="1" applyFont="1" applyFill="1" applyBorder="1" applyAlignment="1"/>
    <xf numFmtId="3" fontId="21" fillId="18" borderId="1" xfId="0" applyNumberFormat="1" applyFont="1" applyFill="1" applyBorder="1" applyAlignment="1">
      <alignment horizontal="right"/>
    </xf>
    <xf numFmtId="3" fontId="21" fillId="12" borderId="49" xfId="0" applyNumberFormat="1" applyFont="1" applyFill="1" applyBorder="1" applyAlignment="1">
      <alignment horizontal="right"/>
    </xf>
    <xf numFmtId="3" fontId="9" fillId="12" borderId="49" xfId="0" applyNumberFormat="1" applyFont="1" applyFill="1" applyBorder="1" applyAlignment="1">
      <alignment horizontal="right"/>
    </xf>
    <xf numFmtId="3" fontId="6" fillId="0" borderId="47" xfId="0" applyNumberFormat="1" applyFont="1" applyFill="1" applyBorder="1" applyAlignment="1"/>
    <xf numFmtId="0" fontId="0" fillId="2" borderId="5" xfId="0" applyFill="1" applyBorder="1"/>
    <xf numFmtId="0" fontId="11" fillId="0" borderId="0" xfId="0" applyFont="1" applyFill="1"/>
    <xf numFmtId="0" fontId="2" fillId="11" borderId="38" xfId="0" applyFont="1" applyFill="1" applyBorder="1" applyAlignment="1">
      <alignment horizontal="center"/>
    </xf>
    <xf numFmtId="0" fontId="6" fillId="11" borderId="38" xfId="0" applyFont="1" applyFill="1" applyBorder="1"/>
    <xf numFmtId="0" fontId="11" fillId="2" borderId="41" xfId="0" applyFont="1" applyFill="1" applyBorder="1"/>
    <xf numFmtId="49" fontId="4" fillId="2" borderId="9" xfId="0" applyNumberFormat="1" applyFont="1" applyFill="1" applyBorder="1" applyAlignment="1">
      <alignment horizontal="center"/>
    </xf>
    <xf numFmtId="49" fontId="13" fillId="2" borderId="11" xfId="0" applyNumberFormat="1" applyFont="1" applyFill="1" applyBorder="1" applyAlignment="1">
      <alignment horizontal="center"/>
    </xf>
    <xf numFmtId="0" fontId="7" fillId="2" borderId="0" xfId="0" applyFont="1" applyFill="1" applyBorder="1"/>
    <xf numFmtId="3" fontId="6" fillId="2" borderId="37" xfId="0" applyNumberFormat="1" applyFont="1" applyFill="1" applyBorder="1" applyAlignment="1">
      <alignment horizontal="right"/>
    </xf>
    <xf numFmtId="3" fontId="7" fillId="2" borderId="29" xfId="0" applyNumberFormat="1" applyFont="1" applyFill="1" applyBorder="1" applyAlignment="1">
      <alignment horizontal="right"/>
    </xf>
    <xf numFmtId="3" fontId="7" fillId="2" borderId="40" xfId="0" applyNumberFormat="1" applyFont="1" applyFill="1" applyBorder="1" applyAlignment="1">
      <alignment horizontal="right"/>
    </xf>
    <xf numFmtId="3" fontId="6" fillId="2" borderId="33" xfId="0" applyNumberFormat="1" applyFont="1" applyFill="1" applyBorder="1" applyAlignment="1">
      <alignment horizontal="right"/>
    </xf>
    <xf numFmtId="0" fontId="32" fillId="25" borderId="64" xfId="0" applyFont="1" applyFill="1" applyBorder="1" applyAlignment="1">
      <alignment horizontal="center" vertical="center" wrapText="1"/>
    </xf>
    <xf numFmtId="0" fontId="32" fillId="25" borderId="37" xfId="0" applyFont="1" applyFill="1" applyBorder="1" applyAlignment="1">
      <alignment horizontal="center" vertical="center" wrapText="1"/>
    </xf>
    <xf numFmtId="0" fontId="32" fillId="25" borderId="48" xfId="0" applyFont="1" applyFill="1" applyBorder="1" applyAlignment="1">
      <alignment horizontal="center" vertical="center" wrapText="1"/>
    </xf>
    <xf numFmtId="49" fontId="65" fillId="5" borderId="65" xfId="0" applyNumberFormat="1" applyFont="1" applyFill="1" applyBorder="1" applyAlignment="1">
      <alignment horizontal="left" vertical="center"/>
    </xf>
    <xf numFmtId="49" fontId="66" fillId="5" borderId="25" xfId="0" applyNumberFormat="1" applyFont="1" applyFill="1" applyBorder="1" applyAlignment="1">
      <alignment vertical="center"/>
    </xf>
    <xf numFmtId="49" fontId="66" fillId="5" borderId="66" xfId="0" applyNumberFormat="1" applyFont="1" applyFill="1" applyBorder="1" applyAlignment="1">
      <alignment vertical="center"/>
    </xf>
    <xf numFmtId="49" fontId="66" fillId="5" borderId="6" xfId="0" applyNumberFormat="1" applyFont="1" applyFill="1" applyBorder="1" applyAlignment="1">
      <alignment vertical="center"/>
    </xf>
    <xf numFmtId="49" fontId="48" fillId="5" borderId="49" xfId="0" applyNumberFormat="1" applyFont="1" applyFill="1" applyBorder="1" applyAlignment="1">
      <alignment horizontal="center" vertical="center" wrapText="1"/>
    </xf>
    <xf numFmtId="49" fontId="48" fillId="5" borderId="16" xfId="0" applyNumberFormat="1" applyFont="1" applyFill="1" applyBorder="1" applyAlignment="1">
      <alignment horizontal="center" vertical="center" wrapText="1"/>
    </xf>
    <xf numFmtId="49" fontId="65" fillId="5" borderId="25" xfId="0" applyNumberFormat="1" applyFont="1" applyFill="1" applyBorder="1" applyAlignment="1">
      <alignment horizontal="left" vertical="center"/>
    </xf>
    <xf numFmtId="49" fontId="65" fillId="5" borderId="66" xfId="0" applyNumberFormat="1" applyFont="1" applyFill="1" applyBorder="1" applyAlignment="1">
      <alignment horizontal="left" vertical="center"/>
    </xf>
    <xf numFmtId="49" fontId="65" fillId="5" borderId="6" xfId="0" applyNumberFormat="1" applyFont="1" applyFill="1" applyBorder="1" applyAlignment="1">
      <alignment horizontal="left" vertical="center"/>
    </xf>
    <xf numFmtId="49" fontId="48" fillId="5" borderId="11" xfId="0" applyNumberFormat="1" applyFont="1" applyFill="1" applyBorder="1" applyAlignment="1">
      <alignment horizontal="center" vertical="center" wrapText="1"/>
    </xf>
    <xf numFmtId="49" fontId="82" fillId="11" borderId="8" xfId="0" applyNumberFormat="1" applyFont="1" applyFill="1" applyBorder="1" applyAlignment="1">
      <alignment horizontal="center" vertical="center" wrapText="1"/>
    </xf>
    <xf numFmtId="49" fontId="32" fillId="19" borderId="64" xfId="0" applyNumberFormat="1" applyFont="1" applyFill="1" applyBorder="1" applyAlignment="1">
      <alignment horizontal="center" vertical="center" wrapText="1"/>
    </xf>
    <xf numFmtId="0" fontId="73" fillId="19" borderId="37" xfId="0" applyFont="1" applyFill="1" applyBorder="1" applyAlignment="1">
      <alignment horizontal="center" wrapText="1"/>
    </xf>
    <xf numFmtId="0" fontId="73" fillId="19" borderId="48" xfId="0" applyFont="1" applyFill="1" applyBorder="1" applyAlignment="1">
      <alignment horizontal="center" wrapText="1"/>
    </xf>
    <xf numFmtId="0" fontId="3" fillId="10" borderId="56" xfId="0" applyFont="1" applyFill="1" applyBorder="1" applyAlignment="1">
      <alignment horizontal="center" vertical="center" textRotation="180" wrapText="1"/>
    </xf>
    <xf numFmtId="0" fontId="3" fillId="10" borderId="16" xfId="0" applyFont="1" applyFill="1" applyBorder="1" applyAlignment="1">
      <alignment horizontal="center" vertical="center" textRotation="180" wrapText="1"/>
    </xf>
    <xf numFmtId="0" fontId="53" fillId="20" borderId="56" xfId="0" applyFont="1" applyFill="1" applyBorder="1" applyAlignment="1">
      <alignment horizontal="center" vertical="center" wrapText="1"/>
    </xf>
    <xf numFmtId="0" fontId="53" fillId="20" borderId="16" xfId="0" applyFont="1" applyFill="1" applyBorder="1" applyAlignment="1">
      <alignment horizontal="center" vertical="center" wrapText="1"/>
    </xf>
    <xf numFmtId="0" fontId="53" fillId="13" borderId="56" xfId="0" applyFont="1" applyFill="1" applyBorder="1" applyAlignment="1">
      <alignment horizontal="center" vertical="center" wrapText="1"/>
    </xf>
    <xf numFmtId="0" fontId="53" fillId="13" borderId="16" xfId="0" applyFont="1" applyFill="1" applyBorder="1" applyAlignment="1">
      <alignment horizontal="center" vertical="center" wrapText="1"/>
    </xf>
    <xf numFmtId="0" fontId="53" fillId="20" borderId="11" xfId="0" applyFont="1" applyFill="1" applyBorder="1" applyAlignment="1">
      <alignment horizontal="center" vertical="center" wrapText="1"/>
    </xf>
    <xf numFmtId="49" fontId="72" fillId="9" borderId="67" xfId="0" applyNumberFormat="1" applyFont="1" applyFill="1" applyBorder="1" applyAlignment="1">
      <alignment horizontal="center"/>
    </xf>
    <xf numFmtId="49" fontId="72" fillId="9" borderId="68" xfId="0" applyNumberFormat="1" applyFont="1" applyFill="1" applyBorder="1" applyAlignment="1">
      <alignment horizontal="center"/>
    </xf>
    <xf numFmtId="49" fontId="72" fillId="9" borderId="69" xfId="0" applyNumberFormat="1" applyFont="1" applyFill="1" applyBorder="1" applyAlignment="1">
      <alignment horizontal="center"/>
    </xf>
    <xf numFmtId="0" fontId="35" fillId="0" borderId="8" xfId="0" applyFont="1" applyFill="1" applyBorder="1" applyAlignment="1">
      <alignment horizontal="left"/>
    </xf>
    <xf numFmtId="0" fontId="40" fillId="14" borderId="1" xfId="0" applyFont="1" applyFill="1" applyBorder="1" applyAlignment="1">
      <alignment horizontal="left"/>
    </xf>
    <xf numFmtId="0" fontId="10" fillId="3" borderId="26" xfId="0" applyFont="1" applyFill="1" applyBorder="1" applyAlignment="1">
      <alignment horizontal="left"/>
    </xf>
    <xf numFmtId="0" fontId="10" fillId="3" borderId="5" xfId="0" applyFont="1" applyFill="1" applyBorder="1" applyAlignment="1">
      <alignment horizontal="left"/>
    </xf>
    <xf numFmtId="0" fontId="10" fillId="3" borderId="4" xfId="0" applyFont="1" applyFill="1" applyBorder="1" applyAlignment="1">
      <alignment horizontal="left"/>
    </xf>
    <xf numFmtId="49" fontId="87" fillId="11" borderId="0" xfId="0" applyNumberFormat="1" applyFont="1" applyFill="1" applyBorder="1" applyAlignment="1">
      <alignment horizontal="left" vertical="center" wrapText="1"/>
    </xf>
    <xf numFmtId="3" fontId="33" fillId="22" borderId="29" xfId="0" applyNumberFormat="1" applyFont="1" applyFill="1" applyBorder="1" applyAlignment="1">
      <alignment horizontal="right" vertical="center"/>
    </xf>
    <xf numFmtId="3" fontId="33" fillId="22" borderId="34" xfId="0" applyNumberFormat="1" applyFont="1" applyFill="1" applyBorder="1" applyAlignment="1">
      <alignment horizontal="right" vertical="center"/>
    </xf>
    <xf numFmtId="4" fontId="33" fillId="22" borderId="29" xfId="0" applyNumberFormat="1" applyFont="1" applyFill="1" applyBorder="1" applyAlignment="1">
      <alignment horizontal="center" vertical="center"/>
    </xf>
    <xf numFmtId="4" fontId="33" fillId="22" borderId="34" xfId="0" applyNumberFormat="1" applyFont="1" applyFill="1" applyBorder="1" applyAlignment="1">
      <alignment horizontal="center" vertical="center"/>
    </xf>
    <xf numFmtId="3" fontId="33" fillId="14" borderId="29" xfId="0" applyNumberFormat="1" applyFont="1" applyFill="1" applyBorder="1" applyAlignment="1">
      <alignment horizontal="center"/>
    </xf>
    <xf numFmtId="3" fontId="33" fillId="14" borderId="34" xfId="0" applyNumberFormat="1" applyFont="1" applyFill="1" applyBorder="1" applyAlignment="1">
      <alignment horizontal="center"/>
    </xf>
    <xf numFmtId="3" fontId="33" fillId="14" borderId="29" xfId="0" applyNumberFormat="1" applyFont="1" applyFill="1" applyBorder="1" applyAlignment="1">
      <alignment horizontal="right" vertical="center"/>
    </xf>
    <xf numFmtId="0" fontId="41" fillId="14" borderId="34" xfId="0" applyFont="1" applyFill="1" applyBorder="1" applyAlignment="1">
      <alignment horizontal="right" vertical="center"/>
    </xf>
    <xf numFmtId="0" fontId="0" fillId="11" borderId="0" xfId="0" applyFill="1" applyAlignment="1">
      <alignment horizontal="center" wrapText="1"/>
    </xf>
    <xf numFmtId="0" fontId="12" fillId="22" borderId="70" xfId="0" applyFont="1" applyFill="1" applyBorder="1" applyAlignment="1">
      <alignment vertical="center"/>
    </xf>
    <xf numFmtId="0" fontId="41" fillId="22" borderId="28" xfId="0" applyFont="1" applyFill="1" applyBorder="1" applyAlignment="1">
      <alignment vertical="center"/>
    </xf>
    <xf numFmtId="0" fontId="0" fillId="27" borderId="67" xfId="0" applyFill="1" applyBorder="1" applyAlignment="1">
      <alignment horizontal="center" vertical="center"/>
    </xf>
    <xf numFmtId="0" fontId="0" fillId="27" borderId="71" xfId="0" applyFill="1" applyBorder="1" applyAlignment="1">
      <alignment horizontal="center" vertical="center"/>
    </xf>
    <xf numFmtId="0" fontId="77" fillId="11" borderId="0" xfId="0" applyFont="1" applyFill="1" applyAlignment="1">
      <alignment horizontal="center" wrapText="1"/>
    </xf>
    <xf numFmtId="0" fontId="12" fillId="22" borderId="70" xfId="0" applyFont="1" applyFill="1" applyBorder="1" applyAlignment="1">
      <alignment horizontal="left" vertical="center"/>
    </xf>
    <xf numFmtId="0" fontId="41" fillId="22" borderId="28" xfId="0" applyFont="1" applyFill="1" applyBorder="1" applyAlignment="1">
      <alignment horizontal="left" vertical="center"/>
    </xf>
    <xf numFmtId="3" fontId="33" fillId="12" borderId="29" xfId="0" applyNumberFormat="1" applyFont="1" applyFill="1" applyBorder="1" applyAlignment="1">
      <alignment horizontal="right" vertical="center"/>
    </xf>
    <xf numFmtId="0" fontId="41" fillId="12" borderId="34" xfId="0" applyFont="1" applyFill="1" applyBorder="1" applyAlignment="1">
      <alignment horizontal="right" vertical="center"/>
    </xf>
    <xf numFmtId="0" fontId="88" fillId="24" borderId="67" xfId="0" applyFont="1" applyFill="1" applyBorder="1" applyAlignment="1">
      <alignment horizontal="center"/>
    </xf>
    <xf numFmtId="0" fontId="88" fillId="24" borderId="68" xfId="0" applyFont="1" applyFill="1" applyBorder="1" applyAlignment="1">
      <alignment horizontal="center"/>
    </xf>
    <xf numFmtId="4" fontId="25" fillId="12" borderId="29" xfId="0" applyNumberFormat="1" applyFont="1" applyFill="1" applyBorder="1" applyAlignment="1">
      <alignment horizontal="center"/>
    </xf>
    <xf numFmtId="4" fontId="25" fillId="12" borderId="34" xfId="0" applyNumberFormat="1" applyFont="1" applyFill="1" applyBorder="1" applyAlignment="1">
      <alignment horizontal="center"/>
    </xf>
    <xf numFmtId="0" fontId="8" fillId="11" borderId="0" xfId="0" applyFont="1" applyFill="1" applyBorder="1" applyAlignment="1">
      <alignment horizontal="center" vertical="center" wrapText="1"/>
    </xf>
    <xf numFmtId="0" fontId="89" fillId="11" borderId="0" xfId="0" applyFont="1" applyFill="1" applyBorder="1" applyAlignment="1">
      <alignment horizontal="center" vertical="center" wrapText="1"/>
    </xf>
  </cellXfs>
  <cellStyles count="6">
    <cellStyle name="Excel Built-in Normal" xfId="1"/>
    <cellStyle name="Normálne" xfId="0" builtinId="0"/>
    <cellStyle name="normálne 2" xfId="2"/>
    <cellStyle name="normálne 2 2" xfId="3"/>
    <cellStyle name="normálne 4" xfId="4"/>
    <cellStyle name="normálne 9" xfId="5"/>
  </cellStyles>
  <dxfs count="0"/>
  <tableStyles count="0" defaultTableStyle="TableStyleMedium9" defaultPivotStyle="PivotStyleLight16"/>
  <colors>
    <mruColors>
      <color rgb="FF99FFCC"/>
      <color rgb="FF99FF66"/>
      <color rgb="FFFF99CC"/>
      <color rgb="FFFF99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">
    <tabColor rgb="FFFFFF00"/>
  </sheetPr>
  <dimension ref="A2:J290"/>
  <sheetViews>
    <sheetView tabSelected="1" zoomScaleNormal="100" zoomScaleSheetLayoutView="100" workbookViewId="0"/>
  </sheetViews>
  <sheetFormatPr defaultRowHeight="12.75" x14ac:dyDescent="0.2"/>
  <cols>
    <col min="1" max="1" width="1.42578125" style="17" customWidth="1"/>
    <col min="2" max="2" width="3.28515625" style="15" customWidth="1"/>
    <col min="3" max="3" width="3.5703125" style="16" customWidth="1"/>
    <col min="4" max="4" width="4" style="16" customWidth="1"/>
    <col min="5" max="5" width="4.140625" style="16" customWidth="1"/>
    <col min="6" max="6" width="4.5703125" style="15" customWidth="1"/>
    <col min="7" max="7" width="48.85546875" style="15" customWidth="1"/>
    <col min="8" max="8" width="12.85546875" customWidth="1"/>
    <col min="9" max="9" width="13.7109375" customWidth="1"/>
    <col min="10" max="10" width="13.5703125" customWidth="1"/>
    <col min="12" max="12" width="3.85546875" customWidth="1"/>
  </cols>
  <sheetData>
    <row r="2" spans="1:10" ht="105.75" customHeight="1" thickBot="1" x14ac:dyDescent="0.25">
      <c r="B2" s="902" t="s">
        <v>859</v>
      </c>
      <c r="C2" s="902"/>
      <c r="D2" s="902"/>
      <c r="E2" s="902"/>
      <c r="F2" s="902"/>
      <c r="G2" s="902"/>
      <c r="H2" s="902"/>
      <c r="I2" s="902"/>
      <c r="J2" s="902"/>
    </row>
    <row r="3" spans="1:10" ht="15.75" customHeight="1" x14ac:dyDescent="0.2">
      <c r="B3" s="892" t="s">
        <v>9</v>
      </c>
      <c r="C3" s="893"/>
      <c r="D3" s="893"/>
      <c r="E3" s="893"/>
      <c r="F3" s="893"/>
      <c r="G3" s="893"/>
      <c r="H3" s="889" t="s">
        <v>721</v>
      </c>
      <c r="I3" s="889" t="s">
        <v>860</v>
      </c>
      <c r="J3" s="889" t="s">
        <v>721</v>
      </c>
    </row>
    <row r="4" spans="1:10" ht="10.5" customHeight="1" x14ac:dyDescent="0.2">
      <c r="B4" s="894"/>
      <c r="C4" s="895"/>
      <c r="D4" s="895"/>
      <c r="E4" s="895"/>
      <c r="F4" s="895"/>
      <c r="G4" s="895"/>
      <c r="H4" s="890"/>
      <c r="I4" s="890"/>
      <c r="J4" s="890"/>
    </row>
    <row r="5" spans="1:10" ht="15.75" customHeight="1" x14ac:dyDescent="0.2">
      <c r="A5" s="237"/>
      <c r="B5" s="79"/>
      <c r="C5" s="896" t="s">
        <v>10</v>
      </c>
      <c r="D5" s="80" t="s">
        <v>11</v>
      </c>
      <c r="E5" s="80" t="s">
        <v>12</v>
      </c>
      <c r="F5" s="81"/>
      <c r="G5" s="81"/>
      <c r="H5" s="890"/>
      <c r="I5" s="890"/>
      <c r="J5" s="890"/>
    </row>
    <row r="6" spans="1:10" ht="36" customHeight="1" thickBot="1" x14ac:dyDescent="0.25">
      <c r="A6" s="237"/>
      <c r="B6" s="83"/>
      <c r="C6" s="897"/>
      <c r="D6" s="85"/>
      <c r="E6" s="84" t="s">
        <v>13</v>
      </c>
      <c r="F6" s="86" t="s">
        <v>14</v>
      </c>
      <c r="G6" s="309"/>
      <c r="H6" s="891"/>
      <c r="I6" s="891"/>
      <c r="J6" s="891"/>
    </row>
    <row r="7" spans="1:10" ht="19.5" customHeight="1" thickTop="1" x14ac:dyDescent="0.2">
      <c r="B7" s="33">
        <v>1</v>
      </c>
      <c r="C7" s="103" t="s">
        <v>15</v>
      </c>
      <c r="D7" s="104"/>
      <c r="E7" s="105"/>
      <c r="F7" s="110" t="s">
        <v>16</v>
      </c>
      <c r="G7" s="325"/>
      <c r="H7" s="552">
        <f>H9+H12+H18</f>
        <v>22438100</v>
      </c>
      <c r="I7" s="552">
        <f t="shared" ref="I7" si="0">I9+I12+I18</f>
        <v>0</v>
      </c>
      <c r="J7" s="552">
        <f>H7+I7</f>
        <v>22438100</v>
      </c>
    </row>
    <row r="8" spans="1:10" ht="13.5" customHeight="1" x14ac:dyDescent="0.2">
      <c r="A8" s="237"/>
      <c r="B8" s="34">
        <f>B7+1</f>
        <v>2</v>
      </c>
      <c r="C8" s="3"/>
      <c r="D8" s="35"/>
      <c r="E8" s="7"/>
      <c r="F8" s="36"/>
      <c r="G8" s="36"/>
      <c r="H8" s="553"/>
      <c r="I8" s="553"/>
      <c r="J8" s="553"/>
    </row>
    <row r="9" spans="1:10" ht="13.5" customHeight="1" x14ac:dyDescent="0.2">
      <c r="B9" s="34">
        <f t="shared" ref="B9:B78" si="1">B8+1</f>
        <v>3</v>
      </c>
      <c r="C9" s="8" t="s">
        <v>17</v>
      </c>
      <c r="D9" s="37"/>
      <c r="E9" s="38"/>
      <c r="F9" s="39" t="s">
        <v>18</v>
      </c>
      <c r="G9" s="40"/>
      <c r="H9" s="481">
        <f>H10</f>
        <v>14432100</v>
      </c>
      <c r="I9" s="481">
        <f t="shared" ref="I9" si="2">I10</f>
        <v>0</v>
      </c>
      <c r="J9" s="481">
        <f>H9+I9</f>
        <v>14432100</v>
      </c>
    </row>
    <row r="10" spans="1:10" ht="12.75" customHeight="1" x14ac:dyDescent="0.2">
      <c r="B10" s="34">
        <f t="shared" si="1"/>
        <v>4</v>
      </c>
      <c r="C10" s="8"/>
      <c r="D10" s="37" t="s">
        <v>19</v>
      </c>
      <c r="E10" s="38" t="s">
        <v>20</v>
      </c>
      <c r="F10" s="32" t="s">
        <v>21</v>
      </c>
      <c r="G10" s="40"/>
      <c r="H10" s="478">
        <f>14200000+232100</f>
        <v>14432100</v>
      </c>
      <c r="I10" s="478"/>
      <c r="J10" s="789">
        <f t="shared" ref="J10:J22" si="3">H10+I10</f>
        <v>14432100</v>
      </c>
    </row>
    <row r="11" spans="1:10" x14ac:dyDescent="0.2">
      <c r="B11" s="34">
        <f t="shared" si="1"/>
        <v>5</v>
      </c>
      <c r="C11" s="9"/>
      <c r="D11" s="41"/>
      <c r="E11" s="42"/>
      <c r="F11" s="43"/>
      <c r="G11" s="44"/>
      <c r="H11" s="554"/>
      <c r="I11" s="554"/>
      <c r="J11" s="481"/>
    </row>
    <row r="12" spans="1:10" x14ac:dyDescent="0.2">
      <c r="B12" s="34">
        <f t="shared" si="1"/>
        <v>6</v>
      </c>
      <c r="C12" s="8" t="s">
        <v>22</v>
      </c>
      <c r="D12" s="41"/>
      <c r="E12" s="45"/>
      <c r="F12" s="39" t="s">
        <v>23</v>
      </c>
      <c r="G12" s="44"/>
      <c r="H12" s="537">
        <f>H13</f>
        <v>5450000</v>
      </c>
      <c r="I12" s="537">
        <f t="shared" ref="I12" si="4">I13</f>
        <v>0</v>
      </c>
      <c r="J12" s="481">
        <f t="shared" si="3"/>
        <v>5450000</v>
      </c>
    </row>
    <row r="13" spans="1:10" x14ac:dyDescent="0.2">
      <c r="B13" s="34">
        <f t="shared" si="1"/>
        <v>7</v>
      </c>
      <c r="C13" s="9"/>
      <c r="D13" s="41" t="s">
        <v>24</v>
      </c>
      <c r="E13" s="45"/>
      <c r="F13" s="32" t="s">
        <v>25</v>
      </c>
      <c r="G13" s="44"/>
      <c r="H13" s="555">
        <f>SUM(H14:H16)</f>
        <v>5450000</v>
      </c>
      <c r="I13" s="555"/>
      <c r="J13" s="789">
        <f t="shared" si="3"/>
        <v>5450000</v>
      </c>
    </row>
    <row r="14" spans="1:10" x14ac:dyDescent="0.2">
      <c r="B14" s="34">
        <f t="shared" si="1"/>
        <v>8</v>
      </c>
      <c r="C14" s="9"/>
      <c r="D14" s="41"/>
      <c r="E14" s="45" t="s">
        <v>26</v>
      </c>
      <c r="F14" s="36" t="s">
        <v>27</v>
      </c>
      <c r="G14" s="44"/>
      <c r="H14" s="556">
        <v>610000</v>
      </c>
      <c r="I14" s="556"/>
      <c r="J14" s="789">
        <f t="shared" si="3"/>
        <v>610000</v>
      </c>
    </row>
    <row r="15" spans="1:10" x14ac:dyDescent="0.2">
      <c r="B15" s="34">
        <f t="shared" si="1"/>
        <v>9</v>
      </c>
      <c r="C15" s="9"/>
      <c r="D15" s="41"/>
      <c r="E15" s="45" t="s">
        <v>28</v>
      </c>
      <c r="F15" s="36" t="s">
        <v>29</v>
      </c>
      <c r="G15" s="44"/>
      <c r="H15" s="556">
        <v>4445000</v>
      </c>
      <c r="I15" s="556"/>
      <c r="J15" s="789">
        <f t="shared" si="3"/>
        <v>4445000</v>
      </c>
    </row>
    <row r="16" spans="1:10" x14ac:dyDescent="0.2">
      <c r="B16" s="34">
        <f t="shared" si="1"/>
        <v>10</v>
      </c>
      <c r="C16" s="9"/>
      <c r="D16" s="41"/>
      <c r="E16" s="45" t="s">
        <v>20</v>
      </c>
      <c r="F16" s="36" t="s">
        <v>30</v>
      </c>
      <c r="G16" s="44"/>
      <c r="H16" s="556">
        <v>395000</v>
      </c>
      <c r="I16" s="556"/>
      <c r="J16" s="789">
        <f t="shared" si="3"/>
        <v>395000</v>
      </c>
    </row>
    <row r="17" spans="2:10" x14ac:dyDescent="0.2">
      <c r="B17" s="34">
        <f t="shared" si="1"/>
        <v>11</v>
      </c>
      <c r="C17" s="46"/>
      <c r="D17" s="41"/>
      <c r="E17" s="45"/>
      <c r="F17" s="47"/>
      <c r="G17" s="44"/>
      <c r="H17" s="557"/>
      <c r="I17" s="557"/>
      <c r="J17" s="481"/>
    </row>
    <row r="18" spans="2:10" x14ac:dyDescent="0.2">
      <c r="B18" s="34">
        <f t="shared" si="1"/>
        <v>12</v>
      </c>
      <c r="C18" s="8" t="s">
        <v>31</v>
      </c>
      <c r="D18" s="41"/>
      <c r="E18" s="45"/>
      <c r="F18" s="39" t="s">
        <v>32</v>
      </c>
      <c r="G18" s="44"/>
      <c r="H18" s="558">
        <f>SUM(H19:H22)</f>
        <v>2556000</v>
      </c>
      <c r="I18" s="558">
        <f t="shared" ref="I18" si="5">SUM(I19:I22)</f>
        <v>0</v>
      </c>
      <c r="J18" s="481">
        <f t="shared" si="3"/>
        <v>2556000</v>
      </c>
    </row>
    <row r="19" spans="2:10" x14ac:dyDescent="0.2">
      <c r="B19" s="34">
        <f t="shared" si="1"/>
        <v>13</v>
      </c>
      <c r="C19" s="26"/>
      <c r="D19" s="1" t="s">
        <v>33</v>
      </c>
      <c r="E19" s="2" t="s">
        <v>34</v>
      </c>
      <c r="F19" s="36" t="s">
        <v>35</v>
      </c>
      <c r="G19" s="36"/>
      <c r="H19" s="555">
        <v>65000</v>
      </c>
      <c r="I19" s="555"/>
      <c r="J19" s="789">
        <f t="shared" si="3"/>
        <v>65000</v>
      </c>
    </row>
    <row r="20" spans="2:10" x14ac:dyDescent="0.2">
      <c r="B20" s="34">
        <f t="shared" si="1"/>
        <v>14</v>
      </c>
      <c r="C20" s="26"/>
      <c r="D20" s="1" t="s">
        <v>33</v>
      </c>
      <c r="E20" s="2" t="s">
        <v>26</v>
      </c>
      <c r="F20" s="36" t="s">
        <v>124</v>
      </c>
      <c r="G20" s="36"/>
      <c r="H20" s="555">
        <v>53000</v>
      </c>
      <c r="I20" s="555"/>
      <c r="J20" s="789">
        <f t="shared" si="3"/>
        <v>53000</v>
      </c>
    </row>
    <row r="21" spans="2:10" x14ac:dyDescent="0.2">
      <c r="B21" s="34">
        <f t="shared" si="1"/>
        <v>15</v>
      </c>
      <c r="C21" s="26"/>
      <c r="D21" s="1" t="s">
        <v>33</v>
      </c>
      <c r="E21" s="2" t="s">
        <v>36</v>
      </c>
      <c r="F21" s="36" t="s">
        <v>178</v>
      </c>
      <c r="G21" s="36"/>
      <c r="H21" s="555">
        <v>2400000</v>
      </c>
      <c r="I21" s="555"/>
      <c r="J21" s="789">
        <f t="shared" si="3"/>
        <v>2400000</v>
      </c>
    </row>
    <row r="22" spans="2:10" x14ac:dyDescent="0.2">
      <c r="B22" s="34">
        <f t="shared" si="1"/>
        <v>16</v>
      </c>
      <c r="C22" s="26"/>
      <c r="D22" s="1" t="s">
        <v>33</v>
      </c>
      <c r="E22" s="2"/>
      <c r="F22" s="36" t="s">
        <v>279</v>
      </c>
      <c r="G22" s="36"/>
      <c r="H22" s="555">
        <v>38000</v>
      </c>
      <c r="I22" s="555"/>
      <c r="J22" s="789">
        <f t="shared" si="3"/>
        <v>38000</v>
      </c>
    </row>
    <row r="23" spans="2:10" x14ac:dyDescent="0.2">
      <c r="B23" s="34">
        <f t="shared" si="1"/>
        <v>17</v>
      </c>
      <c r="C23" s="9"/>
      <c r="D23" s="41"/>
      <c r="E23" s="45"/>
      <c r="F23" s="43"/>
      <c r="G23" s="44"/>
      <c r="H23" s="554"/>
      <c r="I23" s="554"/>
      <c r="J23" s="789"/>
    </row>
    <row r="24" spans="2:10" ht="19.5" customHeight="1" x14ac:dyDescent="0.2">
      <c r="B24" s="34">
        <f t="shared" si="1"/>
        <v>18</v>
      </c>
      <c r="C24" s="106" t="s">
        <v>37</v>
      </c>
      <c r="D24" s="107"/>
      <c r="E24" s="108"/>
      <c r="F24" s="109" t="s">
        <v>38</v>
      </c>
      <c r="G24" s="317"/>
      <c r="H24" s="559">
        <f>H26+H36+H44+H46+H50+H86+H118+H153+H206+H208+H207</f>
        <v>3091801</v>
      </c>
      <c r="I24" s="559">
        <f>I26+I36+I44+I46+I50+I86+I118+I153+I206+I207+I208</f>
        <v>17514</v>
      </c>
      <c r="J24" s="559">
        <f>H24+I24</f>
        <v>3109315</v>
      </c>
    </row>
    <row r="25" spans="2:10" x14ac:dyDescent="0.2">
      <c r="B25" s="34">
        <f t="shared" si="1"/>
        <v>19</v>
      </c>
      <c r="C25" s="48"/>
      <c r="D25" s="48"/>
      <c r="E25" s="49"/>
      <c r="F25" s="36"/>
      <c r="G25" s="40"/>
      <c r="H25" s="478"/>
      <c r="I25" s="478"/>
      <c r="J25" s="478"/>
    </row>
    <row r="26" spans="2:10" x14ac:dyDescent="0.2">
      <c r="B26" s="34">
        <f t="shared" si="1"/>
        <v>20</v>
      </c>
      <c r="C26" s="8" t="s">
        <v>39</v>
      </c>
      <c r="D26" s="8"/>
      <c r="E26" s="10"/>
      <c r="F26" s="39" t="s">
        <v>40</v>
      </c>
      <c r="G26" s="40"/>
      <c r="H26" s="537">
        <f>H27</f>
        <v>435200</v>
      </c>
      <c r="I26" s="537">
        <f t="shared" ref="I26" si="6">I27</f>
        <v>0</v>
      </c>
      <c r="J26" s="790">
        <f>H26+I26</f>
        <v>435200</v>
      </c>
    </row>
    <row r="27" spans="2:10" x14ac:dyDescent="0.2">
      <c r="B27" s="34">
        <f t="shared" si="1"/>
        <v>21</v>
      </c>
      <c r="C27" s="8"/>
      <c r="D27" s="8" t="s">
        <v>41</v>
      </c>
      <c r="E27" s="10"/>
      <c r="F27" s="73" t="s">
        <v>90</v>
      </c>
      <c r="G27" s="40"/>
      <c r="H27" s="556">
        <f>H28+H29</f>
        <v>435200</v>
      </c>
      <c r="I27" s="556">
        <f t="shared" ref="I27" si="7">I28+I29</f>
        <v>0</v>
      </c>
      <c r="J27" s="791">
        <f t="shared" ref="J27:J48" si="8">H27+I27</f>
        <v>435200</v>
      </c>
    </row>
    <row r="28" spans="2:10" x14ac:dyDescent="0.2">
      <c r="B28" s="34">
        <f t="shared" si="1"/>
        <v>22</v>
      </c>
      <c r="C28" s="48"/>
      <c r="D28" s="37"/>
      <c r="E28" s="11" t="s">
        <v>28</v>
      </c>
      <c r="F28" s="44" t="s">
        <v>42</v>
      </c>
      <c r="G28" s="40"/>
      <c r="H28" s="556">
        <v>79200</v>
      </c>
      <c r="I28" s="556"/>
      <c r="J28" s="791">
        <f t="shared" si="8"/>
        <v>79200</v>
      </c>
    </row>
    <row r="29" spans="2:10" x14ac:dyDescent="0.2">
      <c r="B29" s="34">
        <f t="shared" si="1"/>
        <v>23</v>
      </c>
      <c r="C29" s="48"/>
      <c r="D29" s="37"/>
      <c r="E29" s="11" t="s">
        <v>20</v>
      </c>
      <c r="F29" s="44" t="s">
        <v>43</v>
      </c>
      <c r="G29" s="40"/>
      <c r="H29" s="478">
        <f>SUM(H30:H34)</f>
        <v>356000</v>
      </c>
      <c r="I29" s="478">
        <f t="shared" ref="I29" si="9">SUM(I30:I34)</f>
        <v>0</v>
      </c>
      <c r="J29" s="791">
        <f t="shared" si="8"/>
        <v>356000</v>
      </c>
    </row>
    <row r="30" spans="2:10" x14ac:dyDescent="0.2">
      <c r="B30" s="34">
        <f t="shared" si="1"/>
        <v>24</v>
      </c>
      <c r="C30" s="48"/>
      <c r="D30" s="37"/>
      <c r="E30" s="49"/>
      <c r="F30" s="32"/>
      <c r="G30" s="40" t="s">
        <v>44</v>
      </c>
      <c r="H30" s="478">
        <v>36000</v>
      </c>
      <c r="I30" s="478"/>
      <c r="J30" s="791">
        <f t="shared" si="8"/>
        <v>36000</v>
      </c>
    </row>
    <row r="31" spans="2:10" x14ac:dyDescent="0.2">
      <c r="B31" s="34">
        <f t="shared" si="1"/>
        <v>25</v>
      </c>
      <c r="C31" s="48"/>
      <c r="D31" s="37"/>
      <c r="E31" s="49"/>
      <c r="F31" s="44"/>
      <c r="G31" s="40" t="s">
        <v>45</v>
      </c>
      <c r="H31" s="478">
        <f>219000-19000</f>
        <v>200000</v>
      </c>
      <c r="I31" s="478"/>
      <c r="J31" s="791">
        <f t="shared" si="8"/>
        <v>200000</v>
      </c>
    </row>
    <row r="32" spans="2:10" x14ac:dyDescent="0.2">
      <c r="B32" s="34">
        <f t="shared" si="1"/>
        <v>26</v>
      </c>
      <c r="C32" s="48"/>
      <c r="D32" s="48"/>
      <c r="E32" s="49"/>
      <c r="F32" s="44"/>
      <c r="G32" s="40" t="s">
        <v>123</v>
      </c>
      <c r="H32" s="538">
        <v>40000</v>
      </c>
      <c r="I32" s="538"/>
      <c r="J32" s="791">
        <f t="shared" si="8"/>
        <v>40000</v>
      </c>
    </row>
    <row r="33" spans="2:10" x14ac:dyDescent="0.2">
      <c r="B33" s="34">
        <f t="shared" si="1"/>
        <v>27</v>
      </c>
      <c r="C33" s="48"/>
      <c r="D33" s="48"/>
      <c r="E33" s="49"/>
      <c r="F33" s="44"/>
      <c r="G33" s="40" t="s">
        <v>234</v>
      </c>
      <c r="H33" s="478">
        <v>70000</v>
      </c>
      <c r="I33" s="478"/>
      <c r="J33" s="791">
        <f t="shared" si="8"/>
        <v>70000</v>
      </c>
    </row>
    <row r="34" spans="2:10" x14ac:dyDescent="0.2">
      <c r="B34" s="34">
        <f t="shared" si="1"/>
        <v>28</v>
      </c>
      <c r="C34" s="48"/>
      <c r="D34" s="48"/>
      <c r="E34" s="49"/>
      <c r="F34" s="44"/>
      <c r="G34" s="40" t="s">
        <v>455</v>
      </c>
      <c r="H34" s="555">
        <v>10000</v>
      </c>
      <c r="I34" s="555"/>
      <c r="J34" s="791">
        <f t="shared" si="8"/>
        <v>10000</v>
      </c>
    </row>
    <row r="35" spans="2:10" x14ac:dyDescent="0.2">
      <c r="B35" s="34">
        <f t="shared" si="1"/>
        <v>29</v>
      </c>
      <c r="C35" s="48"/>
      <c r="D35" s="48"/>
      <c r="E35" s="49" t="s">
        <v>49</v>
      </c>
      <c r="F35" s="44" t="s">
        <v>667</v>
      </c>
      <c r="G35" s="40"/>
      <c r="H35" s="478"/>
      <c r="I35" s="478"/>
      <c r="J35" s="791"/>
    </row>
    <row r="36" spans="2:10" x14ac:dyDescent="0.2">
      <c r="B36" s="34">
        <f t="shared" si="1"/>
        <v>30</v>
      </c>
      <c r="C36" s="8" t="s">
        <v>46</v>
      </c>
      <c r="D36" s="48"/>
      <c r="E36" s="49"/>
      <c r="F36" s="39" t="s">
        <v>47</v>
      </c>
      <c r="G36" s="40"/>
      <c r="H36" s="490">
        <f>H37+H40+H41+H42</f>
        <v>501600</v>
      </c>
      <c r="I36" s="490">
        <f t="shared" ref="I36" si="10">I37+I40+I41+I42</f>
        <v>0</v>
      </c>
      <c r="J36" s="790">
        <f t="shared" si="8"/>
        <v>501600</v>
      </c>
    </row>
    <row r="37" spans="2:10" x14ac:dyDescent="0.2">
      <c r="B37" s="34">
        <f t="shared" si="1"/>
        <v>31</v>
      </c>
      <c r="C37" s="48"/>
      <c r="D37" s="37" t="s">
        <v>48</v>
      </c>
      <c r="E37" s="11"/>
      <c r="F37" s="44" t="s">
        <v>457</v>
      </c>
      <c r="G37" s="40"/>
      <c r="H37" s="478">
        <f>SUM(H38:H39)</f>
        <v>330000</v>
      </c>
      <c r="I37" s="478">
        <f t="shared" ref="I37" si="11">SUM(I38:I39)</f>
        <v>0</v>
      </c>
      <c r="J37" s="791">
        <f t="shared" si="8"/>
        <v>330000</v>
      </c>
    </row>
    <row r="38" spans="2:10" x14ac:dyDescent="0.2">
      <c r="B38" s="34">
        <f t="shared" si="1"/>
        <v>32</v>
      </c>
      <c r="C38" s="48"/>
      <c r="D38" s="48"/>
      <c r="E38" s="38" t="s">
        <v>56</v>
      </c>
      <c r="F38" s="32"/>
      <c r="G38" s="40" t="s">
        <v>91</v>
      </c>
      <c r="H38" s="555">
        <v>150000</v>
      </c>
      <c r="I38" s="555"/>
      <c r="J38" s="791">
        <f t="shared" si="8"/>
        <v>150000</v>
      </c>
    </row>
    <row r="39" spans="2:10" x14ac:dyDescent="0.2">
      <c r="B39" s="34">
        <f t="shared" si="1"/>
        <v>33</v>
      </c>
      <c r="C39" s="48"/>
      <c r="D39" s="48"/>
      <c r="E39" s="38" t="s">
        <v>49</v>
      </c>
      <c r="F39" s="32"/>
      <c r="G39" s="40" t="s">
        <v>50</v>
      </c>
      <c r="H39" s="555">
        <v>180000</v>
      </c>
      <c r="I39" s="555"/>
      <c r="J39" s="791">
        <f t="shared" si="8"/>
        <v>180000</v>
      </c>
    </row>
    <row r="40" spans="2:10" x14ac:dyDescent="0.2">
      <c r="B40" s="34">
        <f t="shared" si="1"/>
        <v>34</v>
      </c>
      <c r="C40" s="48"/>
      <c r="D40" s="9" t="s">
        <v>51</v>
      </c>
      <c r="E40" s="38" t="s">
        <v>20</v>
      </c>
      <c r="F40" s="50" t="s">
        <v>52</v>
      </c>
      <c r="G40" s="40"/>
      <c r="H40" s="555">
        <v>90000</v>
      </c>
      <c r="I40" s="555"/>
      <c r="J40" s="791">
        <f t="shared" si="8"/>
        <v>90000</v>
      </c>
    </row>
    <row r="41" spans="2:10" x14ac:dyDescent="0.2">
      <c r="B41" s="34">
        <f t="shared" si="1"/>
        <v>35</v>
      </c>
      <c r="C41" s="48"/>
      <c r="D41" s="37" t="s">
        <v>53</v>
      </c>
      <c r="E41" s="11" t="s">
        <v>26</v>
      </c>
      <c r="F41" s="44" t="s">
        <v>54</v>
      </c>
      <c r="G41" s="40"/>
      <c r="H41" s="555">
        <v>80000</v>
      </c>
      <c r="I41" s="555"/>
      <c r="J41" s="791">
        <f t="shared" si="8"/>
        <v>80000</v>
      </c>
    </row>
    <row r="42" spans="2:10" x14ac:dyDescent="0.2">
      <c r="B42" s="34">
        <f t="shared" si="1"/>
        <v>36</v>
      </c>
      <c r="C42" s="74"/>
      <c r="D42" s="52" t="s">
        <v>55</v>
      </c>
      <c r="E42" s="30" t="s">
        <v>56</v>
      </c>
      <c r="F42" s="31" t="s">
        <v>92</v>
      </c>
      <c r="G42" s="257"/>
      <c r="H42" s="478">
        <v>1600</v>
      </c>
      <c r="I42" s="478"/>
      <c r="J42" s="791">
        <f t="shared" si="8"/>
        <v>1600</v>
      </c>
    </row>
    <row r="43" spans="2:10" x14ac:dyDescent="0.2">
      <c r="B43" s="34">
        <f t="shared" si="1"/>
        <v>37</v>
      </c>
      <c r="C43" s="53"/>
      <c r="D43" s="54"/>
      <c r="E43" s="12"/>
      <c r="F43" s="51"/>
      <c r="G43" s="318"/>
      <c r="H43" s="538"/>
      <c r="I43" s="538"/>
      <c r="J43" s="791"/>
    </row>
    <row r="44" spans="2:10" x14ac:dyDescent="0.2">
      <c r="B44" s="34">
        <f t="shared" si="1"/>
        <v>38</v>
      </c>
      <c r="C44" s="55" t="s">
        <v>57</v>
      </c>
      <c r="D44" s="54"/>
      <c r="E44" s="56"/>
      <c r="F44" s="57" t="s">
        <v>58</v>
      </c>
      <c r="G44" s="318"/>
      <c r="H44" s="490">
        <v>3000</v>
      </c>
      <c r="I44" s="490"/>
      <c r="J44" s="790">
        <f t="shared" si="8"/>
        <v>3000</v>
      </c>
    </row>
    <row r="45" spans="2:10" x14ac:dyDescent="0.2">
      <c r="B45" s="34">
        <f t="shared" si="1"/>
        <v>39</v>
      </c>
      <c r="C45" s="55"/>
      <c r="D45" s="12"/>
      <c r="E45" s="56"/>
      <c r="F45" s="58"/>
      <c r="G45" s="318"/>
      <c r="H45" s="538"/>
      <c r="I45" s="538"/>
      <c r="J45" s="791"/>
    </row>
    <row r="46" spans="2:10" x14ac:dyDescent="0.2">
      <c r="B46" s="34">
        <f t="shared" si="1"/>
        <v>40</v>
      </c>
      <c r="C46" s="55" t="s">
        <v>59</v>
      </c>
      <c r="D46" s="54"/>
      <c r="E46" s="56"/>
      <c r="F46" s="57" t="s">
        <v>60</v>
      </c>
      <c r="G46" s="318"/>
      <c r="H46" s="490">
        <f>SUM(H47:H48)</f>
        <v>405000</v>
      </c>
      <c r="I46" s="490">
        <f t="shared" ref="I46" si="12">SUM(I47:I48)</f>
        <v>0</v>
      </c>
      <c r="J46" s="790">
        <f t="shared" si="8"/>
        <v>405000</v>
      </c>
    </row>
    <row r="47" spans="2:10" ht="12.75" customHeight="1" x14ac:dyDescent="0.2">
      <c r="B47" s="34">
        <f t="shared" si="1"/>
        <v>41</v>
      </c>
      <c r="C47" s="8"/>
      <c r="D47" s="38" t="s">
        <v>61</v>
      </c>
      <c r="E47" s="11" t="s">
        <v>62</v>
      </c>
      <c r="F47" s="44" t="s">
        <v>63</v>
      </c>
      <c r="G47" s="40"/>
      <c r="H47" s="478">
        <v>275000</v>
      </c>
      <c r="I47" s="478"/>
      <c r="J47" s="791">
        <f t="shared" si="8"/>
        <v>275000</v>
      </c>
    </row>
    <row r="48" spans="2:10" x14ac:dyDescent="0.2">
      <c r="B48" s="34">
        <f t="shared" si="1"/>
        <v>42</v>
      </c>
      <c r="C48" s="55"/>
      <c r="D48" s="371"/>
      <c r="E48" s="12"/>
      <c r="F48" s="51" t="s">
        <v>64</v>
      </c>
      <c r="G48" s="318"/>
      <c r="H48" s="539">
        <v>130000</v>
      </c>
      <c r="I48" s="539"/>
      <c r="J48" s="791">
        <f t="shared" si="8"/>
        <v>130000</v>
      </c>
    </row>
    <row r="49" spans="2:10" x14ac:dyDescent="0.2">
      <c r="B49" s="34">
        <f t="shared" si="1"/>
        <v>43</v>
      </c>
      <c r="C49" s="60"/>
      <c r="D49" s="61"/>
      <c r="E49" s="12"/>
      <c r="F49" s="51"/>
      <c r="G49" s="318"/>
      <c r="H49" s="538"/>
      <c r="I49" s="538"/>
      <c r="J49" s="791"/>
    </row>
    <row r="50" spans="2:10" x14ac:dyDescent="0.2">
      <c r="B50" s="34">
        <f t="shared" si="1"/>
        <v>44</v>
      </c>
      <c r="C50" s="62"/>
      <c r="D50" s="63"/>
      <c r="E50" s="62"/>
      <c r="F50" s="117" t="s">
        <v>676</v>
      </c>
      <c r="G50" s="326"/>
      <c r="H50" s="476">
        <f>H52+H72+H83+H84</f>
        <v>500200</v>
      </c>
      <c r="I50" s="476">
        <f>I52+I84+I96+I97</f>
        <v>0</v>
      </c>
      <c r="J50" s="476">
        <f>H50+I50</f>
        <v>500200</v>
      </c>
    </row>
    <row r="51" spans="2:10" x14ac:dyDescent="0.2">
      <c r="B51" s="34">
        <f t="shared" si="1"/>
        <v>45</v>
      </c>
      <c r="C51" s="64"/>
      <c r="D51" s="65"/>
      <c r="E51" s="62"/>
      <c r="F51" s="66"/>
      <c r="G51" s="66"/>
      <c r="H51" s="536"/>
      <c r="I51" s="536"/>
      <c r="J51" s="536"/>
    </row>
    <row r="52" spans="2:10" x14ac:dyDescent="0.2">
      <c r="B52" s="34">
        <f t="shared" si="1"/>
        <v>46</v>
      </c>
      <c r="C52" s="8" t="s">
        <v>39</v>
      </c>
      <c r="D52" s="65"/>
      <c r="E52" s="62"/>
      <c r="F52" s="39" t="s">
        <v>40</v>
      </c>
      <c r="G52" s="66"/>
      <c r="H52" s="537">
        <f>SUM(H53:H56)</f>
        <v>91600</v>
      </c>
      <c r="I52" s="537">
        <f t="shared" ref="I52" si="13">SUM(I53:I56)</f>
        <v>0</v>
      </c>
      <c r="J52" s="537">
        <f>H52+I52</f>
        <v>91600</v>
      </c>
    </row>
    <row r="53" spans="2:10" x14ac:dyDescent="0.2">
      <c r="B53" s="34">
        <f t="shared" si="1"/>
        <v>47</v>
      </c>
      <c r="C53" s="14"/>
      <c r="D53" s="13" t="s">
        <v>41</v>
      </c>
      <c r="E53" s="2" t="s">
        <v>28</v>
      </c>
      <c r="F53" s="68" t="s">
        <v>42</v>
      </c>
      <c r="G53" s="321"/>
      <c r="H53" s="478">
        <f>900-400</f>
        <v>500</v>
      </c>
      <c r="I53" s="478"/>
      <c r="J53" s="478">
        <f>H53+I53</f>
        <v>500</v>
      </c>
    </row>
    <row r="54" spans="2:10" x14ac:dyDescent="0.2">
      <c r="B54" s="34">
        <f t="shared" si="1"/>
        <v>48</v>
      </c>
      <c r="C54" s="67"/>
      <c r="D54" s="13" t="s">
        <v>41</v>
      </c>
      <c r="E54" s="2" t="s">
        <v>20</v>
      </c>
      <c r="F54" s="68" t="s">
        <v>43</v>
      </c>
      <c r="G54" s="321"/>
      <c r="H54" s="478">
        <f>900+19700+5000</f>
        <v>25600</v>
      </c>
      <c r="I54" s="478"/>
      <c r="J54" s="478">
        <f t="shared" ref="J54:J56" si="14">H54+I54</f>
        <v>25600</v>
      </c>
    </row>
    <row r="55" spans="2:10" x14ac:dyDescent="0.2">
      <c r="B55" s="34">
        <f t="shared" si="1"/>
        <v>49</v>
      </c>
      <c r="C55" s="641"/>
      <c r="D55" s="642" t="s">
        <v>81</v>
      </c>
      <c r="E55" s="643" t="s">
        <v>20</v>
      </c>
      <c r="F55" s="644" t="s">
        <v>724</v>
      </c>
      <c r="G55" s="645"/>
      <c r="H55" s="646">
        <f>17500-2000</f>
        <v>15500</v>
      </c>
      <c r="I55" s="646"/>
      <c r="J55" s="478">
        <f t="shared" si="14"/>
        <v>15500</v>
      </c>
    </row>
    <row r="56" spans="2:10" ht="13.5" thickBot="1" x14ac:dyDescent="0.25">
      <c r="B56" s="34">
        <f t="shared" si="1"/>
        <v>50</v>
      </c>
      <c r="C56" s="610"/>
      <c r="D56" s="611" t="s">
        <v>41</v>
      </c>
      <c r="E56" s="612" t="s">
        <v>20</v>
      </c>
      <c r="F56" s="613" t="s">
        <v>543</v>
      </c>
      <c r="G56" s="327"/>
      <c r="H56" s="614">
        <f>88100-38100</f>
        <v>50000</v>
      </c>
      <c r="I56" s="614"/>
      <c r="J56" s="614">
        <f t="shared" si="14"/>
        <v>50000</v>
      </c>
    </row>
    <row r="57" spans="2:10" x14ac:dyDescent="0.2">
      <c r="B57" s="248"/>
      <c r="C57" s="249"/>
      <c r="D57" s="250"/>
      <c r="E57" s="250"/>
      <c r="F57" s="251"/>
      <c r="G57" s="251"/>
      <c r="H57" s="252"/>
    </row>
    <row r="58" spans="2:10" x14ac:dyDescent="0.2">
      <c r="B58" s="248"/>
      <c r="C58" s="249"/>
      <c r="D58" s="250"/>
      <c r="E58" s="250"/>
      <c r="F58" s="251"/>
      <c r="G58" s="251"/>
      <c r="H58" s="252"/>
    </row>
    <row r="59" spans="2:10" x14ac:dyDescent="0.2">
      <c r="B59" s="248"/>
      <c r="C59" s="249"/>
      <c r="D59" s="250"/>
      <c r="E59" s="250"/>
      <c r="F59" s="251"/>
      <c r="G59" s="251"/>
      <c r="H59" s="252"/>
    </row>
    <row r="60" spans="2:10" x14ac:dyDescent="0.2">
      <c r="B60" s="248"/>
      <c r="C60" s="249"/>
      <c r="D60" s="250"/>
      <c r="E60" s="250"/>
      <c r="F60" s="251"/>
      <c r="G60" s="251"/>
      <c r="H60" s="252"/>
    </row>
    <row r="61" spans="2:10" x14ac:dyDescent="0.2">
      <c r="B61" s="248"/>
      <c r="C61" s="249"/>
      <c r="D61" s="250"/>
      <c r="E61" s="250"/>
      <c r="F61" s="251"/>
      <c r="G61" s="251"/>
      <c r="H61" s="252"/>
    </row>
    <row r="62" spans="2:10" x14ac:dyDescent="0.2">
      <c r="B62" s="248"/>
      <c r="C62" s="249"/>
      <c r="D62" s="250"/>
      <c r="E62" s="250"/>
      <c r="F62" s="251"/>
      <c r="G62" s="251"/>
      <c r="H62" s="252"/>
    </row>
    <row r="63" spans="2:10" x14ac:dyDescent="0.2">
      <c r="B63" s="248"/>
      <c r="C63" s="249"/>
      <c r="D63" s="250"/>
      <c r="E63" s="250"/>
      <c r="F63" s="251"/>
      <c r="G63" s="251"/>
      <c r="H63" s="252"/>
    </row>
    <row r="64" spans="2:10" x14ac:dyDescent="0.2">
      <c r="B64" s="248"/>
      <c r="C64" s="249"/>
      <c r="D64" s="250"/>
      <c r="E64" s="250"/>
      <c r="F64" s="251"/>
      <c r="G64" s="251"/>
      <c r="H64" s="252"/>
    </row>
    <row r="65" spans="2:10" x14ac:dyDescent="0.2">
      <c r="B65" s="248"/>
      <c r="C65" s="249"/>
      <c r="D65" s="250"/>
      <c r="E65" s="250"/>
      <c r="F65" s="251"/>
      <c r="G65" s="251"/>
      <c r="H65" s="252"/>
    </row>
    <row r="66" spans="2:10" x14ac:dyDescent="0.2">
      <c r="B66" s="248"/>
      <c r="C66" s="249"/>
      <c r="D66" s="250"/>
      <c r="E66" s="250"/>
      <c r="F66" s="251"/>
      <c r="G66" s="251"/>
      <c r="H66" s="252"/>
    </row>
    <row r="67" spans="2:10" ht="13.5" thickBot="1" x14ac:dyDescent="0.25">
      <c r="B67" s="248"/>
      <c r="C67" s="249"/>
      <c r="D67" s="250"/>
      <c r="E67" s="250"/>
      <c r="F67" s="251"/>
      <c r="G67" s="251"/>
      <c r="H67" s="252"/>
    </row>
    <row r="68" spans="2:10" ht="12.75" customHeight="1" x14ac:dyDescent="0.2">
      <c r="B68" s="892" t="s">
        <v>9</v>
      </c>
      <c r="C68" s="893"/>
      <c r="D68" s="893"/>
      <c r="E68" s="893"/>
      <c r="F68" s="893"/>
      <c r="G68" s="893"/>
      <c r="H68" s="889" t="s">
        <v>721</v>
      </c>
      <c r="I68" s="889" t="s">
        <v>860</v>
      </c>
      <c r="J68" s="889" t="s">
        <v>721</v>
      </c>
    </row>
    <row r="69" spans="2:10" ht="11.25" customHeight="1" x14ac:dyDescent="0.2">
      <c r="B69" s="894"/>
      <c r="C69" s="895"/>
      <c r="D69" s="895"/>
      <c r="E69" s="895"/>
      <c r="F69" s="895"/>
      <c r="G69" s="895"/>
      <c r="H69" s="890"/>
      <c r="I69" s="890"/>
      <c r="J69" s="890"/>
    </row>
    <row r="70" spans="2:10" ht="14.25" customHeight="1" x14ac:dyDescent="0.2">
      <c r="B70" s="79"/>
      <c r="C70" s="896" t="s">
        <v>10</v>
      </c>
      <c r="D70" s="80" t="s">
        <v>11</v>
      </c>
      <c r="E70" s="80" t="s">
        <v>12</v>
      </c>
      <c r="F70" s="81"/>
      <c r="G70" s="81"/>
      <c r="H70" s="890"/>
      <c r="I70" s="890"/>
      <c r="J70" s="890"/>
    </row>
    <row r="71" spans="2:10" ht="14.25" customHeight="1" thickBot="1" x14ac:dyDescent="0.25">
      <c r="B71" s="83"/>
      <c r="C71" s="897"/>
      <c r="D71" s="85"/>
      <c r="E71" s="84" t="s">
        <v>13</v>
      </c>
      <c r="F71" s="86" t="s">
        <v>14</v>
      </c>
      <c r="G71" s="309"/>
      <c r="H71" s="891"/>
      <c r="I71" s="891"/>
      <c r="J71" s="891"/>
    </row>
    <row r="72" spans="2:10" ht="14.25" customHeight="1" thickTop="1" x14ac:dyDescent="0.2">
      <c r="B72" s="34">
        <f>B56+1</f>
        <v>51</v>
      </c>
      <c r="C72" s="8" t="s">
        <v>46</v>
      </c>
      <c r="D72" s="183"/>
      <c r="E72" s="184"/>
      <c r="F72" s="39" t="s">
        <v>47</v>
      </c>
      <c r="G72" s="320"/>
      <c r="H72" s="490">
        <f>H73</f>
        <v>390600</v>
      </c>
      <c r="I72" s="490">
        <f t="shared" ref="I72" si="15">I73</f>
        <v>0</v>
      </c>
      <c r="J72" s="490">
        <f>H72+I72</f>
        <v>390600</v>
      </c>
    </row>
    <row r="73" spans="2:10" x14ac:dyDescent="0.2">
      <c r="B73" s="34">
        <f>B72+1</f>
        <v>52</v>
      </c>
      <c r="C73" s="64"/>
      <c r="D73" s="13" t="s">
        <v>53</v>
      </c>
      <c r="E73" s="2" t="s">
        <v>26</v>
      </c>
      <c r="F73" s="44" t="s">
        <v>65</v>
      </c>
      <c r="G73" s="321"/>
      <c r="H73" s="478">
        <f>SUM(H74:H81)</f>
        <v>390600</v>
      </c>
      <c r="I73" s="478">
        <f>SUM(I74:I81)</f>
        <v>0</v>
      </c>
      <c r="J73" s="481">
        <f>H73+I73</f>
        <v>390600</v>
      </c>
    </row>
    <row r="74" spans="2:10" x14ac:dyDescent="0.2">
      <c r="B74" s="34">
        <f t="shared" si="1"/>
        <v>53</v>
      </c>
      <c r="C74" s="67"/>
      <c r="D74" s="2"/>
      <c r="E74" s="2"/>
      <c r="F74" s="44"/>
      <c r="G74" s="320" t="s">
        <v>93</v>
      </c>
      <c r="H74" s="478">
        <v>65000</v>
      </c>
      <c r="I74" s="478"/>
      <c r="J74" s="478">
        <f t="shared" ref="J74:J81" si="16">H74+I74</f>
        <v>65000</v>
      </c>
    </row>
    <row r="75" spans="2:10" x14ac:dyDescent="0.2">
      <c r="B75" s="34">
        <f t="shared" si="1"/>
        <v>54</v>
      </c>
      <c r="C75" s="67"/>
      <c r="D75" s="2"/>
      <c r="E75" s="2"/>
      <c r="F75" s="44"/>
      <c r="G75" s="320" t="s">
        <v>423</v>
      </c>
      <c r="H75" s="478">
        <v>17000</v>
      </c>
      <c r="I75" s="478"/>
      <c r="J75" s="478">
        <f t="shared" si="16"/>
        <v>17000</v>
      </c>
    </row>
    <row r="76" spans="2:10" x14ac:dyDescent="0.2">
      <c r="B76" s="34">
        <f t="shared" si="1"/>
        <v>55</v>
      </c>
      <c r="C76" s="64"/>
      <c r="D76" s="124"/>
      <c r="E76" s="124"/>
      <c r="F76" s="51"/>
      <c r="G76" s="321" t="s">
        <v>542</v>
      </c>
      <c r="H76" s="538">
        <f>70000-10000</f>
        <v>60000</v>
      </c>
      <c r="I76" s="538"/>
      <c r="J76" s="478">
        <f t="shared" si="16"/>
        <v>60000</v>
      </c>
    </row>
    <row r="77" spans="2:10" x14ac:dyDescent="0.2">
      <c r="B77" s="34">
        <f t="shared" si="1"/>
        <v>56</v>
      </c>
      <c r="C77" s="67"/>
      <c r="D77" s="2"/>
      <c r="E77" s="2"/>
      <c r="F77" s="44"/>
      <c r="G77" s="320" t="s">
        <v>94</v>
      </c>
      <c r="H77" s="478">
        <v>79100</v>
      </c>
      <c r="I77" s="478"/>
      <c r="J77" s="478">
        <f t="shared" si="16"/>
        <v>79100</v>
      </c>
    </row>
    <row r="78" spans="2:10" x14ac:dyDescent="0.2">
      <c r="B78" s="34">
        <f t="shared" si="1"/>
        <v>57</v>
      </c>
      <c r="C78" s="67"/>
      <c r="D78" s="2"/>
      <c r="E78" s="2"/>
      <c r="F78" s="44"/>
      <c r="G78" s="320" t="s">
        <v>264</v>
      </c>
      <c r="H78" s="478">
        <v>145000</v>
      </c>
      <c r="I78" s="478"/>
      <c r="J78" s="478">
        <f t="shared" si="16"/>
        <v>145000</v>
      </c>
    </row>
    <row r="79" spans="2:10" ht="12.75" customHeight="1" x14ac:dyDescent="0.2">
      <c r="B79" s="34">
        <f t="shared" ref="B79:B91" si="17">B78+1</f>
        <v>58</v>
      </c>
      <c r="C79" s="67"/>
      <c r="D79" s="2"/>
      <c r="E79" s="2"/>
      <c r="F79" s="44"/>
      <c r="G79" s="320" t="s">
        <v>265</v>
      </c>
      <c r="H79" s="538">
        <f>10400-400</f>
        <v>10000</v>
      </c>
      <c r="I79" s="538"/>
      <c r="J79" s="478">
        <f t="shared" si="16"/>
        <v>10000</v>
      </c>
    </row>
    <row r="80" spans="2:10" ht="12.75" customHeight="1" x14ac:dyDescent="0.2">
      <c r="B80" s="34">
        <f t="shared" si="17"/>
        <v>59</v>
      </c>
      <c r="C80" s="64"/>
      <c r="D80" s="124"/>
      <c r="E80" s="124"/>
      <c r="F80" s="51"/>
      <c r="G80" s="321" t="s">
        <v>295</v>
      </c>
      <c r="H80" s="538">
        <v>12500</v>
      </c>
      <c r="I80" s="538"/>
      <c r="J80" s="478">
        <f t="shared" si="16"/>
        <v>12500</v>
      </c>
    </row>
    <row r="81" spans="1:10" ht="13.5" customHeight="1" x14ac:dyDescent="0.2">
      <c r="B81" s="34">
        <f t="shared" si="17"/>
        <v>60</v>
      </c>
      <c r="C81" s="64"/>
      <c r="D81" s="124"/>
      <c r="E81" s="124"/>
      <c r="F81" s="51"/>
      <c r="G81" s="321" t="s">
        <v>66</v>
      </c>
      <c r="H81" s="538">
        <f>20000-18000</f>
        <v>2000</v>
      </c>
      <c r="I81" s="538"/>
      <c r="J81" s="478">
        <f t="shared" si="16"/>
        <v>2000</v>
      </c>
    </row>
    <row r="82" spans="1:10" ht="13.5" customHeight="1" x14ac:dyDescent="0.2">
      <c r="B82" s="34">
        <f t="shared" si="17"/>
        <v>61</v>
      </c>
      <c r="C82" s="67"/>
      <c r="D82" s="2"/>
      <c r="E82" s="2"/>
      <c r="F82" s="44"/>
      <c r="G82" s="320"/>
      <c r="H82" s="478"/>
      <c r="I82" s="478"/>
      <c r="J82" s="478"/>
    </row>
    <row r="83" spans="1:10" ht="13.5" customHeight="1" x14ac:dyDescent="0.2">
      <c r="B83" s="34">
        <f t="shared" si="17"/>
        <v>62</v>
      </c>
      <c r="C83" s="8" t="s">
        <v>59</v>
      </c>
      <c r="D83" s="2" t="s">
        <v>61</v>
      </c>
      <c r="E83" s="2" t="s">
        <v>848</v>
      </c>
      <c r="F83" s="44" t="s">
        <v>849</v>
      </c>
      <c r="G83" s="320"/>
      <c r="H83" s="478">
        <v>9000</v>
      </c>
      <c r="I83" s="478"/>
      <c r="J83" s="478">
        <f>I83+H83</f>
        <v>9000</v>
      </c>
    </row>
    <row r="84" spans="1:10" ht="13.5" customHeight="1" x14ac:dyDescent="0.2">
      <c r="B84" s="34">
        <f t="shared" si="17"/>
        <v>63</v>
      </c>
      <c r="C84" s="67"/>
      <c r="D84" s="2" t="s">
        <v>61</v>
      </c>
      <c r="E84" s="2" t="s">
        <v>850</v>
      </c>
      <c r="F84" s="44" t="s">
        <v>851</v>
      </c>
      <c r="G84" s="320"/>
      <c r="H84" s="478">
        <v>9000</v>
      </c>
      <c r="I84" s="478"/>
      <c r="J84" s="478">
        <f>I84+H84</f>
        <v>9000</v>
      </c>
    </row>
    <row r="85" spans="1:10" x14ac:dyDescent="0.2">
      <c r="B85" s="34">
        <f t="shared" si="17"/>
        <v>64</v>
      </c>
      <c r="C85" s="67"/>
      <c r="D85" s="183"/>
      <c r="E85" s="184"/>
      <c r="F85" s="68"/>
      <c r="G85" s="68"/>
      <c r="H85" s="555"/>
      <c r="I85" s="555"/>
      <c r="J85" s="555"/>
    </row>
    <row r="86" spans="1:10" ht="13.5" customHeight="1" x14ac:dyDescent="0.2">
      <c r="B86" s="34">
        <f t="shared" si="17"/>
        <v>65</v>
      </c>
      <c r="C86" s="8"/>
      <c r="D86" s="8"/>
      <c r="E86" s="10"/>
      <c r="F86" s="118" t="s">
        <v>67</v>
      </c>
      <c r="G86" s="314"/>
      <c r="H86" s="560">
        <f>H88+H94+H99+H100+H102+H107+H111+H112+H113+H114+H115+H116</f>
        <v>721701</v>
      </c>
      <c r="I86" s="560">
        <f>I88+I94+I99+I100+I102+I107+I111+I112+I113+I114+I115+I116</f>
        <v>0</v>
      </c>
      <c r="J86" s="560">
        <f>H86+I86</f>
        <v>721701</v>
      </c>
    </row>
    <row r="87" spans="1:10" s="133" customFormat="1" ht="1.5" customHeight="1" x14ac:dyDescent="0.2">
      <c r="A87" s="172"/>
      <c r="B87" s="34">
        <f t="shared" si="17"/>
        <v>66</v>
      </c>
      <c r="C87" s="185"/>
      <c r="D87" s="185"/>
      <c r="E87" s="186"/>
      <c r="F87" s="187"/>
      <c r="G87" s="322"/>
      <c r="H87" s="561"/>
      <c r="I87" s="561"/>
      <c r="J87" s="561"/>
    </row>
    <row r="88" spans="1:10" ht="12.75" customHeight="1" x14ac:dyDescent="0.2">
      <c r="B88" s="34">
        <f t="shared" si="17"/>
        <v>67</v>
      </c>
      <c r="C88" s="37"/>
      <c r="D88" s="37"/>
      <c r="E88" s="2"/>
      <c r="F88" s="69" t="s">
        <v>68</v>
      </c>
      <c r="G88" s="323"/>
      <c r="H88" s="553">
        <f>SUM(H89:H92)</f>
        <v>125600</v>
      </c>
      <c r="I88" s="553">
        <f t="shared" ref="I88" si="18">SUM(I89:I92)</f>
        <v>0</v>
      </c>
      <c r="J88" s="553">
        <f>H88+I88</f>
        <v>125600</v>
      </c>
    </row>
    <row r="89" spans="1:10" ht="12.75" customHeight="1" x14ac:dyDescent="0.2">
      <c r="B89" s="34">
        <f t="shared" si="17"/>
        <v>68</v>
      </c>
      <c r="C89" s="13"/>
      <c r="D89" s="13" t="s">
        <v>53</v>
      </c>
      <c r="E89" s="2" t="s">
        <v>28</v>
      </c>
      <c r="F89" s="50" t="s">
        <v>148</v>
      </c>
      <c r="G89" s="323"/>
      <c r="H89" s="555">
        <v>109000</v>
      </c>
      <c r="I89" s="555"/>
      <c r="J89" s="792">
        <f t="shared" ref="J89:J115" si="19">H89+I89</f>
        <v>109000</v>
      </c>
    </row>
    <row r="90" spans="1:10" ht="13.5" customHeight="1" x14ac:dyDescent="0.2">
      <c r="B90" s="34">
        <f t="shared" si="17"/>
        <v>69</v>
      </c>
      <c r="C90" s="37"/>
      <c r="D90" s="37" t="s">
        <v>53</v>
      </c>
      <c r="E90" s="38" t="s">
        <v>20</v>
      </c>
      <c r="F90" s="32" t="s">
        <v>149</v>
      </c>
      <c r="G90" s="32"/>
      <c r="H90" s="478">
        <v>9000</v>
      </c>
      <c r="I90" s="478"/>
      <c r="J90" s="792">
        <f t="shared" si="19"/>
        <v>9000</v>
      </c>
    </row>
    <row r="91" spans="1:10" x14ac:dyDescent="0.2">
      <c r="B91" s="34">
        <f t="shared" si="17"/>
        <v>70</v>
      </c>
      <c r="C91" s="37"/>
      <c r="D91" s="37" t="s">
        <v>53</v>
      </c>
      <c r="E91" s="38" t="s">
        <v>20</v>
      </c>
      <c r="F91" s="32" t="s">
        <v>150</v>
      </c>
      <c r="G91" s="32"/>
      <c r="H91" s="478">
        <v>6600</v>
      </c>
      <c r="I91" s="478"/>
      <c r="J91" s="792">
        <f t="shared" si="19"/>
        <v>6600</v>
      </c>
    </row>
    <row r="92" spans="1:10" x14ac:dyDescent="0.2">
      <c r="B92" s="34">
        <f t="shared" ref="B92:B137" si="20">B91+1</f>
        <v>71</v>
      </c>
      <c r="C92" s="37"/>
      <c r="D92" s="37" t="s">
        <v>53</v>
      </c>
      <c r="E92" s="38" t="s">
        <v>20</v>
      </c>
      <c r="F92" s="32" t="s">
        <v>521</v>
      </c>
      <c r="G92" s="32"/>
      <c r="H92" s="478">
        <v>1000</v>
      </c>
      <c r="I92" s="478"/>
      <c r="J92" s="792">
        <f t="shared" si="19"/>
        <v>1000</v>
      </c>
    </row>
    <row r="93" spans="1:10" x14ac:dyDescent="0.2">
      <c r="B93" s="34">
        <f t="shared" si="20"/>
        <v>72</v>
      </c>
      <c r="C93" s="37"/>
      <c r="D93" s="37"/>
      <c r="E93" s="38"/>
      <c r="F93" s="32"/>
      <c r="G93" s="32"/>
      <c r="H93" s="478"/>
      <c r="I93" s="478"/>
      <c r="J93" s="553"/>
    </row>
    <row r="94" spans="1:10" x14ac:dyDescent="0.2">
      <c r="B94" s="34">
        <f t="shared" si="20"/>
        <v>73</v>
      </c>
      <c r="C94" s="37"/>
      <c r="D94" s="37"/>
      <c r="E94" s="38"/>
      <c r="F94" s="70" t="s">
        <v>70</v>
      </c>
      <c r="G94" s="32"/>
      <c r="H94" s="490">
        <f>SUM(H95:H97)</f>
        <v>108000</v>
      </c>
      <c r="I94" s="490">
        <f t="shared" ref="I94" si="21">SUM(I95:I97)</f>
        <v>0</v>
      </c>
      <c r="J94" s="553">
        <f t="shared" si="19"/>
        <v>108000</v>
      </c>
    </row>
    <row r="95" spans="1:10" x14ac:dyDescent="0.2">
      <c r="B95" s="34">
        <f t="shared" si="20"/>
        <v>74</v>
      </c>
      <c r="C95" s="37"/>
      <c r="D95" s="37" t="s">
        <v>53</v>
      </c>
      <c r="E95" s="38" t="s">
        <v>26</v>
      </c>
      <c r="F95" s="32" t="s">
        <v>299</v>
      </c>
      <c r="G95" s="32"/>
      <c r="H95" s="478">
        <v>95200</v>
      </c>
      <c r="I95" s="478"/>
      <c r="J95" s="792">
        <f t="shared" si="19"/>
        <v>95200</v>
      </c>
    </row>
    <row r="96" spans="1:10" x14ac:dyDescent="0.2">
      <c r="B96" s="34">
        <f t="shared" si="20"/>
        <v>75</v>
      </c>
      <c r="C96" s="37"/>
      <c r="D96" s="37" t="s">
        <v>53</v>
      </c>
      <c r="E96" s="38" t="s">
        <v>26</v>
      </c>
      <c r="F96" s="32" t="s">
        <v>154</v>
      </c>
      <c r="G96" s="32"/>
      <c r="H96" s="478">
        <v>5500</v>
      </c>
      <c r="I96" s="478"/>
      <c r="J96" s="792">
        <f t="shared" si="19"/>
        <v>5500</v>
      </c>
    </row>
    <row r="97" spans="2:10" ht="12.75" customHeight="1" x14ac:dyDescent="0.2">
      <c r="B97" s="34">
        <f t="shared" si="20"/>
        <v>76</v>
      </c>
      <c r="C97" s="37"/>
      <c r="D97" s="37" t="s">
        <v>53</v>
      </c>
      <c r="E97" s="38" t="s">
        <v>26</v>
      </c>
      <c r="F97" s="32" t="s">
        <v>71</v>
      </c>
      <c r="G97" s="32"/>
      <c r="H97" s="478">
        <v>7300</v>
      </c>
      <c r="I97" s="478"/>
      <c r="J97" s="792">
        <f t="shared" si="19"/>
        <v>7300</v>
      </c>
    </row>
    <row r="98" spans="2:10" ht="12.75" customHeight="1" x14ac:dyDescent="0.2">
      <c r="B98" s="34">
        <f t="shared" si="20"/>
        <v>77</v>
      </c>
      <c r="C98" s="37"/>
      <c r="D98" s="37"/>
      <c r="E98" s="38"/>
      <c r="F98" s="32"/>
      <c r="G98" s="32"/>
      <c r="H98" s="478"/>
      <c r="I98" s="478"/>
      <c r="J98" s="553"/>
    </row>
    <row r="99" spans="2:10" ht="12.75" customHeight="1" x14ac:dyDescent="0.2">
      <c r="B99" s="34">
        <f t="shared" si="20"/>
        <v>78</v>
      </c>
      <c r="C99" s="37"/>
      <c r="D99" s="37"/>
      <c r="E99" s="38"/>
      <c r="F99" s="70" t="s">
        <v>125</v>
      </c>
      <c r="G99" s="32"/>
      <c r="H99" s="490">
        <v>2000</v>
      </c>
      <c r="I99" s="490"/>
      <c r="J99" s="793">
        <f t="shared" si="19"/>
        <v>2000</v>
      </c>
    </row>
    <row r="100" spans="2:10" ht="12.75" customHeight="1" x14ac:dyDescent="0.2">
      <c r="B100" s="34">
        <f t="shared" si="20"/>
        <v>79</v>
      </c>
      <c r="C100" s="37"/>
      <c r="D100" s="37"/>
      <c r="E100" s="38"/>
      <c r="F100" s="70" t="s">
        <v>583</v>
      </c>
      <c r="G100" s="32"/>
      <c r="H100" s="490">
        <v>5800</v>
      </c>
      <c r="I100" s="490"/>
      <c r="J100" s="793">
        <f t="shared" si="19"/>
        <v>5800</v>
      </c>
    </row>
    <row r="101" spans="2:10" ht="12.75" customHeight="1" x14ac:dyDescent="0.2">
      <c r="B101" s="34">
        <f t="shared" si="20"/>
        <v>80</v>
      </c>
      <c r="C101" s="37"/>
      <c r="D101" s="37"/>
      <c r="E101" s="38"/>
      <c r="F101" s="70"/>
      <c r="G101" s="32"/>
      <c r="H101" s="489"/>
      <c r="I101" s="489"/>
      <c r="J101" s="553"/>
    </row>
    <row r="102" spans="2:10" ht="12.75" customHeight="1" x14ac:dyDescent="0.2">
      <c r="B102" s="34">
        <f t="shared" si="20"/>
        <v>81</v>
      </c>
      <c r="C102" s="37"/>
      <c r="D102" s="37"/>
      <c r="E102" s="38"/>
      <c r="F102" s="70" t="s">
        <v>69</v>
      </c>
      <c r="G102" s="32"/>
      <c r="H102" s="490">
        <f>SUM(H103:H105)</f>
        <v>334500</v>
      </c>
      <c r="I102" s="490">
        <f>SUM(I103:I105)</f>
        <v>0</v>
      </c>
      <c r="J102" s="553">
        <f t="shared" si="19"/>
        <v>334500</v>
      </c>
    </row>
    <row r="103" spans="2:10" ht="13.5" customHeight="1" x14ac:dyDescent="0.2">
      <c r="B103" s="34">
        <f t="shared" si="20"/>
        <v>82</v>
      </c>
      <c r="C103" s="37"/>
      <c r="D103" s="37" t="s">
        <v>53</v>
      </c>
      <c r="E103" s="38" t="s">
        <v>26</v>
      </c>
      <c r="F103" s="32" t="s">
        <v>153</v>
      </c>
      <c r="G103" s="32"/>
      <c r="H103" s="478">
        <v>9300</v>
      </c>
      <c r="I103" s="478"/>
      <c r="J103" s="792">
        <f t="shared" si="19"/>
        <v>9300</v>
      </c>
    </row>
    <row r="104" spans="2:10" x14ac:dyDescent="0.2">
      <c r="B104" s="34">
        <f t="shared" si="20"/>
        <v>83</v>
      </c>
      <c r="C104" s="37"/>
      <c r="D104" s="37" t="s">
        <v>53</v>
      </c>
      <c r="E104" s="38" t="s">
        <v>26</v>
      </c>
      <c r="F104" s="32" t="s">
        <v>152</v>
      </c>
      <c r="G104" s="32"/>
      <c r="H104" s="478">
        <v>134000</v>
      </c>
      <c r="I104" s="478"/>
      <c r="J104" s="792">
        <f t="shared" si="19"/>
        <v>134000</v>
      </c>
    </row>
    <row r="105" spans="2:10" x14ac:dyDescent="0.2">
      <c r="B105" s="34">
        <f t="shared" si="20"/>
        <v>84</v>
      </c>
      <c r="C105" s="37"/>
      <c r="D105" s="37" t="s">
        <v>53</v>
      </c>
      <c r="E105" s="38" t="s">
        <v>26</v>
      </c>
      <c r="F105" s="32" t="s">
        <v>177</v>
      </c>
      <c r="G105" s="32"/>
      <c r="H105" s="478">
        <v>191200</v>
      </c>
      <c r="I105" s="478"/>
      <c r="J105" s="792">
        <f t="shared" si="19"/>
        <v>191200</v>
      </c>
    </row>
    <row r="106" spans="2:10" x14ac:dyDescent="0.2">
      <c r="B106" s="34">
        <f t="shared" si="20"/>
        <v>85</v>
      </c>
      <c r="C106" s="37"/>
      <c r="D106" s="37"/>
      <c r="E106" s="38"/>
      <c r="F106" s="50"/>
      <c r="G106" s="32"/>
      <c r="H106" s="478"/>
      <c r="I106" s="478"/>
      <c r="J106" s="553"/>
    </row>
    <row r="107" spans="2:10" x14ac:dyDescent="0.2">
      <c r="B107" s="34">
        <f t="shared" si="20"/>
        <v>86</v>
      </c>
      <c r="C107" s="37"/>
      <c r="D107" s="38"/>
      <c r="E107" s="38"/>
      <c r="F107" s="70" t="s">
        <v>188</v>
      </c>
      <c r="G107" s="32"/>
      <c r="H107" s="490">
        <f>H108+H109</f>
        <v>129100</v>
      </c>
      <c r="I107" s="490">
        <f t="shared" ref="I107" si="22">I108+I109</f>
        <v>0</v>
      </c>
      <c r="J107" s="553">
        <f t="shared" si="19"/>
        <v>129100</v>
      </c>
    </row>
    <row r="108" spans="2:10" ht="12.75" customHeight="1" x14ac:dyDescent="0.2">
      <c r="B108" s="34">
        <f t="shared" si="20"/>
        <v>87</v>
      </c>
      <c r="C108" s="37"/>
      <c r="D108" s="2" t="s">
        <v>53</v>
      </c>
      <c r="E108" s="2" t="s">
        <v>26</v>
      </c>
      <c r="F108" s="32" t="s">
        <v>316</v>
      </c>
      <c r="G108" s="323"/>
      <c r="H108" s="478">
        <v>108000</v>
      </c>
      <c r="I108" s="478"/>
      <c r="J108" s="792">
        <f t="shared" si="19"/>
        <v>108000</v>
      </c>
    </row>
    <row r="109" spans="2:10" ht="13.5" customHeight="1" x14ac:dyDescent="0.2">
      <c r="B109" s="34">
        <f t="shared" si="20"/>
        <v>88</v>
      </c>
      <c r="C109" s="37"/>
      <c r="D109" s="2" t="s">
        <v>53</v>
      </c>
      <c r="E109" s="2" t="s">
        <v>26</v>
      </c>
      <c r="F109" s="32" t="s">
        <v>317</v>
      </c>
      <c r="G109" s="323"/>
      <c r="H109" s="478">
        <v>21100</v>
      </c>
      <c r="I109" s="478"/>
      <c r="J109" s="792">
        <f t="shared" si="19"/>
        <v>21100</v>
      </c>
    </row>
    <row r="110" spans="2:10" x14ac:dyDescent="0.2">
      <c r="B110" s="34">
        <f t="shared" si="20"/>
        <v>89</v>
      </c>
      <c r="C110" s="37"/>
      <c r="D110" s="2"/>
      <c r="E110" s="2"/>
      <c r="F110" s="32"/>
      <c r="G110" s="323"/>
      <c r="H110" s="478"/>
      <c r="I110" s="478"/>
      <c r="J110" s="553"/>
    </row>
    <row r="111" spans="2:10" x14ac:dyDescent="0.2">
      <c r="B111" s="34">
        <f t="shared" si="20"/>
        <v>90</v>
      </c>
      <c r="C111" s="37"/>
      <c r="D111" s="37" t="s">
        <v>41</v>
      </c>
      <c r="E111" s="38" t="s">
        <v>20</v>
      </c>
      <c r="F111" s="50" t="s">
        <v>72</v>
      </c>
      <c r="G111" s="32"/>
      <c r="H111" s="481">
        <v>1000</v>
      </c>
      <c r="I111" s="789"/>
      <c r="J111" s="792">
        <f t="shared" si="19"/>
        <v>1000</v>
      </c>
    </row>
    <row r="112" spans="2:10" x14ac:dyDescent="0.2">
      <c r="B112" s="34">
        <f t="shared" si="20"/>
        <v>91</v>
      </c>
      <c r="C112" s="37"/>
      <c r="D112" s="37" t="s">
        <v>61</v>
      </c>
      <c r="E112" s="38" t="s">
        <v>34</v>
      </c>
      <c r="F112" s="50" t="s">
        <v>853</v>
      </c>
      <c r="G112" s="32"/>
      <c r="H112" s="481">
        <v>3835</v>
      </c>
      <c r="I112" s="789"/>
      <c r="J112" s="792">
        <f t="shared" si="19"/>
        <v>3835</v>
      </c>
    </row>
    <row r="113" spans="1:10" x14ac:dyDescent="0.2">
      <c r="B113" s="34">
        <f t="shared" si="20"/>
        <v>92</v>
      </c>
      <c r="C113" s="37"/>
      <c r="D113" s="37" t="s">
        <v>61</v>
      </c>
      <c r="E113" s="38" t="s">
        <v>850</v>
      </c>
      <c r="F113" s="50" t="s">
        <v>854</v>
      </c>
      <c r="G113" s="32"/>
      <c r="H113" s="481">
        <v>585</v>
      </c>
      <c r="I113" s="789"/>
      <c r="J113" s="792">
        <f t="shared" si="19"/>
        <v>585</v>
      </c>
    </row>
    <row r="114" spans="1:10" x14ac:dyDescent="0.2">
      <c r="B114" s="34">
        <f t="shared" si="20"/>
        <v>93</v>
      </c>
      <c r="C114" s="37"/>
      <c r="D114" s="37" t="s">
        <v>61</v>
      </c>
      <c r="E114" s="38" t="s">
        <v>852</v>
      </c>
      <c r="F114" s="50" t="s">
        <v>855</v>
      </c>
      <c r="G114" s="32"/>
      <c r="H114" s="481">
        <v>2141</v>
      </c>
      <c r="I114" s="789"/>
      <c r="J114" s="792">
        <f t="shared" si="19"/>
        <v>2141</v>
      </c>
    </row>
    <row r="115" spans="1:10" x14ac:dyDescent="0.2">
      <c r="B115" s="34">
        <f t="shared" si="20"/>
        <v>94</v>
      </c>
      <c r="C115" s="37"/>
      <c r="D115" s="37" t="s">
        <v>602</v>
      </c>
      <c r="E115" s="38"/>
      <c r="F115" s="50" t="s">
        <v>856</v>
      </c>
      <c r="G115" s="32"/>
      <c r="H115" s="789">
        <v>2700</v>
      </c>
      <c r="I115" s="789"/>
      <c r="J115" s="792">
        <f t="shared" si="19"/>
        <v>2700</v>
      </c>
    </row>
    <row r="116" spans="1:10" x14ac:dyDescent="0.2">
      <c r="B116" s="34">
        <f t="shared" si="20"/>
        <v>95</v>
      </c>
      <c r="C116" s="37"/>
      <c r="D116" s="37" t="s">
        <v>81</v>
      </c>
      <c r="E116" s="38" t="s">
        <v>26</v>
      </c>
      <c r="F116" s="50" t="s">
        <v>872</v>
      </c>
      <c r="G116" s="32"/>
      <c r="H116" s="481">
        <v>6440</v>
      </c>
      <c r="I116" s="789"/>
      <c r="J116" s="792">
        <f>I116+H116</f>
        <v>6440</v>
      </c>
    </row>
    <row r="117" spans="1:10" x14ac:dyDescent="0.2">
      <c r="B117" s="34">
        <f t="shared" si="20"/>
        <v>96</v>
      </c>
      <c r="C117" s="37"/>
      <c r="D117" s="37"/>
      <c r="E117" s="38"/>
      <c r="F117" s="50"/>
      <c r="G117" s="32"/>
      <c r="H117" s="478"/>
      <c r="I117" s="478"/>
      <c r="J117" s="478"/>
    </row>
    <row r="118" spans="1:10" ht="12.75" customHeight="1" x14ac:dyDescent="0.2">
      <c r="B118" s="34">
        <f t="shared" si="20"/>
        <v>97</v>
      </c>
      <c r="C118" s="8"/>
      <c r="D118" s="55"/>
      <c r="E118" s="71"/>
      <c r="F118" s="118" t="s">
        <v>73</v>
      </c>
      <c r="G118" s="314"/>
      <c r="H118" s="477">
        <f>H120+H122+H124+H143+H142</f>
        <v>145000</v>
      </c>
      <c r="I118" s="477">
        <f>I120+I122+I124+I143+I142+I145</f>
        <v>792</v>
      </c>
      <c r="J118" s="477">
        <f>H118+I118</f>
        <v>145792</v>
      </c>
    </row>
    <row r="119" spans="1:10" ht="1.5" customHeight="1" x14ac:dyDescent="0.2">
      <c r="B119" s="34">
        <f t="shared" si="20"/>
        <v>98</v>
      </c>
      <c r="C119" s="37"/>
      <c r="D119" s="37"/>
      <c r="E119" s="38"/>
      <c r="F119" s="50"/>
      <c r="G119" s="32"/>
      <c r="H119" s="478"/>
      <c r="I119" s="478"/>
      <c r="J119" s="478"/>
    </row>
    <row r="120" spans="1:10" s="153" customFormat="1" ht="12.75" customHeight="1" x14ac:dyDescent="0.2">
      <c r="A120" s="238"/>
      <c r="B120" s="34">
        <f t="shared" si="20"/>
        <v>99</v>
      </c>
      <c r="C120" s="144"/>
      <c r="D120" s="144"/>
      <c r="E120" s="49"/>
      <c r="F120" s="188" t="s">
        <v>436</v>
      </c>
      <c r="G120" s="324"/>
      <c r="H120" s="490">
        <f>H121</f>
        <v>600</v>
      </c>
      <c r="I120" s="490">
        <f t="shared" ref="I120" si="23">I121</f>
        <v>0</v>
      </c>
      <c r="J120" s="490">
        <f>H120+I120</f>
        <v>600</v>
      </c>
    </row>
    <row r="121" spans="1:10" ht="13.5" customHeight="1" x14ac:dyDescent="0.2">
      <c r="B121" s="34">
        <f t="shared" si="20"/>
        <v>100</v>
      </c>
      <c r="C121" s="37" t="s">
        <v>46</v>
      </c>
      <c r="D121" s="37" t="s">
        <v>53</v>
      </c>
      <c r="E121" s="38" t="s">
        <v>28</v>
      </c>
      <c r="F121" s="50" t="s">
        <v>251</v>
      </c>
      <c r="G121" s="32"/>
      <c r="H121" s="539">
        <v>600</v>
      </c>
      <c r="I121" s="539"/>
      <c r="J121" s="789">
        <f t="shared" ref="J121:J143" si="24">H121+I121</f>
        <v>600</v>
      </c>
    </row>
    <row r="122" spans="1:10" x14ac:dyDescent="0.2">
      <c r="B122" s="34">
        <f t="shared" si="20"/>
        <v>101</v>
      </c>
      <c r="C122" s="8" t="s">
        <v>39</v>
      </c>
      <c r="D122" s="8"/>
      <c r="E122" s="10"/>
      <c r="F122" s="39" t="s">
        <v>40</v>
      </c>
      <c r="G122" s="40"/>
      <c r="H122" s="481">
        <f>H123</f>
        <v>8100</v>
      </c>
      <c r="I122" s="481">
        <f t="shared" ref="I122" si="25">I123</f>
        <v>0</v>
      </c>
      <c r="J122" s="490">
        <f t="shared" si="24"/>
        <v>8100</v>
      </c>
    </row>
    <row r="123" spans="1:10" ht="14.25" customHeight="1" x14ac:dyDescent="0.2">
      <c r="B123" s="34">
        <f t="shared" si="20"/>
        <v>102</v>
      </c>
      <c r="C123" s="48"/>
      <c r="D123" s="37" t="s">
        <v>41</v>
      </c>
      <c r="E123" s="11" t="s">
        <v>20</v>
      </c>
      <c r="F123" s="44" t="s">
        <v>76</v>
      </c>
      <c r="G123" s="40"/>
      <c r="H123" s="478">
        <v>8100</v>
      </c>
      <c r="I123" s="478"/>
      <c r="J123" s="789">
        <f t="shared" si="24"/>
        <v>8100</v>
      </c>
    </row>
    <row r="124" spans="1:10" x14ac:dyDescent="0.2">
      <c r="B124" s="34">
        <f t="shared" si="20"/>
        <v>103</v>
      </c>
      <c r="C124" s="8" t="s">
        <v>46</v>
      </c>
      <c r="D124" s="48"/>
      <c r="E124" s="49"/>
      <c r="F124" s="39" t="s">
        <v>47</v>
      </c>
      <c r="G124" s="40"/>
      <c r="H124" s="481">
        <f>H125+H141</f>
        <v>128700</v>
      </c>
      <c r="I124" s="481">
        <f t="shared" ref="I124" si="26">I125+I141</f>
        <v>0</v>
      </c>
      <c r="J124" s="490">
        <f t="shared" si="24"/>
        <v>128700</v>
      </c>
    </row>
    <row r="125" spans="1:10" ht="14.25" customHeight="1" x14ac:dyDescent="0.2">
      <c r="B125" s="34">
        <f t="shared" si="20"/>
        <v>104</v>
      </c>
      <c r="C125" s="48"/>
      <c r="D125" s="38" t="s">
        <v>53</v>
      </c>
      <c r="E125" s="38" t="s">
        <v>28</v>
      </c>
      <c r="F125" s="44" t="s">
        <v>77</v>
      </c>
      <c r="G125" s="40"/>
      <c r="H125" s="478">
        <f>SUM(H126:H140)</f>
        <v>128200</v>
      </c>
      <c r="I125" s="478">
        <f t="shared" ref="I125" si="27">SUM(I126:I140)</f>
        <v>0</v>
      </c>
      <c r="J125" s="789">
        <f t="shared" si="24"/>
        <v>128200</v>
      </c>
    </row>
    <row r="126" spans="1:10" ht="14.25" customHeight="1" x14ac:dyDescent="0.2">
      <c r="B126" s="34">
        <f t="shared" si="20"/>
        <v>105</v>
      </c>
      <c r="C126" s="48"/>
      <c r="D126" s="38"/>
      <c r="E126" s="38"/>
      <c r="F126" s="44"/>
      <c r="G126" s="315" t="s">
        <v>324</v>
      </c>
      <c r="H126" s="478">
        <v>7500</v>
      </c>
      <c r="I126" s="478"/>
      <c r="J126" s="789">
        <f t="shared" si="24"/>
        <v>7500</v>
      </c>
    </row>
    <row r="127" spans="1:10" ht="14.25" customHeight="1" x14ac:dyDescent="0.2">
      <c r="B127" s="34">
        <f t="shared" si="20"/>
        <v>106</v>
      </c>
      <c r="C127" s="48"/>
      <c r="D127" s="38"/>
      <c r="E127" s="38"/>
      <c r="F127" s="44"/>
      <c r="G127" s="315" t="s">
        <v>325</v>
      </c>
      <c r="H127" s="478">
        <v>8900</v>
      </c>
      <c r="I127" s="478"/>
      <c r="J127" s="789">
        <f t="shared" si="24"/>
        <v>8900</v>
      </c>
    </row>
    <row r="128" spans="1:10" ht="14.25" customHeight="1" x14ac:dyDescent="0.2">
      <c r="B128" s="34">
        <f t="shared" si="20"/>
        <v>107</v>
      </c>
      <c r="C128" s="48"/>
      <c r="D128" s="38"/>
      <c r="E128" s="38"/>
      <c r="F128" s="44"/>
      <c r="G128" s="315" t="s">
        <v>326</v>
      </c>
      <c r="H128" s="478">
        <v>6700</v>
      </c>
      <c r="I128" s="478"/>
      <c r="J128" s="789">
        <f t="shared" si="24"/>
        <v>6700</v>
      </c>
    </row>
    <row r="129" spans="1:10" ht="14.25" customHeight="1" x14ac:dyDescent="0.2">
      <c r="B129" s="34">
        <f t="shared" si="20"/>
        <v>108</v>
      </c>
      <c r="C129" s="48"/>
      <c r="D129" s="38"/>
      <c r="E129" s="38"/>
      <c r="F129" s="44"/>
      <c r="G129" s="315" t="s">
        <v>327</v>
      </c>
      <c r="H129" s="478">
        <v>10000</v>
      </c>
      <c r="I129" s="478"/>
      <c r="J129" s="789">
        <f t="shared" si="24"/>
        <v>10000</v>
      </c>
    </row>
    <row r="130" spans="1:10" ht="14.25" customHeight="1" x14ac:dyDescent="0.2">
      <c r="B130" s="34">
        <f t="shared" si="20"/>
        <v>109</v>
      </c>
      <c r="C130" s="48"/>
      <c r="D130" s="38"/>
      <c r="E130" s="38"/>
      <c r="F130" s="44"/>
      <c r="G130" s="315" t="s">
        <v>328</v>
      </c>
      <c r="H130" s="478">
        <v>8400</v>
      </c>
      <c r="I130" s="478"/>
      <c r="J130" s="789">
        <f t="shared" si="24"/>
        <v>8400</v>
      </c>
    </row>
    <row r="131" spans="1:10" ht="14.25" customHeight="1" x14ac:dyDescent="0.2">
      <c r="B131" s="34">
        <f t="shared" si="20"/>
        <v>110</v>
      </c>
      <c r="C131" s="48"/>
      <c r="D131" s="38"/>
      <c r="E131" s="38"/>
      <c r="F131" s="44"/>
      <c r="G131" s="315" t="s">
        <v>329</v>
      </c>
      <c r="H131" s="478">
        <v>14500</v>
      </c>
      <c r="I131" s="478"/>
      <c r="J131" s="789">
        <f t="shared" si="24"/>
        <v>14500</v>
      </c>
    </row>
    <row r="132" spans="1:10" ht="14.25" customHeight="1" x14ac:dyDescent="0.2">
      <c r="B132" s="34">
        <f t="shared" si="20"/>
        <v>111</v>
      </c>
      <c r="C132" s="48"/>
      <c r="D132" s="38"/>
      <c r="E132" s="38"/>
      <c r="F132" s="44"/>
      <c r="G132" s="315" t="s">
        <v>330</v>
      </c>
      <c r="H132" s="478">
        <v>14500</v>
      </c>
      <c r="I132" s="478"/>
      <c r="J132" s="789">
        <f t="shared" si="24"/>
        <v>14500</v>
      </c>
    </row>
    <row r="133" spans="1:10" ht="14.25" customHeight="1" x14ac:dyDescent="0.2">
      <c r="B133" s="34">
        <f t="shared" si="20"/>
        <v>112</v>
      </c>
      <c r="C133" s="48"/>
      <c r="D133" s="38"/>
      <c r="E133" s="38"/>
      <c r="F133" s="44"/>
      <c r="G133" s="315" t="s">
        <v>331</v>
      </c>
      <c r="H133" s="478">
        <v>6000</v>
      </c>
      <c r="I133" s="478"/>
      <c r="J133" s="789">
        <f t="shared" si="24"/>
        <v>6000</v>
      </c>
    </row>
    <row r="134" spans="1:10" ht="14.25" customHeight="1" x14ac:dyDescent="0.2">
      <c r="B134" s="34">
        <f t="shared" si="20"/>
        <v>113</v>
      </c>
      <c r="C134" s="48"/>
      <c r="D134" s="38"/>
      <c r="E134" s="38"/>
      <c r="F134" s="44"/>
      <c r="G134" s="315" t="s">
        <v>332</v>
      </c>
      <c r="H134" s="478">
        <v>11500</v>
      </c>
      <c r="I134" s="478"/>
      <c r="J134" s="789">
        <f t="shared" si="24"/>
        <v>11500</v>
      </c>
    </row>
    <row r="135" spans="1:10" ht="14.25" customHeight="1" x14ac:dyDescent="0.2">
      <c r="B135" s="34">
        <f t="shared" si="20"/>
        <v>114</v>
      </c>
      <c r="C135" s="48"/>
      <c r="D135" s="38"/>
      <c r="E135" s="38"/>
      <c r="F135" s="44"/>
      <c r="G135" s="315" t="s">
        <v>333</v>
      </c>
      <c r="H135" s="478">
        <v>10500</v>
      </c>
      <c r="I135" s="478"/>
      <c r="J135" s="789">
        <f t="shared" si="24"/>
        <v>10500</v>
      </c>
    </row>
    <row r="136" spans="1:10" ht="14.25" customHeight="1" x14ac:dyDescent="0.2">
      <c r="B136" s="34">
        <f t="shared" si="20"/>
        <v>115</v>
      </c>
      <c r="C136" s="48"/>
      <c r="D136" s="38"/>
      <c r="E136" s="38"/>
      <c r="F136" s="44"/>
      <c r="G136" s="315" t="s">
        <v>334</v>
      </c>
      <c r="H136" s="478">
        <v>8600</v>
      </c>
      <c r="I136" s="478"/>
      <c r="J136" s="789">
        <f t="shared" si="24"/>
        <v>8600</v>
      </c>
    </row>
    <row r="137" spans="1:10" ht="14.25" customHeight="1" x14ac:dyDescent="0.2">
      <c r="B137" s="34">
        <f t="shared" si="20"/>
        <v>116</v>
      </c>
      <c r="C137" s="48"/>
      <c r="D137" s="38"/>
      <c r="E137" s="38"/>
      <c r="F137" s="44"/>
      <c r="G137" s="315" t="s">
        <v>335</v>
      </c>
      <c r="H137" s="478">
        <v>3700</v>
      </c>
      <c r="I137" s="478"/>
      <c r="J137" s="789">
        <f t="shared" si="24"/>
        <v>3700</v>
      </c>
    </row>
    <row r="138" spans="1:10" ht="14.25" customHeight="1" x14ac:dyDescent="0.2">
      <c r="B138" s="59">
        <f t="shared" ref="B138:B145" si="28">B137+1</f>
        <v>117</v>
      </c>
      <c r="C138" s="48"/>
      <c r="D138" s="38"/>
      <c r="E138" s="38"/>
      <c r="F138" s="44"/>
      <c r="G138" s="315" t="s">
        <v>336</v>
      </c>
      <c r="H138" s="478">
        <v>4200</v>
      </c>
      <c r="I138" s="478"/>
      <c r="J138" s="789">
        <f t="shared" si="24"/>
        <v>4200</v>
      </c>
    </row>
    <row r="139" spans="1:10" ht="14.25" customHeight="1" x14ac:dyDescent="0.2">
      <c r="B139" s="59">
        <f t="shared" si="28"/>
        <v>118</v>
      </c>
      <c r="C139" s="48"/>
      <c r="D139" s="38"/>
      <c r="E139" s="38"/>
      <c r="F139" s="44"/>
      <c r="G139" s="315" t="s">
        <v>337</v>
      </c>
      <c r="H139" s="478">
        <v>3500</v>
      </c>
      <c r="I139" s="478"/>
      <c r="J139" s="789">
        <f t="shared" si="24"/>
        <v>3500</v>
      </c>
    </row>
    <row r="140" spans="1:10" ht="14.25" customHeight="1" x14ac:dyDescent="0.2">
      <c r="B140" s="59">
        <f t="shared" si="28"/>
        <v>119</v>
      </c>
      <c r="C140" s="48"/>
      <c r="D140" s="38"/>
      <c r="E140" s="38"/>
      <c r="F140" s="44"/>
      <c r="G140" s="315" t="s">
        <v>338</v>
      </c>
      <c r="H140" s="478">
        <v>9700</v>
      </c>
      <c r="I140" s="478"/>
      <c r="J140" s="789">
        <f t="shared" si="24"/>
        <v>9700</v>
      </c>
    </row>
    <row r="141" spans="1:10" ht="14.25" customHeight="1" x14ac:dyDescent="0.2">
      <c r="B141" s="59">
        <f t="shared" si="28"/>
        <v>120</v>
      </c>
      <c r="C141" s="48"/>
      <c r="D141" s="38" t="s">
        <v>53</v>
      </c>
      <c r="E141" s="38" t="s">
        <v>28</v>
      </c>
      <c r="F141" s="44" t="s">
        <v>122</v>
      </c>
      <c r="G141" s="40"/>
      <c r="H141" s="478">
        <v>500</v>
      </c>
      <c r="I141" s="478"/>
      <c r="J141" s="789">
        <f t="shared" si="24"/>
        <v>500</v>
      </c>
    </row>
    <row r="142" spans="1:10" ht="14.25" customHeight="1" x14ac:dyDescent="0.2">
      <c r="B142" s="59">
        <f t="shared" si="28"/>
        <v>121</v>
      </c>
      <c r="C142" s="53"/>
      <c r="D142" s="371"/>
      <c r="E142" s="371"/>
      <c r="F142" s="51" t="s">
        <v>64</v>
      </c>
      <c r="G142" s="318"/>
      <c r="H142" s="538">
        <v>7585</v>
      </c>
      <c r="I142" s="538"/>
      <c r="J142" s="789">
        <f t="shared" si="24"/>
        <v>7585</v>
      </c>
    </row>
    <row r="143" spans="1:10" ht="14.25" customHeight="1" x14ac:dyDescent="0.2">
      <c r="B143" s="59">
        <f t="shared" si="28"/>
        <v>122</v>
      </c>
      <c r="C143" s="303" t="s">
        <v>57</v>
      </c>
      <c r="D143" s="882" t="s">
        <v>118</v>
      </c>
      <c r="E143" s="883"/>
      <c r="F143" s="884" t="s">
        <v>58</v>
      </c>
      <c r="G143" s="670"/>
      <c r="H143" s="885">
        <v>15</v>
      </c>
      <c r="I143" s="885"/>
      <c r="J143" s="886">
        <f t="shared" si="24"/>
        <v>15</v>
      </c>
    </row>
    <row r="144" spans="1:10" s="19" customFormat="1" ht="12.75" customHeight="1" x14ac:dyDescent="0.2">
      <c r="A144" s="239"/>
      <c r="B144" s="59">
        <f t="shared" si="28"/>
        <v>123</v>
      </c>
      <c r="C144" s="55"/>
      <c r="D144" s="371"/>
      <c r="E144" s="56"/>
      <c r="F144" s="57"/>
      <c r="G144" s="318"/>
      <c r="H144" s="888"/>
      <c r="I144" s="888"/>
      <c r="J144" s="489"/>
    </row>
    <row r="145" spans="1:10" s="19" customFormat="1" ht="12.75" customHeight="1" thickBot="1" x14ac:dyDescent="0.25">
      <c r="A145" s="239"/>
      <c r="B145" s="59">
        <f t="shared" si="28"/>
        <v>124</v>
      </c>
      <c r="C145" s="190" t="s">
        <v>59</v>
      </c>
      <c r="D145" s="500" t="s">
        <v>61</v>
      </c>
      <c r="E145" s="501"/>
      <c r="F145" s="191" t="s">
        <v>884</v>
      </c>
      <c r="G145" s="502"/>
      <c r="H145" s="562"/>
      <c r="I145" s="562">
        <v>792</v>
      </c>
      <c r="J145" s="887">
        <f>I145+H145</f>
        <v>792</v>
      </c>
    </row>
    <row r="146" spans="1:10" s="19" customFormat="1" ht="12.75" customHeight="1" x14ac:dyDescent="0.2">
      <c r="A146" s="239"/>
      <c r="B146" s="248"/>
      <c r="C146" s="253"/>
      <c r="D146" s="254"/>
      <c r="E146" s="255"/>
      <c r="F146" s="256"/>
      <c r="G146" s="257"/>
      <c r="H146" s="252"/>
    </row>
    <row r="147" spans="1:10" s="19" customFormat="1" ht="12.75" customHeight="1" thickBot="1" x14ac:dyDescent="0.25">
      <c r="A147" s="239"/>
      <c r="B147" s="248"/>
      <c r="C147" s="253"/>
      <c r="D147" s="254"/>
      <c r="E147" s="255"/>
      <c r="F147" s="256"/>
      <c r="G147" s="257"/>
      <c r="H147" s="252"/>
    </row>
    <row r="148" spans="1:10" ht="12.75" customHeight="1" x14ac:dyDescent="0.2">
      <c r="B148" s="892" t="s">
        <v>9</v>
      </c>
      <c r="C148" s="893"/>
      <c r="D148" s="893"/>
      <c r="E148" s="893"/>
      <c r="F148" s="893"/>
      <c r="G148" s="893"/>
      <c r="H148" s="889" t="s">
        <v>721</v>
      </c>
      <c r="I148" s="889" t="s">
        <v>860</v>
      </c>
      <c r="J148" s="889" t="s">
        <v>721</v>
      </c>
    </row>
    <row r="149" spans="1:10" ht="12.75" customHeight="1" x14ac:dyDescent="0.2">
      <c r="B149" s="894"/>
      <c r="C149" s="895"/>
      <c r="D149" s="895"/>
      <c r="E149" s="895"/>
      <c r="F149" s="895"/>
      <c r="G149" s="895"/>
      <c r="H149" s="890"/>
      <c r="I149" s="890"/>
      <c r="J149" s="890"/>
    </row>
    <row r="150" spans="1:10" ht="16.5" customHeight="1" x14ac:dyDescent="0.2">
      <c r="B150" s="79"/>
      <c r="C150" s="896" t="s">
        <v>10</v>
      </c>
      <c r="D150" s="80" t="s">
        <v>11</v>
      </c>
      <c r="E150" s="80" t="s">
        <v>12</v>
      </c>
      <c r="F150" s="81"/>
      <c r="G150" s="81"/>
      <c r="H150" s="890"/>
      <c r="I150" s="890"/>
      <c r="J150" s="890"/>
    </row>
    <row r="151" spans="1:10" ht="19.5" customHeight="1" thickBot="1" x14ac:dyDescent="0.25">
      <c r="B151" s="83"/>
      <c r="C151" s="897"/>
      <c r="D151" s="85"/>
      <c r="E151" s="84" t="s">
        <v>13</v>
      </c>
      <c r="F151" s="86" t="s">
        <v>14</v>
      </c>
      <c r="G151" s="309"/>
      <c r="H151" s="891"/>
      <c r="I151" s="891"/>
      <c r="J151" s="891"/>
    </row>
    <row r="152" spans="1:10" ht="12.75" customHeight="1" thickTop="1" x14ac:dyDescent="0.2">
      <c r="B152" s="59">
        <f>B143+1</f>
        <v>123</v>
      </c>
      <c r="C152" s="8"/>
      <c r="D152" s="14"/>
      <c r="E152" s="72"/>
      <c r="F152" s="189" t="s">
        <v>120</v>
      </c>
      <c r="G152" s="313"/>
      <c r="H152" s="563"/>
      <c r="I152" s="563"/>
      <c r="J152" s="563"/>
    </row>
    <row r="153" spans="1:10" ht="13.5" customHeight="1" x14ac:dyDescent="0.2">
      <c r="B153" s="59">
        <f t="shared" ref="B153:B250" si="29">B152+1</f>
        <v>124</v>
      </c>
      <c r="C153" s="8"/>
      <c r="D153" s="14"/>
      <c r="E153" s="72"/>
      <c r="F153" s="118" t="s">
        <v>121</v>
      </c>
      <c r="G153" s="314"/>
      <c r="H153" s="560">
        <f>H154+H165+H176+H187+H204</f>
        <v>261532</v>
      </c>
      <c r="I153" s="560">
        <f t="shared" ref="I153" si="30">I154+I165+I176+I187+I204</f>
        <v>8322</v>
      </c>
      <c r="J153" s="560">
        <f>I153+H153</f>
        <v>269854</v>
      </c>
    </row>
    <row r="154" spans="1:10" x14ac:dyDescent="0.2">
      <c r="B154" s="59">
        <f t="shared" si="29"/>
        <v>125</v>
      </c>
      <c r="C154" s="8" t="s">
        <v>39</v>
      </c>
      <c r="D154" s="8"/>
      <c r="E154" s="10"/>
      <c r="F154" s="39" t="s">
        <v>40</v>
      </c>
      <c r="G154" s="40"/>
      <c r="H154" s="481">
        <f>H155</f>
        <v>86000</v>
      </c>
      <c r="I154" s="481">
        <f t="shared" ref="I154" si="31">I155</f>
        <v>6325</v>
      </c>
      <c r="J154" s="481">
        <f>H154+I154</f>
        <v>92325</v>
      </c>
    </row>
    <row r="155" spans="1:10" x14ac:dyDescent="0.2">
      <c r="B155" s="59">
        <f t="shared" si="29"/>
        <v>126</v>
      </c>
      <c r="C155" s="48"/>
      <c r="D155" s="37" t="s">
        <v>41</v>
      </c>
      <c r="E155" s="45" t="s">
        <v>20</v>
      </c>
      <c r="F155" s="44" t="s">
        <v>76</v>
      </c>
      <c r="G155" s="40"/>
      <c r="H155" s="478">
        <f>SUM(H156:H163)</f>
        <v>86000</v>
      </c>
      <c r="I155" s="478">
        <f t="shared" ref="I155" si="32">SUM(I156:I163)</f>
        <v>6325</v>
      </c>
      <c r="J155" s="478">
        <f>H155+I155</f>
        <v>92325</v>
      </c>
    </row>
    <row r="156" spans="1:10" x14ac:dyDescent="0.2">
      <c r="B156" s="59">
        <f t="shared" si="29"/>
        <v>127</v>
      </c>
      <c r="C156" s="48"/>
      <c r="D156" s="37"/>
      <c r="E156" s="45"/>
      <c r="F156" s="44"/>
      <c r="G156" s="315" t="s">
        <v>458</v>
      </c>
      <c r="H156" s="478">
        <v>40000</v>
      </c>
      <c r="I156" s="478"/>
      <c r="J156" s="478">
        <f t="shared" ref="J156:J204" si="33">H156+I156</f>
        <v>40000</v>
      </c>
    </row>
    <row r="157" spans="1:10" x14ac:dyDescent="0.2">
      <c r="B157" s="59">
        <f t="shared" si="29"/>
        <v>128</v>
      </c>
      <c r="C157" s="48"/>
      <c r="D157" s="37"/>
      <c r="E157" s="45"/>
      <c r="F157" s="44"/>
      <c r="G157" s="315" t="s">
        <v>459</v>
      </c>
      <c r="H157" s="478">
        <v>2000</v>
      </c>
      <c r="I157" s="478"/>
      <c r="J157" s="478">
        <f t="shared" si="33"/>
        <v>2000</v>
      </c>
    </row>
    <row r="158" spans="1:10" x14ac:dyDescent="0.2">
      <c r="B158" s="59">
        <f t="shared" si="29"/>
        <v>129</v>
      </c>
      <c r="C158" s="48"/>
      <c r="D158" s="37"/>
      <c r="E158" s="45"/>
      <c r="F158" s="44"/>
      <c r="G158" s="315" t="s">
        <v>460</v>
      </c>
      <c r="H158" s="478">
        <v>3000</v>
      </c>
      <c r="I158" s="478"/>
      <c r="J158" s="478">
        <f t="shared" si="33"/>
        <v>3000</v>
      </c>
    </row>
    <row r="159" spans="1:10" x14ac:dyDescent="0.2">
      <c r="B159" s="59">
        <f t="shared" si="29"/>
        <v>130</v>
      </c>
      <c r="C159" s="48"/>
      <c r="D159" s="37"/>
      <c r="E159" s="45"/>
      <c r="F159" s="44"/>
      <c r="G159" s="315" t="s">
        <v>461</v>
      </c>
      <c r="H159" s="478">
        <v>2400</v>
      </c>
      <c r="I159" s="478">
        <v>3000</v>
      </c>
      <c r="J159" s="478">
        <f t="shared" si="33"/>
        <v>5400</v>
      </c>
    </row>
    <row r="160" spans="1:10" x14ac:dyDescent="0.2">
      <c r="B160" s="59">
        <f t="shared" si="29"/>
        <v>131</v>
      </c>
      <c r="C160" s="48"/>
      <c r="D160" s="37"/>
      <c r="E160" s="45"/>
      <c r="F160" s="44"/>
      <c r="G160" s="315" t="s">
        <v>462</v>
      </c>
      <c r="H160" s="478">
        <v>1500</v>
      </c>
      <c r="I160" s="478"/>
      <c r="J160" s="478">
        <f t="shared" si="33"/>
        <v>1500</v>
      </c>
    </row>
    <row r="161" spans="2:10" x14ac:dyDescent="0.2">
      <c r="B161" s="59">
        <f t="shared" si="29"/>
        <v>132</v>
      </c>
      <c r="C161" s="48"/>
      <c r="D161" s="37"/>
      <c r="E161" s="45"/>
      <c r="F161" s="44"/>
      <c r="G161" s="315" t="s">
        <v>463</v>
      </c>
      <c r="H161" s="478">
        <v>6000</v>
      </c>
      <c r="I161" s="478">
        <v>129</v>
      </c>
      <c r="J161" s="478">
        <f t="shared" si="33"/>
        <v>6129</v>
      </c>
    </row>
    <row r="162" spans="2:10" x14ac:dyDescent="0.2">
      <c r="B162" s="59">
        <f t="shared" si="29"/>
        <v>133</v>
      </c>
      <c r="C162" s="48"/>
      <c r="D162" s="37"/>
      <c r="E162" s="45"/>
      <c r="F162" s="44"/>
      <c r="G162" s="315" t="s">
        <v>464</v>
      </c>
      <c r="H162" s="478">
        <v>15000</v>
      </c>
      <c r="I162" s="478">
        <v>242</v>
      </c>
      <c r="J162" s="478">
        <f t="shared" si="33"/>
        <v>15242</v>
      </c>
    </row>
    <row r="163" spans="2:10" x14ac:dyDescent="0.2">
      <c r="B163" s="59">
        <f t="shared" si="29"/>
        <v>134</v>
      </c>
      <c r="C163" s="48"/>
      <c r="D163" s="37"/>
      <c r="E163" s="45"/>
      <c r="F163" s="44"/>
      <c r="G163" s="315" t="s">
        <v>465</v>
      </c>
      <c r="H163" s="478">
        <v>16100</v>
      </c>
      <c r="I163" s="478">
        <v>2954</v>
      </c>
      <c r="J163" s="478">
        <f t="shared" si="33"/>
        <v>19054</v>
      </c>
    </row>
    <row r="164" spans="2:10" x14ac:dyDescent="0.2">
      <c r="B164" s="59">
        <f t="shared" si="29"/>
        <v>135</v>
      </c>
      <c r="C164" s="48"/>
      <c r="D164" s="37"/>
      <c r="E164" s="45"/>
      <c r="F164" s="44"/>
      <c r="G164" s="315"/>
      <c r="H164" s="478"/>
      <c r="I164" s="478"/>
      <c r="J164" s="478"/>
    </row>
    <row r="165" spans="2:10" x14ac:dyDescent="0.2">
      <c r="B165" s="59">
        <f t="shared" si="29"/>
        <v>136</v>
      </c>
      <c r="C165" s="8" t="s">
        <v>46</v>
      </c>
      <c r="D165" s="48"/>
      <c r="E165" s="49"/>
      <c r="F165" s="39" t="s">
        <v>47</v>
      </c>
      <c r="G165" s="40"/>
      <c r="H165" s="481">
        <f>H166</f>
        <v>77200</v>
      </c>
      <c r="I165" s="481">
        <f t="shared" ref="I165" si="34">I166</f>
        <v>0</v>
      </c>
      <c r="J165" s="481">
        <f t="shared" si="33"/>
        <v>77200</v>
      </c>
    </row>
    <row r="166" spans="2:10" x14ac:dyDescent="0.2">
      <c r="B166" s="59">
        <f t="shared" si="29"/>
        <v>137</v>
      </c>
      <c r="C166" s="48"/>
      <c r="D166" s="38" t="s">
        <v>53</v>
      </c>
      <c r="E166" s="38" t="s">
        <v>28</v>
      </c>
      <c r="F166" s="164" t="s">
        <v>78</v>
      </c>
      <c r="G166" s="40"/>
      <c r="H166" s="478">
        <f>SUM(H167:H174)</f>
        <v>77200</v>
      </c>
      <c r="I166" s="478">
        <f t="shared" ref="I166" si="35">SUM(I167:I174)</f>
        <v>0</v>
      </c>
      <c r="J166" s="478">
        <f t="shared" si="33"/>
        <v>77200</v>
      </c>
    </row>
    <row r="167" spans="2:10" x14ac:dyDescent="0.2">
      <c r="B167" s="59">
        <f t="shared" si="29"/>
        <v>138</v>
      </c>
      <c r="C167" s="48"/>
      <c r="D167" s="38"/>
      <c r="E167" s="38"/>
      <c r="F167" s="44"/>
      <c r="G167" s="315" t="s">
        <v>458</v>
      </c>
      <c r="H167" s="478">
        <v>10300</v>
      </c>
      <c r="I167" s="478"/>
      <c r="J167" s="478">
        <f t="shared" si="33"/>
        <v>10300</v>
      </c>
    </row>
    <row r="168" spans="2:10" x14ac:dyDescent="0.2">
      <c r="B168" s="59">
        <f t="shared" si="29"/>
        <v>139</v>
      </c>
      <c r="C168" s="48"/>
      <c r="D168" s="38"/>
      <c r="E168" s="38"/>
      <c r="F168" s="44"/>
      <c r="G168" s="315" t="s">
        <v>459</v>
      </c>
      <c r="H168" s="478">
        <v>11000</v>
      </c>
      <c r="I168" s="478"/>
      <c r="J168" s="478">
        <f t="shared" si="33"/>
        <v>11000</v>
      </c>
    </row>
    <row r="169" spans="2:10" x14ac:dyDescent="0.2">
      <c r="B169" s="59">
        <f t="shared" si="29"/>
        <v>140</v>
      </c>
      <c r="C169" s="48"/>
      <c r="D169" s="38"/>
      <c r="E169" s="38"/>
      <c r="F169" s="44"/>
      <c r="G169" s="316" t="s">
        <v>460</v>
      </c>
      <c r="H169" s="478">
        <v>8100</v>
      </c>
      <c r="I169" s="478"/>
      <c r="J169" s="478">
        <f t="shared" si="33"/>
        <v>8100</v>
      </c>
    </row>
    <row r="170" spans="2:10" ht="12.75" customHeight="1" x14ac:dyDescent="0.2">
      <c r="B170" s="59">
        <f t="shared" si="29"/>
        <v>141</v>
      </c>
      <c r="C170" s="48"/>
      <c r="D170" s="38"/>
      <c r="E170" s="38"/>
      <c r="F170" s="44"/>
      <c r="G170" s="316" t="s">
        <v>461</v>
      </c>
      <c r="H170" s="478">
        <v>6500</v>
      </c>
      <c r="I170" s="478"/>
      <c r="J170" s="478">
        <f t="shared" si="33"/>
        <v>6500</v>
      </c>
    </row>
    <row r="171" spans="2:10" ht="12.75" customHeight="1" x14ac:dyDescent="0.2">
      <c r="B171" s="59">
        <f t="shared" si="29"/>
        <v>142</v>
      </c>
      <c r="C171" s="48"/>
      <c r="D171" s="38"/>
      <c r="E171" s="38"/>
      <c r="F171" s="44"/>
      <c r="G171" s="316" t="s">
        <v>462</v>
      </c>
      <c r="H171" s="478">
        <v>12000</v>
      </c>
      <c r="I171" s="478"/>
      <c r="J171" s="478">
        <f t="shared" si="33"/>
        <v>12000</v>
      </c>
    </row>
    <row r="172" spans="2:10" ht="12.75" customHeight="1" x14ac:dyDescent="0.2">
      <c r="B172" s="59">
        <f t="shared" si="29"/>
        <v>143</v>
      </c>
      <c r="C172" s="48"/>
      <c r="D172" s="38"/>
      <c r="E172" s="38"/>
      <c r="F172" s="44"/>
      <c r="G172" s="316" t="s">
        <v>463</v>
      </c>
      <c r="H172" s="478">
        <v>4400</v>
      </c>
      <c r="I172" s="478"/>
      <c r="J172" s="478">
        <f t="shared" si="33"/>
        <v>4400</v>
      </c>
    </row>
    <row r="173" spans="2:10" ht="12.75" customHeight="1" x14ac:dyDescent="0.2">
      <c r="B173" s="59">
        <f t="shared" si="29"/>
        <v>144</v>
      </c>
      <c r="C173" s="48"/>
      <c r="D173" s="38"/>
      <c r="E173" s="38"/>
      <c r="F173" s="44"/>
      <c r="G173" s="315" t="s">
        <v>464</v>
      </c>
      <c r="H173" s="478">
        <v>4900</v>
      </c>
      <c r="I173" s="478"/>
      <c r="J173" s="478">
        <f t="shared" si="33"/>
        <v>4900</v>
      </c>
    </row>
    <row r="174" spans="2:10" ht="12.75" customHeight="1" x14ac:dyDescent="0.2">
      <c r="B174" s="59">
        <f t="shared" si="29"/>
        <v>145</v>
      </c>
      <c r="C174" s="48"/>
      <c r="D174" s="38"/>
      <c r="E174" s="38"/>
      <c r="F174" s="44"/>
      <c r="G174" s="315" t="s">
        <v>465</v>
      </c>
      <c r="H174" s="478">
        <v>20000</v>
      </c>
      <c r="I174" s="478"/>
      <c r="J174" s="478">
        <f t="shared" si="33"/>
        <v>20000</v>
      </c>
    </row>
    <row r="175" spans="2:10" x14ac:dyDescent="0.2">
      <c r="B175" s="59">
        <f t="shared" si="29"/>
        <v>146</v>
      </c>
      <c r="C175" s="48"/>
      <c r="D175" s="38"/>
      <c r="E175" s="38"/>
      <c r="F175" s="40"/>
      <c r="G175" s="315"/>
      <c r="H175" s="478"/>
      <c r="I175" s="478"/>
      <c r="J175" s="478"/>
    </row>
    <row r="176" spans="2:10" x14ac:dyDescent="0.2">
      <c r="B176" s="59">
        <f t="shared" si="29"/>
        <v>147</v>
      </c>
      <c r="C176" s="55" t="s">
        <v>57</v>
      </c>
      <c r="D176" s="54"/>
      <c r="E176" s="56"/>
      <c r="F176" s="57" t="s">
        <v>58</v>
      </c>
      <c r="G176" s="329"/>
      <c r="H176" s="490">
        <f>H177</f>
        <v>30</v>
      </c>
      <c r="I176" s="490">
        <f t="shared" ref="I176" si="36">I177</f>
        <v>0</v>
      </c>
      <c r="J176" s="481">
        <f t="shared" si="33"/>
        <v>30</v>
      </c>
    </row>
    <row r="177" spans="2:10" x14ac:dyDescent="0.2">
      <c r="B177" s="59">
        <f t="shared" si="29"/>
        <v>148</v>
      </c>
      <c r="C177" s="48"/>
      <c r="D177" s="38" t="s">
        <v>502</v>
      </c>
      <c r="E177" s="38"/>
      <c r="F177" s="163" t="s">
        <v>503</v>
      </c>
      <c r="G177" s="315"/>
      <c r="H177" s="478">
        <f>SUM(H178:H185)</f>
        <v>30</v>
      </c>
      <c r="I177" s="478">
        <f t="shared" ref="I177" si="37">SUM(I178:I185)</f>
        <v>0</v>
      </c>
      <c r="J177" s="478">
        <f t="shared" si="33"/>
        <v>30</v>
      </c>
    </row>
    <row r="178" spans="2:10" x14ac:dyDescent="0.2">
      <c r="B178" s="59">
        <f t="shared" si="29"/>
        <v>149</v>
      </c>
      <c r="C178" s="48"/>
      <c r="D178" s="38"/>
      <c r="E178" s="38"/>
      <c r="F178" s="40"/>
      <c r="G178" s="315" t="s">
        <v>458</v>
      </c>
      <c r="H178" s="478">
        <v>5</v>
      </c>
      <c r="I178" s="478"/>
      <c r="J178" s="478">
        <f t="shared" si="33"/>
        <v>5</v>
      </c>
    </row>
    <row r="179" spans="2:10" x14ac:dyDescent="0.2">
      <c r="B179" s="59">
        <f t="shared" si="29"/>
        <v>150</v>
      </c>
      <c r="C179" s="48"/>
      <c r="D179" s="38"/>
      <c r="E179" s="38"/>
      <c r="F179" s="40"/>
      <c r="G179" s="315" t="s">
        <v>459</v>
      </c>
      <c r="H179" s="478">
        <v>2</v>
      </c>
      <c r="I179" s="478"/>
      <c r="J179" s="478">
        <f t="shared" si="33"/>
        <v>2</v>
      </c>
    </row>
    <row r="180" spans="2:10" x14ac:dyDescent="0.2">
      <c r="B180" s="59">
        <f t="shared" si="29"/>
        <v>151</v>
      </c>
      <c r="C180" s="48"/>
      <c r="D180" s="38"/>
      <c r="E180" s="38"/>
      <c r="F180" s="40"/>
      <c r="G180" s="315" t="s">
        <v>460</v>
      </c>
      <c r="H180" s="478">
        <v>5</v>
      </c>
      <c r="I180" s="478"/>
      <c r="J180" s="478">
        <f t="shared" si="33"/>
        <v>5</v>
      </c>
    </row>
    <row r="181" spans="2:10" x14ac:dyDescent="0.2">
      <c r="B181" s="59">
        <f t="shared" si="29"/>
        <v>152</v>
      </c>
      <c r="C181" s="48"/>
      <c r="D181" s="38"/>
      <c r="E181" s="38"/>
      <c r="F181" s="40"/>
      <c r="G181" s="315" t="s">
        <v>461</v>
      </c>
      <c r="H181" s="478">
        <v>3</v>
      </c>
      <c r="I181" s="478"/>
      <c r="J181" s="478">
        <f t="shared" si="33"/>
        <v>3</v>
      </c>
    </row>
    <row r="182" spans="2:10" x14ac:dyDescent="0.2">
      <c r="B182" s="59">
        <f t="shared" si="29"/>
        <v>153</v>
      </c>
      <c r="C182" s="48"/>
      <c r="D182" s="38"/>
      <c r="E182" s="38"/>
      <c r="F182" s="40"/>
      <c r="G182" s="315" t="s">
        <v>463</v>
      </c>
      <c r="H182" s="478">
        <v>2</v>
      </c>
      <c r="I182" s="478"/>
      <c r="J182" s="478">
        <f t="shared" si="33"/>
        <v>2</v>
      </c>
    </row>
    <row r="183" spans="2:10" x14ac:dyDescent="0.2">
      <c r="B183" s="59">
        <f t="shared" si="29"/>
        <v>154</v>
      </c>
      <c r="C183" s="48"/>
      <c r="D183" s="38"/>
      <c r="E183" s="38"/>
      <c r="F183" s="40"/>
      <c r="G183" s="315" t="s">
        <v>462</v>
      </c>
      <c r="H183" s="478">
        <v>2</v>
      </c>
      <c r="I183" s="478"/>
      <c r="J183" s="478">
        <f t="shared" si="33"/>
        <v>2</v>
      </c>
    </row>
    <row r="184" spans="2:10" x14ac:dyDescent="0.2">
      <c r="B184" s="59">
        <f t="shared" si="29"/>
        <v>155</v>
      </c>
      <c r="C184" s="48"/>
      <c r="D184" s="38"/>
      <c r="E184" s="38"/>
      <c r="F184" s="40"/>
      <c r="G184" s="315" t="s">
        <v>464</v>
      </c>
      <c r="H184" s="478">
        <v>5</v>
      </c>
      <c r="I184" s="478"/>
      <c r="J184" s="478">
        <f t="shared" si="33"/>
        <v>5</v>
      </c>
    </row>
    <row r="185" spans="2:10" x14ac:dyDescent="0.2">
      <c r="B185" s="59">
        <f t="shared" si="29"/>
        <v>156</v>
      </c>
      <c r="C185" s="48"/>
      <c r="D185" s="38"/>
      <c r="E185" s="38"/>
      <c r="F185" s="40"/>
      <c r="G185" s="315" t="s">
        <v>465</v>
      </c>
      <c r="H185" s="478">
        <v>6</v>
      </c>
      <c r="I185" s="478"/>
      <c r="J185" s="478">
        <f t="shared" si="33"/>
        <v>6</v>
      </c>
    </row>
    <row r="186" spans="2:10" x14ac:dyDescent="0.2">
      <c r="B186" s="59">
        <f t="shared" si="29"/>
        <v>157</v>
      </c>
      <c r="C186" s="48"/>
      <c r="D186" s="38"/>
      <c r="E186" s="38"/>
      <c r="F186" s="40"/>
      <c r="G186" s="315"/>
      <c r="H186" s="478"/>
      <c r="I186" s="478"/>
      <c r="J186" s="478">
        <f t="shared" si="33"/>
        <v>0</v>
      </c>
    </row>
    <row r="187" spans="2:10" x14ac:dyDescent="0.2">
      <c r="B187" s="59">
        <f t="shared" si="29"/>
        <v>158</v>
      </c>
      <c r="C187" s="8" t="s">
        <v>79</v>
      </c>
      <c r="D187" s="48"/>
      <c r="E187" s="49"/>
      <c r="F187" s="39" t="s">
        <v>597</v>
      </c>
      <c r="G187" s="40"/>
      <c r="H187" s="481">
        <f>H188+H197+H200</f>
        <v>74077</v>
      </c>
      <c r="I187" s="481">
        <f t="shared" ref="I187" si="38">I188+I197+I200</f>
        <v>1997</v>
      </c>
      <c r="J187" s="481">
        <f t="shared" si="33"/>
        <v>76074</v>
      </c>
    </row>
    <row r="188" spans="2:10" x14ac:dyDescent="0.2">
      <c r="B188" s="59">
        <f t="shared" si="29"/>
        <v>159</v>
      </c>
      <c r="C188" s="48"/>
      <c r="D188" s="38" t="s">
        <v>81</v>
      </c>
      <c r="E188" s="38" t="s">
        <v>598</v>
      </c>
      <c r="F188" s="164" t="s">
        <v>599</v>
      </c>
      <c r="G188" s="40"/>
      <c r="H188" s="478">
        <f>SUM(H189:H195)</f>
        <v>72545</v>
      </c>
      <c r="I188" s="478">
        <f t="shared" ref="I188" si="39">SUM(I189:I195)</f>
        <v>0</v>
      </c>
      <c r="J188" s="478">
        <f t="shared" si="33"/>
        <v>72545</v>
      </c>
    </row>
    <row r="189" spans="2:10" x14ac:dyDescent="0.2">
      <c r="B189" s="59">
        <f t="shared" si="29"/>
        <v>160</v>
      </c>
      <c r="C189" s="48"/>
      <c r="D189" s="38"/>
      <c r="E189" s="38"/>
      <c r="F189" s="44"/>
      <c r="G189" s="315" t="s">
        <v>458</v>
      </c>
      <c r="H189" s="478">
        <v>14645</v>
      </c>
      <c r="I189" s="478"/>
      <c r="J189" s="478">
        <f t="shared" si="33"/>
        <v>14645</v>
      </c>
    </row>
    <row r="190" spans="2:10" x14ac:dyDescent="0.2">
      <c r="B190" s="59">
        <f t="shared" si="29"/>
        <v>161</v>
      </c>
      <c r="C190" s="48"/>
      <c r="D190" s="38"/>
      <c r="E190" s="38"/>
      <c r="F190" s="44"/>
      <c r="G190" s="315" t="s">
        <v>459</v>
      </c>
      <c r="H190" s="478">
        <v>12000</v>
      </c>
      <c r="I190" s="478"/>
      <c r="J190" s="478">
        <f t="shared" si="33"/>
        <v>12000</v>
      </c>
    </row>
    <row r="191" spans="2:10" x14ac:dyDescent="0.2">
      <c r="B191" s="59">
        <f t="shared" si="29"/>
        <v>162</v>
      </c>
      <c r="C191" s="48"/>
      <c r="D191" s="38"/>
      <c r="E191" s="38"/>
      <c r="F191" s="44"/>
      <c r="G191" s="316" t="s">
        <v>460</v>
      </c>
      <c r="H191" s="478">
        <v>8200</v>
      </c>
      <c r="I191" s="478"/>
      <c r="J191" s="478">
        <f t="shared" si="33"/>
        <v>8200</v>
      </c>
    </row>
    <row r="192" spans="2:10" x14ac:dyDescent="0.2">
      <c r="B192" s="59">
        <f t="shared" si="29"/>
        <v>163</v>
      </c>
      <c r="C192" s="48"/>
      <c r="D192" s="38"/>
      <c r="E192" s="38"/>
      <c r="F192" s="44"/>
      <c r="G192" s="316" t="s">
        <v>461</v>
      </c>
      <c r="H192" s="478">
        <v>5400</v>
      </c>
      <c r="I192" s="478"/>
      <c r="J192" s="478">
        <f t="shared" si="33"/>
        <v>5400</v>
      </c>
    </row>
    <row r="193" spans="2:10" x14ac:dyDescent="0.2">
      <c r="B193" s="59">
        <f t="shared" si="29"/>
        <v>164</v>
      </c>
      <c r="C193" s="48"/>
      <c r="D193" s="38"/>
      <c r="E193" s="38"/>
      <c r="F193" s="44"/>
      <c r="G193" s="316" t="s">
        <v>462</v>
      </c>
      <c r="H193" s="478">
        <v>11000</v>
      </c>
      <c r="I193" s="478"/>
      <c r="J193" s="478">
        <f t="shared" si="33"/>
        <v>11000</v>
      </c>
    </row>
    <row r="194" spans="2:10" x14ac:dyDescent="0.2">
      <c r="B194" s="59">
        <f t="shared" si="29"/>
        <v>165</v>
      </c>
      <c r="C194" s="48"/>
      <c r="D194" s="38"/>
      <c r="E194" s="38"/>
      <c r="F194" s="44"/>
      <c r="G194" s="316" t="s">
        <v>463</v>
      </c>
      <c r="H194" s="478">
        <v>8300</v>
      </c>
      <c r="I194" s="478"/>
      <c r="J194" s="478">
        <f t="shared" si="33"/>
        <v>8300</v>
      </c>
    </row>
    <row r="195" spans="2:10" x14ac:dyDescent="0.2">
      <c r="B195" s="59">
        <f t="shared" si="29"/>
        <v>166</v>
      </c>
      <c r="C195" s="48"/>
      <c r="D195" s="38"/>
      <c r="E195" s="38"/>
      <c r="F195" s="44"/>
      <c r="G195" s="315" t="s">
        <v>464</v>
      </c>
      <c r="H195" s="478">
        <v>13000</v>
      </c>
      <c r="I195" s="478"/>
      <c r="J195" s="478">
        <f t="shared" si="33"/>
        <v>13000</v>
      </c>
    </row>
    <row r="196" spans="2:10" x14ac:dyDescent="0.2">
      <c r="B196" s="59">
        <f t="shared" si="29"/>
        <v>167</v>
      </c>
      <c r="C196" s="48"/>
      <c r="D196" s="38"/>
      <c r="E196" s="38"/>
      <c r="F196" s="44"/>
      <c r="G196" s="315"/>
      <c r="H196" s="478"/>
      <c r="I196" s="478"/>
      <c r="J196" s="478"/>
    </row>
    <row r="197" spans="2:10" x14ac:dyDescent="0.2">
      <c r="B197" s="59">
        <f t="shared" si="29"/>
        <v>168</v>
      </c>
      <c r="C197" s="48"/>
      <c r="D197" s="38" t="s">
        <v>602</v>
      </c>
      <c r="E197" s="38"/>
      <c r="F197" s="164" t="s">
        <v>743</v>
      </c>
      <c r="G197" s="315"/>
      <c r="H197" s="478">
        <f>H198+H199</f>
        <v>636</v>
      </c>
      <c r="I197" s="478">
        <f t="shared" ref="I197" si="40">I198+I199</f>
        <v>70</v>
      </c>
      <c r="J197" s="478">
        <f t="shared" si="33"/>
        <v>706</v>
      </c>
    </row>
    <row r="198" spans="2:10" x14ac:dyDescent="0.2">
      <c r="B198" s="59">
        <f t="shared" si="29"/>
        <v>169</v>
      </c>
      <c r="C198" s="48"/>
      <c r="D198" s="38"/>
      <c r="E198" s="38"/>
      <c r="F198" s="44"/>
      <c r="G198" s="316" t="s">
        <v>463</v>
      </c>
      <c r="H198" s="478">
        <f>85+54+97</f>
        <v>236</v>
      </c>
      <c r="I198" s="478">
        <v>70</v>
      </c>
      <c r="J198" s="478">
        <f t="shared" si="33"/>
        <v>306</v>
      </c>
    </row>
    <row r="199" spans="2:10" x14ac:dyDescent="0.2">
      <c r="B199" s="59">
        <f t="shared" si="29"/>
        <v>170</v>
      </c>
      <c r="C199" s="48"/>
      <c r="D199" s="38"/>
      <c r="E199" s="38"/>
      <c r="F199" s="44"/>
      <c r="G199" s="315" t="s">
        <v>459</v>
      </c>
      <c r="H199" s="478">
        <f>200+200</f>
        <v>400</v>
      </c>
      <c r="I199" s="478"/>
      <c r="J199" s="478">
        <f t="shared" si="33"/>
        <v>400</v>
      </c>
    </row>
    <row r="200" spans="2:10" x14ac:dyDescent="0.2">
      <c r="B200" s="59">
        <f t="shared" si="29"/>
        <v>171</v>
      </c>
      <c r="C200" s="48"/>
      <c r="D200" s="38" t="s">
        <v>81</v>
      </c>
      <c r="E200" s="38"/>
      <c r="F200" s="164" t="s">
        <v>267</v>
      </c>
      <c r="G200" s="316"/>
      <c r="H200" s="478">
        <f>H201</f>
        <v>896</v>
      </c>
      <c r="I200" s="478">
        <f>I201+I202</f>
        <v>1927</v>
      </c>
      <c r="J200" s="478">
        <f t="shared" si="33"/>
        <v>2823</v>
      </c>
    </row>
    <row r="201" spans="2:10" x14ac:dyDescent="0.2">
      <c r="B201" s="59">
        <f t="shared" si="29"/>
        <v>172</v>
      </c>
      <c r="C201" s="48"/>
      <c r="D201" s="38"/>
      <c r="E201" s="38"/>
      <c r="F201" s="44"/>
      <c r="G201" s="316" t="s">
        <v>460</v>
      </c>
      <c r="H201" s="478">
        <v>896</v>
      </c>
      <c r="I201" s="478">
        <v>1624</v>
      </c>
      <c r="J201" s="478">
        <f t="shared" si="33"/>
        <v>2520</v>
      </c>
    </row>
    <row r="202" spans="2:10" x14ac:dyDescent="0.2">
      <c r="B202" s="59">
        <f t="shared" si="29"/>
        <v>173</v>
      </c>
      <c r="C202" s="48"/>
      <c r="D202" s="38"/>
      <c r="E202" s="38"/>
      <c r="F202" s="44"/>
      <c r="G202" s="316" t="s">
        <v>877</v>
      </c>
      <c r="H202" s="478">
        <v>0</v>
      </c>
      <c r="I202" s="478">
        <v>303</v>
      </c>
      <c r="J202" s="478">
        <f t="shared" si="33"/>
        <v>303</v>
      </c>
    </row>
    <row r="203" spans="2:10" x14ac:dyDescent="0.2">
      <c r="B203" s="59">
        <f t="shared" si="29"/>
        <v>174</v>
      </c>
      <c r="C203" s="48"/>
      <c r="D203" s="38"/>
      <c r="E203" s="38"/>
      <c r="F203" s="44"/>
      <c r="G203" s="316"/>
      <c r="H203" s="478"/>
      <c r="I203" s="478"/>
      <c r="J203" s="478"/>
    </row>
    <row r="204" spans="2:10" x14ac:dyDescent="0.2">
      <c r="B204" s="59">
        <f t="shared" si="29"/>
        <v>175</v>
      </c>
      <c r="C204" s="48"/>
      <c r="D204" s="38"/>
      <c r="E204" s="38"/>
      <c r="F204" s="44" t="s">
        <v>663</v>
      </c>
      <c r="G204" s="315"/>
      <c r="H204" s="481">
        <v>24225</v>
      </c>
      <c r="I204" s="481"/>
      <c r="J204" s="481">
        <f t="shared" si="33"/>
        <v>24225</v>
      </c>
    </row>
    <row r="205" spans="2:10" x14ac:dyDescent="0.2">
      <c r="B205" s="59">
        <f t="shared" si="29"/>
        <v>176</v>
      </c>
      <c r="C205" s="48"/>
      <c r="D205" s="38"/>
      <c r="E205" s="38"/>
      <c r="F205" s="40"/>
      <c r="G205" s="315"/>
      <c r="H205" s="478"/>
      <c r="I205" s="478"/>
      <c r="J205" s="478"/>
    </row>
    <row r="206" spans="2:10" ht="12.75" customHeight="1" x14ac:dyDescent="0.2">
      <c r="B206" s="59">
        <f t="shared" si="29"/>
        <v>177</v>
      </c>
      <c r="C206" s="8"/>
      <c r="D206" s="14"/>
      <c r="E206" s="10"/>
      <c r="F206" s="118" t="s">
        <v>119</v>
      </c>
      <c r="G206" s="314"/>
      <c r="H206" s="477">
        <f>91000+194</f>
        <v>91194</v>
      </c>
      <c r="I206" s="477">
        <v>6000</v>
      </c>
      <c r="J206" s="477">
        <f>H206+I206</f>
        <v>97194</v>
      </c>
    </row>
    <row r="207" spans="2:10" ht="12.75" customHeight="1" x14ac:dyDescent="0.2">
      <c r="B207" s="59">
        <f t="shared" si="29"/>
        <v>178</v>
      </c>
      <c r="C207" s="8"/>
      <c r="D207" s="14"/>
      <c r="E207" s="10"/>
      <c r="F207" s="118" t="s">
        <v>677</v>
      </c>
      <c r="G207" s="314"/>
      <c r="H207" s="477">
        <f>2364+4130+480</f>
        <v>6974</v>
      </c>
      <c r="I207" s="477">
        <f>2774-374</f>
        <v>2400</v>
      </c>
      <c r="J207" s="477">
        <f t="shared" ref="J207:J208" si="41">H207+I207</f>
        <v>9374</v>
      </c>
    </row>
    <row r="208" spans="2:10" ht="12.75" customHeight="1" thickBot="1" x14ac:dyDescent="0.25">
      <c r="B208" s="581">
        <f t="shared" si="29"/>
        <v>179</v>
      </c>
      <c r="C208" s="303"/>
      <c r="D208" s="368"/>
      <c r="E208" s="369"/>
      <c r="F208" s="189" t="s">
        <v>678</v>
      </c>
      <c r="G208" s="313"/>
      <c r="H208" s="582">
        <v>20400</v>
      </c>
      <c r="I208" s="794"/>
      <c r="J208" s="794">
        <f t="shared" si="41"/>
        <v>20400</v>
      </c>
    </row>
    <row r="209" spans="2:8" ht="12" customHeight="1" x14ac:dyDescent="0.2">
      <c r="B209" s="583"/>
      <c r="C209" s="584"/>
      <c r="D209" s="585"/>
      <c r="E209" s="586"/>
      <c r="F209" s="587"/>
      <c r="G209" s="588"/>
      <c r="H209" s="589"/>
    </row>
    <row r="210" spans="2:8" ht="12" customHeight="1" x14ac:dyDescent="0.2">
      <c r="B210" s="590"/>
      <c r="C210" s="253"/>
      <c r="D210" s="591"/>
      <c r="E210" s="255"/>
      <c r="F210" s="592"/>
      <c r="G210" s="257"/>
      <c r="H210" s="252"/>
    </row>
    <row r="211" spans="2:8" ht="12" customHeight="1" x14ac:dyDescent="0.2">
      <c r="B211" s="590"/>
      <c r="C211" s="253"/>
      <c r="D211" s="591"/>
      <c r="E211" s="255"/>
      <c r="F211" s="592"/>
      <c r="G211" s="257"/>
      <c r="H211" s="252"/>
    </row>
    <row r="212" spans="2:8" ht="12" customHeight="1" x14ac:dyDescent="0.2">
      <c r="B212" s="590"/>
      <c r="C212" s="253"/>
      <c r="D212" s="591"/>
      <c r="E212" s="255"/>
      <c r="F212" s="592"/>
      <c r="G212" s="257"/>
      <c r="H212" s="252"/>
    </row>
    <row r="213" spans="2:8" ht="12" customHeight="1" x14ac:dyDescent="0.2">
      <c r="B213" s="590"/>
      <c r="C213" s="253"/>
      <c r="D213" s="591"/>
      <c r="E213" s="255"/>
      <c r="F213" s="592"/>
      <c r="G213" s="257"/>
      <c r="H213" s="252"/>
    </row>
    <row r="214" spans="2:8" ht="12" customHeight="1" x14ac:dyDescent="0.2">
      <c r="B214" s="590"/>
      <c r="C214" s="253"/>
      <c r="D214" s="591"/>
      <c r="E214" s="255"/>
      <c r="F214" s="592"/>
      <c r="G214" s="257"/>
      <c r="H214" s="252"/>
    </row>
    <row r="215" spans="2:8" ht="12" customHeight="1" x14ac:dyDescent="0.2">
      <c r="B215" s="590"/>
      <c r="C215" s="253"/>
      <c r="D215" s="591"/>
      <c r="E215" s="255"/>
      <c r="F215" s="592"/>
      <c r="G215" s="257"/>
      <c r="H215" s="252"/>
    </row>
    <row r="216" spans="2:8" ht="12" customHeight="1" x14ac:dyDescent="0.2">
      <c r="B216" s="590"/>
      <c r="C216" s="253"/>
      <c r="D216" s="591"/>
      <c r="E216" s="255"/>
      <c r="F216" s="592"/>
      <c r="G216" s="257"/>
      <c r="H216" s="252"/>
    </row>
    <row r="217" spans="2:8" ht="12" customHeight="1" x14ac:dyDescent="0.2">
      <c r="B217" s="590"/>
      <c r="C217" s="253"/>
      <c r="D217" s="591"/>
      <c r="E217" s="255"/>
      <c r="F217" s="592"/>
      <c r="G217" s="257"/>
      <c r="H217" s="252"/>
    </row>
    <row r="218" spans="2:8" ht="12" customHeight="1" x14ac:dyDescent="0.2">
      <c r="B218" s="590"/>
      <c r="C218" s="253"/>
      <c r="D218" s="591"/>
      <c r="E218" s="255"/>
      <c r="F218" s="592"/>
      <c r="G218" s="257"/>
      <c r="H218" s="252"/>
    </row>
    <row r="219" spans="2:8" ht="12" customHeight="1" x14ac:dyDescent="0.2">
      <c r="B219" s="590"/>
      <c r="C219" s="253"/>
      <c r="D219" s="591"/>
      <c r="E219" s="255"/>
      <c r="F219" s="592"/>
      <c r="G219" s="257"/>
      <c r="H219" s="252"/>
    </row>
    <row r="220" spans="2:8" ht="12" customHeight="1" x14ac:dyDescent="0.2">
      <c r="B220" s="590"/>
      <c r="C220" s="253"/>
      <c r="D220" s="591"/>
      <c r="E220" s="255"/>
      <c r="F220" s="592"/>
      <c r="G220" s="257"/>
      <c r="H220" s="252"/>
    </row>
    <row r="221" spans="2:8" ht="12" customHeight="1" x14ac:dyDescent="0.2">
      <c r="B221" s="590"/>
      <c r="C221" s="253"/>
      <c r="D221" s="591"/>
      <c r="E221" s="255"/>
      <c r="F221" s="592"/>
      <c r="G221" s="257"/>
      <c r="H221" s="252"/>
    </row>
    <row r="222" spans="2:8" ht="12" customHeight="1" x14ac:dyDescent="0.2">
      <c r="B222" s="590"/>
      <c r="C222" s="253"/>
      <c r="D222" s="591"/>
      <c r="E222" s="255"/>
      <c r="F222" s="592"/>
      <c r="G222" s="257"/>
      <c r="H222" s="252"/>
    </row>
    <row r="223" spans="2:8" ht="12" customHeight="1" x14ac:dyDescent="0.2">
      <c r="B223" s="590"/>
      <c r="C223" s="253"/>
      <c r="D223" s="591"/>
      <c r="E223" s="255"/>
      <c r="F223" s="592"/>
      <c r="G223" s="257"/>
      <c r="H223" s="252"/>
    </row>
    <row r="224" spans="2:8" ht="12" customHeight="1" x14ac:dyDescent="0.2">
      <c r="B224" s="590"/>
      <c r="C224" s="253"/>
      <c r="D224" s="591"/>
      <c r="E224" s="255"/>
      <c r="F224" s="592"/>
      <c r="G224" s="257"/>
      <c r="H224" s="252"/>
    </row>
    <row r="225" spans="2:10" ht="12" customHeight="1" x14ac:dyDescent="0.2">
      <c r="B225" s="590"/>
      <c r="C225" s="253"/>
      <c r="D225" s="591"/>
      <c r="E225" s="255"/>
      <c r="F225" s="592"/>
      <c r="G225" s="257"/>
      <c r="H225" s="252"/>
    </row>
    <row r="226" spans="2:10" ht="12" customHeight="1" x14ac:dyDescent="0.2">
      <c r="B226" s="590"/>
      <c r="C226" s="253"/>
      <c r="D226" s="591"/>
      <c r="E226" s="255"/>
      <c r="F226" s="592"/>
      <c r="G226" s="257"/>
      <c r="H226" s="252"/>
    </row>
    <row r="227" spans="2:10" ht="12" customHeight="1" x14ac:dyDescent="0.2">
      <c r="B227" s="590"/>
      <c r="C227" s="253"/>
      <c r="D227" s="591"/>
      <c r="E227" s="255"/>
      <c r="F227" s="592"/>
      <c r="G227" s="257"/>
      <c r="H227" s="252"/>
    </row>
    <row r="228" spans="2:10" ht="12" customHeight="1" x14ac:dyDescent="0.2">
      <c r="B228" s="590"/>
      <c r="C228" s="253"/>
      <c r="D228" s="591"/>
      <c r="E228" s="255"/>
      <c r="F228" s="592"/>
      <c r="G228" s="257"/>
      <c r="H228" s="252"/>
    </row>
    <row r="229" spans="2:10" ht="12" customHeight="1" thickBot="1" x14ac:dyDescent="0.25">
      <c r="B229" s="593"/>
      <c r="C229" s="594"/>
      <c r="D229" s="595"/>
      <c r="E229" s="596"/>
      <c r="F229" s="597"/>
      <c r="G229" s="502"/>
      <c r="H229" s="598"/>
    </row>
    <row r="230" spans="2:10" ht="12" customHeight="1" x14ac:dyDescent="0.2">
      <c r="B230" s="892" t="s">
        <v>9</v>
      </c>
      <c r="C230" s="893"/>
      <c r="D230" s="893"/>
      <c r="E230" s="893"/>
      <c r="F230" s="893"/>
      <c r="G230" s="893"/>
      <c r="H230" s="889" t="s">
        <v>721</v>
      </c>
      <c r="I230" s="889" t="s">
        <v>860</v>
      </c>
      <c r="J230" s="889" t="s">
        <v>721</v>
      </c>
    </row>
    <row r="231" spans="2:10" ht="12" customHeight="1" x14ac:dyDescent="0.2">
      <c r="B231" s="894"/>
      <c r="C231" s="895"/>
      <c r="D231" s="895"/>
      <c r="E231" s="895"/>
      <c r="F231" s="895"/>
      <c r="G231" s="895"/>
      <c r="H231" s="890"/>
      <c r="I231" s="890"/>
      <c r="J231" s="890"/>
    </row>
    <row r="232" spans="2:10" ht="12" customHeight="1" x14ac:dyDescent="0.2">
      <c r="B232" s="79"/>
      <c r="C232" s="896" t="s">
        <v>10</v>
      </c>
      <c r="D232" s="80" t="s">
        <v>11</v>
      </c>
      <c r="E232" s="80" t="s">
        <v>12</v>
      </c>
      <c r="F232" s="81"/>
      <c r="G232" s="81"/>
      <c r="H232" s="890"/>
      <c r="I232" s="890"/>
      <c r="J232" s="890"/>
    </row>
    <row r="233" spans="2:10" ht="12" customHeight="1" thickBot="1" x14ac:dyDescent="0.25">
      <c r="B233" s="83"/>
      <c r="C233" s="897"/>
      <c r="D233" s="85"/>
      <c r="E233" s="84" t="s">
        <v>13</v>
      </c>
      <c r="F233" s="86" t="s">
        <v>14</v>
      </c>
      <c r="G233" s="309"/>
      <c r="H233" s="891"/>
      <c r="I233" s="891"/>
      <c r="J233" s="891"/>
    </row>
    <row r="234" spans="2:10" ht="19.5" customHeight="1" thickTop="1" x14ac:dyDescent="0.2">
      <c r="B234" s="59">
        <f>B208+1</f>
        <v>180</v>
      </c>
      <c r="C234" s="106" t="s">
        <v>79</v>
      </c>
      <c r="D234" s="107"/>
      <c r="E234" s="108"/>
      <c r="F234" s="109" t="s">
        <v>80</v>
      </c>
      <c r="G234" s="317"/>
      <c r="H234" s="479">
        <f>H239+H236</f>
        <v>7186300</v>
      </c>
      <c r="I234" s="479">
        <f t="shared" ref="I234" si="42">I238+I236</f>
        <v>63867</v>
      </c>
      <c r="J234" s="479">
        <f>H234+I234</f>
        <v>7250167</v>
      </c>
    </row>
    <row r="235" spans="2:10" x14ac:dyDescent="0.2">
      <c r="B235" s="59">
        <f t="shared" si="29"/>
        <v>181</v>
      </c>
      <c r="C235" s="8"/>
      <c r="D235" s="9"/>
      <c r="E235" s="11"/>
      <c r="F235" s="69"/>
      <c r="G235" s="40"/>
      <c r="H235" s="480"/>
      <c r="I235" s="480"/>
      <c r="J235" s="480"/>
    </row>
    <row r="236" spans="2:10" x14ac:dyDescent="0.2">
      <c r="B236" s="59">
        <f t="shared" si="29"/>
        <v>182</v>
      </c>
      <c r="C236" s="8"/>
      <c r="D236" s="9" t="s">
        <v>602</v>
      </c>
      <c r="E236" s="11"/>
      <c r="F236" s="69" t="s">
        <v>664</v>
      </c>
      <c r="G236" s="40"/>
      <c r="H236" s="671">
        <f>H237+H238</f>
        <v>1100</v>
      </c>
      <c r="I236" s="671">
        <f t="shared" ref="I236" si="43">I237</f>
        <v>0</v>
      </c>
      <c r="J236" s="671">
        <f>H236+I236</f>
        <v>1100</v>
      </c>
    </row>
    <row r="237" spans="2:10" x14ac:dyDescent="0.2">
      <c r="B237" s="59">
        <f t="shared" si="29"/>
        <v>183</v>
      </c>
      <c r="C237" s="8"/>
      <c r="D237" s="9"/>
      <c r="E237" s="11"/>
      <c r="F237" s="533" t="s">
        <v>813</v>
      </c>
      <c r="G237" s="40"/>
      <c r="H237" s="480">
        <v>600</v>
      </c>
      <c r="I237" s="480"/>
      <c r="J237" s="480">
        <f>H237+I237</f>
        <v>600</v>
      </c>
    </row>
    <row r="238" spans="2:10" x14ac:dyDescent="0.2">
      <c r="B238" s="59">
        <f t="shared" si="29"/>
        <v>184</v>
      </c>
      <c r="C238" s="8"/>
      <c r="D238" s="9"/>
      <c r="E238" s="11"/>
      <c r="F238" s="533" t="s">
        <v>858</v>
      </c>
      <c r="G238" s="40"/>
      <c r="H238" s="480">
        <v>500</v>
      </c>
      <c r="I238" s="481">
        <f t="shared" ref="I238:J238" si="44">I239</f>
        <v>63867</v>
      </c>
      <c r="J238" s="481">
        <f t="shared" si="44"/>
        <v>7249067</v>
      </c>
    </row>
    <row r="239" spans="2:10" ht="12.75" customHeight="1" x14ac:dyDescent="0.2">
      <c r="B239" s="59">
        <f t="shared" si="29"/>
        <v>185</v>
      </c>
      <c r="C239" s="8"/>
      <c r="D239" s="9" t="s">
        <v>81</v>
      </c>
      <c r="E239" s="11"/>
      <c r="F239" s="69" t="s">
        <v>82</v>
      </c>
      <c r="G239" s="40"/>
      <c r="H239" s="481">
        <f>H240</f>
        <v>7185200</v>
      </c>
      <c r="I239" s="481">
        <f>I240</f>
        <v>63867</v>
      </c>
      <c r="J239" s="480">
        <f>H239+I239</f>
        <v>7249067</v>
      </c>
    </row>
    <row r="240" spans="2:10" x14ac:dyDescent="0.2">
      <c r="B240" s="59">
        <f t="shared" si="29"/>
        <v>186</v>
      </c>
      <c r="C240" s="8"/>
      <c r="D240" s="11"/>
      <c r="E240" s="7"/>
      <c r="F240" s="32" t="s">
        <v>83</v>
      </c>
      <c r="G240" s="40"/>
      <c r="H240" s="480">
        <f>SUM(H241:H255)</f>
        <v>7185200</v>
      </c>
      <c r="I240" s="538">
        <f>SUM(I241:I255)</f>
        <v>63867</v>
      </c>
      <c r="J240" s="480">
        <f t="shared" ref="J240:J253" si="45">H240+I240</f>
        <v>7249067</v>
      </c>
    </row>
    <row r="241" spans="2:10" x14ac:dyDescent="0.2">
      <c r="B241" s="59">
        <f t="shared" si="29"/>
        <v>187</v>
      </c>
      <c r="C241" s="55"/>
      <c r="D241" s="12"/>
      <c r="E241" s="499"/>
      <c r="F241" s="75" t="s">
        <v>84</v>
      </c>
      <c r="G241" s="318"/>
      <c r="H241" s="538">
        <f>5919630+85036</f>
        <v>6004666</v>
      </c>
      <c r="I241" s="478">
        <f>2280+2102+58181</f>
        <v>62563</v>
      </c>
      <c r="J241" s="480">
        <f t="shared" si="45"/>
        <v>6067229</v>
      </c>
    </row>
    <row r="242" spans="2:10" ht="12.75" customHeight="1" x14ac:dyDescent="0.2">
      <c r="B242" s="59">
        <f t="shared" si="29"/>
        <v>188</v>
      </c>
      <c r="C242" s="8"/>
      <c r="D242" s="11"/>
      <c r="E242" s="11"/>
      <c r="F242" s="36" t="s">
        <v>155</v>
      </c>
      <c r="G242" s="40"/>
      <c r="H242" s="478">
        <v>81540</v>
      </c>
      <c r="I242" s="539">
        <v>1304</v>
      </c>
      <c r="J242" s="480">
        <f t="shared" si="45"/>
        <v>82844</v>
      </c>
    </row>
    <row r="243" spans="2:10" ht="12.75" customHeight="1" x14ac:dyDescent="0.2">
      <c r="B243" s="59">
        <f t="shared" si="29"/>
        <v>189</v>
      </c>
      <c r="C243" s="8"/>
      <c r="D243" s="11"/>
      <c r="E243" s="11"/>
      <c r="F243" s="44" t="s">
        <v>85</v>
      </c>
      <c r="G243" s="40"/>
      <c r="H243" s="539">
        <v>833090</v>
      </c>
      <c r="I243" s="478"/>
      <c r="J243" s="480">
        <f t="shared" si="45"/>
        <v>833090</v>
      </c>
    </row>
    <row r="244" spans="2:10" x14ac:dyDescent="0.2">
      <c r="B244" s="59">
        <f t="shared" si="29"/>
        <v>190</v>
      </c>
      <c r="C244" s="8"/>
      <c r="D244" s="14"/>
      <c r="E244" s="10"/>
      <c r="F244" s="44" t="s">
        <v>86</v>
      </c>
      <c r="G244" s="40"/>
      <c r="H244" s="478">
        <f>71500+13500+2265</f>
        <v>87265</v>
      </c>
      <c r="I244" s="478"/>
      <c r="J244" s="480">
        <f t="shared" si="45"/>
        <v>87265</v>
      </c>
    </row>
    <row r="245" spans="2:10" x14ac:dyDescent="0.2">
      <c r="B245" s="59">
        <f t="shared" si="29"/>
        <v>191</v>
      </c>
      <c r="C245" s="8"/>
      <c r="D245" s="14"/>
      <c r="E245" s="10"/>
      <c r="F245" s="44" t="s">
        <v>75</v>
      </c>
      <c r="G245" s="40"/>
      <c r="H245" s="478">
        <v>52000</v>
      </c>
      <c r="I245" s="478"/>
      <c r="J245" s="480">
        <f t="shared" si="45"/>
        <v>52000</v>
      </c>
    </row>
    <row r="246" spans="2:10" x14ac:dyDescent="0.2">
      <c r="B246" s="59">
        <f t="shared" si="29"/>
        <v>192</v>
      </c>
      <c r="C246" s="8"/>
      <c r="D246" s="14"/>
      <c r="E246" s="10"/>
      <c r="F246" s="44" t="s">
        <v>87</v>
      </c>
      <c r="G246" s="40"/>
      <c r="H246" s="478">
        <f>38040+1432</f>
        <v>39472</v>
      </c>
      <c r="I246" s="478"/>
      <c r="J246" s="480">
        <f t="shared" si="45"/>
        <v>39472</v>
      </c>
    </row>
    <row r="247" spans="2:10" x14ac:dyDescent="0.2">
      <c r="B247" s="59">
        <f t="shared" si="29"/>
        <v>193</v>
      </c>
      <c r="C247" s="8"/>
      <c r="D247" s="14"/>
      <c r="E247" s="10"/>
      <c r="F247" s="44" t="s">
        <v>1</v>
      </c>
      <c r="G247" s="40"/>
      <c r="H247" s="478">
        <v>18500</v>
      </c>
      <c r="I247" s="478"/>
      <c r="J247" s="480">
        <f t="shared" si="45"/>
        <v>18500</v>
      </c>
    </row>
    <row r="248" spans="2:10" ht="14.25" customHeight="1" x14ac:dyDescent="0.2">
      <c r="B248" s="59">
        <f t="shared" si="29"/>
        <v>194</v>
      </c>
      <c r="C248" s="8"/>
      <c r="D248" s="14"/>
      <c r="E248" s="10"/>
      <c r="F248" s="44" t="s">
        <v>88</v>
      </c>
      <c r="G248" s="40"/>
      <c r="H248" s="478">
        <v>24500</v>
      </c>
      <c r="I248" s="564"/>
      <c r="J248" s="480">
        <f t="shared" si="45"/>
        <v>24500</v>
      </c>
    </row>
    <row r="249" spans="2:10" x14ac:dyDescent="0.2">
      <c r="B249" s="59">
        <f t="shared" si="29"/>
        <v>195</v>
      </c>
      <c r="C249" s="467"/>
      <c r="D249" s="468"/>
      <c r="E249" s="469"/>
      <c r="F249" s="470" t="s">
        <v>651</v>
      </c>
      <c r="G249" s="471"/>
      <c r="H249" s="564">
        <f>4000+6000</f>
        <v>10000</v>
      </c>
      <c r="I249" s="564"/>
      <c r="J249" s="480">
        <f t="shared" si="45"/>
        <v>10000</v>
      </c>
    </row>
    <row r="250" spans="2:10" x14ac:dyDescent="0.2">
      <c r="B250" s="59">
        <f t="shared" si="29"/>
        <v>196</v>
      </c>
      <c r="C250" s="467"/>
      <c r="D250" s="468"/>
      <c r="E250" s="469"/>
      <c r="F250" s="470" t="s">
        <v>641</v>
      </c>
      <c r="G250" s="471"/>
      <c r="H250" s="564">
        <v>6694</v>
      </c>
      <c r="I250" s="538"/>
      <c r="J250" s="480">
        <f t="shared" si="45"/>
        <v>6694</v>
      </c>
    </row>
    <row r="251" spans="2:10" x14ac:dyDescent="0.2">
      <c r="B251" s="59">
        <f t="shared" ref="B251:B256" si="46">B250+1</f>
        <v>197</v>
      </c>
      <c r="C251" s="467"/>
      <c r="D251" s="468"/>
      <c r="E251" s="469"/>
      <c r="F251" s="771" t="s">
        <v>759</v>
      </c>
      <c r="G251" s="318"/>
      <c r="H251" s="538">
        <v>14893</v>
      </c>
      <c r="I251" s="646"/>
      <c r="J251" s="480">
        <f t="shared" si="45"/>
        <v>14893</v>
      </c>
    </row>
    <row r="252" spans="2:10" x14ac:dyDescent="0.2">
      <c r="B252" s="59">
        <f t="shared" si="46"/>
        <v>198</v>
      </c>
      <c r="C252" s="467"/>
      <c r="D252" s="468"/>
      <c r="E252" s="469"/>
      <c r="F252" s="31" t="s">
        <v>832</v>
      </c>
      <c r="G252" s="670"/>
      <c r="H252" s="646">
        <v>7000</v>
      </c>
      <c r="I252" s="564"/>
      <c r="J252" s="480">
        <f t="shared" si="45"/>
        <v>7000</v>
      </c>
    </row>
    <row r="253" spans="2:10" x14ac:dyDescent="0.2">
      <c r="B253" s="59">
        <f t="shared" si="46"/>
        <v>199</v>
      </c>
      <c r="C253" s="467"/>
      <c r="D253" s="468"/>
      <c r="E253" s="469"/>
      <c r="F253" s="470" t="s">
        <v>833</v>
      </c>
      <c r="G253" s="471"/>
      <c r="H253" s="564">
        <v>500</v>
      </c>
      <c r="I253" s="564"/>
      <c r="J253" s="480">
        <f t="shared" si="45"/>
        <v>500</v>
      </c>
    </row>
    <row r="254" spans="2:10" x14ac:dyDescent="0.2">
      <c r="B254" s="59">
        <f t="shared" si="46"/>
        <v>200</v>
      </c>
      <c r="C254" s="467"/>
      <c r="D254" s="468"/>
      <c r="E254" s="469"/>
      <c r="F254" s="470" t="s">
        <v>831</v>
      </c>
      <c r="G254" s="471"/>
      <c r="H254" s="564">
        <v>2000</v>
      </c>
      <c r="I254" s="564"/>
      <c r="J254" s="822">
        <f t="shared" ref="J254:J255" si="47">H254+I254</f>
        <v>2000</v>
      </c>
    </row>
    <row r="255" spans="2:10" ht="13.5" thickBot="1" x14ac:dyDescent="0.25">
      <c r="B255" s="59">
        <f t="shared" si="46"/>
        <v>201</v>
      </c>
      <c r="C255" s="114"/>
      <c r="D255" s="842"/>
      <c r="E255" s="115"/>
      <c r="F255" s="116" t="s">
        <v>867</v>
      </c>
      <c r="G255" s="319"/>
      <c r="H255" s="565">
        <v>3080</v>
      </c>
      <c r="I255" s="565"/>
      <c r="J255" s="843">
        <f t="shared" si="47"/>
        <v>3080</v>
      </c>
    </row>
    <row r="256" spans="2:10" ht="31.5" customHeight="1" thickTop="1" thickBot="1" x14ac:dyDescent="0.35">
      <c r="B256" s="59">
        <f t="shared" si="46"/>
        <v>202</v>
      </c>
      <c r="C256" s="823"/>
      <c r="D256" s="824"/>
      <c r="E256" s="825"/>
      <c r="F256" s="826" t="s">
        <v>89</v>
      </c>
      <c r="G256" s="827"/>
      <c r="H256" s="828">
        <f>H234+H24+H7</f>
        <v>32716201</v>
      </c>
      <c r="I256" s="828">
        <f>I234+I24+I7</f>
        <v>81381</v>
      </c>
      <c r="J256" s="828">
        <f>I256+H256</f>
        <v>32797582</v>
      </c>
    </row>
    <row r="257" spans="2:10" ht="15.75" customHeight="1" x14ac:dyDescent="0.2">
      <c r="H257" s="17"/>
    </row>
    <row r="258" spans="2:10" ht="15.75" customHeight="1" thickBot="1" x14ac:dyDescent="0.25"/>
    <row r="259" spans="2:10" ht="13.5" customHeight="1" x14ac:dyDescent="0.2">
      <c r="B259" s="892" t="s">
        <v>179</v>
      </c>
      <c r="C259" s="898"/>
      <c r="D259" s="898"/>
      <c r="E259" s="898"/>
      <c r="F259" s="898"/>
      <c r="G259" s="898"/>
      <c r="H259" s="889" t="s">
        <v>721</v>
      </c>
      <c r="I259" s="889" t="s">
        <v>860</v>
      </c>
      <c r="J259" s="889" t="s">
        <v>721</v>
      </c>
    </row>
    <row r="260" spans="2:10" ht="15" customHeight="1" x14ac:dyDescent="0.2">
      <c r="B260" s="899"/>
      <c r="C260" s="900"/>
      <c r="D260" s="900"/>
      <c r="E260" s="900"/>
      <c r="F260" s="900"/>
      <c r="G260" s="900"/>
      <c r="H260" s="890"/>
      <c r="I260" s="890"/>
      <c r="J260" s="890"/>
    </row>
    <row r="261" spans="2:10" ht="12.75" customHeight="1" x14ac:dyDescent="0.2">
      <c r="B261" s="79"/>
      <c r="C261" s="901" t="s">
        <v>10</v>
      </c>
      <c r="D261" s="80" t="s">
        <v>11</v>
      </c>
      <c r="E261" s="80" t="s">
        <v>12</v>
      </c>
      <c r="F261" s="82"/>
      <c r="G261" s="81"/>
      <c r="H261" s="890"/>
      <c r="I261" s="890"/>
      <c r="J261" s="890"/>
    </row>
    <row r="262" spans="2:10" ht="18.75" customHeight="1" thickBot="1" x14ac:dyDescent="0.25">
      <c r="B262" s="83"/>
      <c r="C262" s="897"/>
      <c r="D262" s="85"/>
      <c r="E262" s="84" t="s">
        <v>13</v>
      </c>
      <c r="F262" s="87" t="s">
        <v>14</v>
      </c>
      <c r="G262" s="309"/>
      <c r="H262" s="891"/>
      <c r="I262" s="891"/>
      <c r="J262" s="891"/>
    </row>
    <row r="263" spans="2:10" ht="16.5" thickTop="1" x14ac:dyDescent="0.2">
      <c r="B263" s="89">
        <v>1</v>
      </c>
      <c r="C263" s="90" t="s">
        <v>37</v>
      </c>
      <c r="D263" s="91"/>
      <c r="E263" s="299"/>
      <c r="F263" s="300" t="s">
        <v>38</v>
      </c>
      <c r="G263" s="312"/>
      <c r="H263" s="552">
        <f>H265</f>
        <v>786000</v>
      </c>
      <c r="I263" s="552">
        <f t="shared" ref="I263" si="48">I265</f>
        <v>0</v>
      </c>
      <c r="J263" s="552">
        <f>H263+I263</f>
        <v>786000</v>
      </c>
    </row>
    <row r="264" spans="2:10" ht="15" x14ac:dyDescent="0.25">
      <c r="B264" s="92">
        <f t="shared" ref="B264:B276" si="49">B263+1</f>
        <v>2</v>
      </c>
      <c r="C264" s="14"/>
      <c r="D264" s="8"/>
      <c r="E264" s="72"/>
      <c r="F264" s="39"/>
      <c r="G264" s="39"/>
      <c r="H264" s="566"/>
      <c r="I264" s="566"/>
      <c r="J264" s="566"/>
    </row>
    <row r="265" spans="2:10" x14ac:dyDescent="0.2">
      <c r="B265" s="92">
        <f t="shared" si="49"/>
        <v>3</v>
      </c>
      <c r="C265" s="55" t="s">
        <v>180</v>
      </c>
      <c r="D265" s="55"/>
      <c r="E265" s="72"/>
      <c r="F265" s="93" t="s">
        <v>181</v>
      </c>
      <c r="G265" s="44"/>
      <c r="H265" s="567">
        <f>H266+H269</f>
        <v>786000</v>
      </c>
      <c r="I265" s="567">
        <f t="shared" ref="I265" si="50">I266+I269</f>
        <v>0</v>
      </c>
      <c r="J265" s="567">
        <f>J266+J269</f>
        <v>786000</v>
      </c>
    </row>
    <row r="266" spans="2:10" ht="13.5" customHeight="1" x14ac:dyDescent="0.2">
      <c r="B266" s="92">
        <f t="shared" si="49"/>
        <v>4</v>
      </c>
      <c r="C266" s="8"/>
      <c r="D266" s="46" t="s">
        <v>182</v>
      </c>
      <c r="E266" s="9" t="s">
        <v>26</v>
      </c>
      <c r="F266" s="298" t="s">
        <v>183</v>
      </c>
      <c r="G266" s="51"/>
      <c r="H266" s="528">
        <f>SUM(H267:H268)</f>
        <v>779200</v>
      </c>
      <c r="I266" s="528">
        <f t="shared" ref="I266" si="51">SUM(I267:I268)</f>
        <v>0</v>
      </c>
      <c r="J266" s="528">
        <f>H266+I266</f>
        <v>779200</v>
      </c>
    </row>
    <row r="267" spans="2:10" x14ac:dyDescent="0.2">
      <c r="B267" s="92">
        <f t="shared" si="49"/>
        <v>5</v>
      </c>
      <c r="C267" s="9"/>
      <c r="D267" s="12"/>
      <c r="E267" s="46"/>
      <c r="F267" s="18" t="s">
        <v>184</v>
      </c>
      <c r="G267" s="44"/>
      <c r="H267" s="568">
        <f>350000+167000</f>
        <v>517000</v>
      </c>
      <c r="I267" s="568"/>
      <c r="J267" s="528">
        <f t="shared" ref="J267:J276" si="52">H267+I267</f>
        <v>517000</v>
      </c>
    </row>
    <row r="268" spans="2:10" x14ac:dyDescent="0.2">
      <c r="B268" s="92">
        <f t="shared" si="49"/>
        <v>6</v>
      </c>
      <c r="C268" s="9"/>
      <c r="D268" s="11"/>
      <c r="E268" s="46"/>
      <c r="F268" s="18" t="s">
        <v>760</v>
      </c>
      <c r="G268" s="44"/>
      <c r="H268" s="568">
        <f>245945+16255</f>
        <v>262200</v>
      </c>
      <c r="I268" s="568"/>
      <c r="J268" s="528">
        <f t="shared" si="52"/>
        <v>262200</v>
      </c>
    </row>
    <row r="269" spans="2:10" x14ac:dyDescent="0.2">
      <c r="B269" s="92">
        <f t="shared" si="49"/>
        <v>7</v>
      </c>
      <c r="C269" s="9"/>
      <c r="D269" s="11" t="s">
        <v>761</v>
      </c>
      <c r="E269" s="46"/>
      <c r="F269" s="18" t="s">
        <v>762</v>
      </c>
      <c r="G269" s="44"/>
      <c r="H269" s="568">
        <f>H270+H271</f>
        <v>6800</v>
      </c>
      <c r="I269" s="568">
        <f t="shared" ref="I269" si="53">I270+I271</f>
        <v>0</v>
      </c>
      <c r="J269" s="528">
        <f t="shared" si="52"/>
        <v>6800</v>
      </c>
    </row>
    <row r="270" spans="2:10" x14ac:dyDescent="0.2">
      <c r="B270" s="92">
        <f t="shared" si="49"/>
        <v>8</v>
      </c>
      <c r="C270" s="9"/>
      <c r="D270" s="11"/>
      <c r="E270" s="46"/>
      <c r="F270" s="18" t="s">
        <v>763</v>
      </c>
      <c r="G270" s="44"/>
      <c r="H270" s="568">
        <v>1500</v>
      </c>
      <c r="I270" s="568"/>
      <c r="J270" s="528">
        <f t="shared" si="52"/>
        <v>1500</v>
      </c>
    </row>
    <row r="271" spans="2:10" x14ac:dyDescent="0.2">
      <c r="B271" s="92">
        <f t="shared" si="49"/>
        <v>9</v>
      </c>
      <c r="C271" s="9"/>
      <c r="D271" s="11"/>
      <c r="E271" s="46"/>
      <c r="F271" s="18" t="s">
        <v>764</v>
      </c>
      <c r="G271" s="44"/>
      <c r="H271" s="568">
        <v>5300</v>
      </c>
      <c r="I271" s="568"/>
      <c r="J271" s="528">
        <f t="shared" si="52"/>
        <v>5300</v>
      </c>
    </row>
    <row r="272" spans="2:10" ht="15.75" customHeight="1" x14ac:dyDescent="0.25">
      <c r="B272" s="92">
        <f t="shared" si="49"/>
        <v>10</v>
      </c>
      <c r="C272" s="94"/>
      <c r="D272" s="7"/>
      <c r="E272" s="26"/>
      <c r="F272" s="18"/>
      <c r="G272" s="44"/>
      <c r="H272" s="569"/>
      <c r="I272" s="569"/>
      <c r="J272" s="569"/>
    </row>
    <row r="273" spans="2:10" ht="15.75" customHeight="1" thickBot="1" x14ac:dyDescent="0.25">
      <c r="B273" s="92">
        <f t="shared" si="49"/>
        <v>11</v>
      </c>
      <c r="C273" s="776" t="s">
        <v>79</v>
      </c>
      <c r="D273" s="777"/>
      <c r="E273" s="778"/>
      <c r="F273" s="781" t="s">
        <v>80</v>
      </c>
      <c r="G273" s="779"/>
      <c r="H273" s="559">
        <f>H274</f>
        <v>15000</v>
      </c>
      <c r="I273" s="559">
        <f>I274</f>
        <v>0</v>
      </c>
      <c r="J273" s="615">
        <f t="shared" si="52"/>
        <v>15000</v>
      </c>
    </row>
    <row r="274" spans="2:10" ht="15.75" customHeight="1" x14ac:dyDescent="0.2">
      <c r="B274" s="92">
        <f t="shared" si="49"/>
        <v>12</v>
      </c>
      <c r="C274" s="94"/>
      <c r="D274" s="7" t="s">
        <v>846</v>
      </c>
      <c r="E274" s="26"/>
      <c r="F274" s="18" t="s">
        <v>847</v>
      </c>
      <c r="G274" s="44"/>
      <c r="H274" s="780">
        <v>15000</v>
      </c>
      <c r="I274" s="780"/>
      <c r="J274" s="528">
        <f t="shared" si="52"/>
        <v>15000</v>
      </c>
    </row>
    <row r="275" spans="2:10" ht="15.75" customHeight="1" x14ac:dyDescent="0.25">
      <c r="B275" s="92">
        <f t="shared" si="49"/>
        <v>13</v>
      </c>
      <c r="C275" s="94"/>
      <c r="D275" s="7"/>
      <c r="E275" s="26"/>
      <c r="F275" s="18"/>
      <c r="G275" s="44"/>
      <c r="H275" s="569"/>
      <c r="I275" s="568"/>
      <c r="J275" s="528"/>
    </row>
    <row r="276" spans="2:10" ht="25.5" customHeight="1" thickBot="1" x14ac:dyDescent="0.35">
      <c r="B276" s="92">
        <f t="shared" si="49"/>
        <v>14</v>
      </c>
      <c r="C276" s="296"/>
      <c r="D276" s="297"/>
      <c r="E276" s="301"/>
      <c r="F276" s="616" t="s">
        <v>185</v>
      </c>
      <c r="G276" s="302"/>
      <c r="H276" s="615">
        <f>H263+H273</f>
        <v>801000</v>
      </c>
      <c r="I276" s="615">
        <f>I273+I263</f>
        <v>0</v>
      </c>
      <c r="J276" s="615">
        <f t="shared" si="52"/>
        <v>801000</v>
      </c>
    </row>
    <row r="277" spans="2:10" ht="13.5" customHeight="1" x14ac:dyDescent="0.2">
      <c r="B277" s="248"/>
      <c r="C277" s="254"/>
      <c r="D277" s="254"/>
      <c r="E277" s="254"/>
      <c r="F277" s="258"/>
      <c r="G277" s="258"/>
      <c r="H277" s="133"/>
    </row>
    <row r="278" spans="2:10" ht="13.5" customHeight="1" x14ac:dyDescent="0.2">
      <c r="B278" s="248"/>
      <c r="C278" s="254"/>
      <c r="D278" s="254"/>
      <c r="E278" s="254"/>
      <c r="F278" s="258"/>
      <c r="G278" s="258"/>
      <c r="H278" s="133"/>
    </row>
    <row r="279" spans="2:10" ht="13.5" customHeight="1" x14ac:dyDescent="0.2">
      <c r="B279" s="248"/>
      <c r="C279" s="254"/>
      <c r="D279" s="254"/>
      <c r="E279" s="254"/>
      <c r="F279" s="258"/>
      <c r="G279" s="258"/>
      <c r="H279" s="133"/>
    </row>
    <row r="280" spans="2:10" ht="13.5" thickBot="1" x14ac:dyDescent="0.25">
      <c r="B280" s="248"/>
      <c r="C280" s="254"/>
      <c r="D280" s="254"/>
      <c r="E280" s="254"/>
      <c r="F280" s="258"/>
      <c r="G280" s="259"/>
      <c r="H280" s="133"/>
    </row>
    <row r="281" spans="2:10" ht="12.75" customHeight="1" x14ac:dyDescent="0.2">
      <c r="B281" s="892" t="s">
        <v>191</v>
      </c>
      <c r="C281" s="898"/>
      <c r="D281" s="898"/>
      <c r="E281" s="898"/>
      <c r="F281" s="898"/>
      <c r="G281" s="898"/>
      <c r="H281" s="889" t="s">
        <v>721</v>
      </c>
      <c r="I281" s="889" t="s">
        <v>860</v>
      </c>
      <c r="J281" s="889" t="s">
        <v>721</v>
      </c>
    </row>
    <row r="282" spans="2:10" ht="12.75" customHeight="1" x14ac:dyDescent="0.2">
      <c r="B282" s="899"/>
      <c r="C282" s="900"/>
      <c r="D282" s="900"/>
      <c r="E282" s="900"/>
      <c r="F282" s="900"/>
      <c r="G282" s="900"/>
      <c r="H282" s="890"/>
      <c r="I282" s="890"/>
      <c r="J282" s="890"/>
    </row>
    <row r="283" spans="2:10" ht="17.25" customHeight="1" x14ac:dyDescent="0.2">
      <c r="B283" s="79"/>
      <c r="C283" s="80" t="s">
        <v>10</v>
      </c>
      <c r="D283" s="80" t="s">
        <v>11</v>
      </c>
      <c r="E283" s="80" t="s">
        <v>12</v>
      </c>
      <c r="F283" s="82"/>
      <c r="G283" s="81"/>
      <c r="H283" s="890"/>
      <c r="I283" s="890"/>
      <c r="J283" s="890"/>
    </row>
    <row r="284" spans="2:10" ht="20.25" customHeight="1" thickBot="1" x14ac:dyDescent="0.25">
      <c r="B284" s="83"/>
      <c r="C284" s="84"/>
      <c r="D284" s="85"/>
      <c r="E284" s="84" t="s">
        <v>13</v>
      </c>
      <c r="F284" s="87"/>
      <c r="G284" s="309"/>
      <c r="H284" s="891"/>
      <c r="I284" s="891"/>
      <c r="J284" s="891"/>
    </row>
    <row r="285" spans="2:10" ht="16.5" thickTop="1" x14ac:dyDescent="0.25">
      <c r="B285" s="92">
        <v>1</v>
      </c>
      <c r="C285" s="95"/>
      <c r="D285" s="95"/>
      <c r="E285" s="96"/>
      <c r="F285" s="97" t="s">
        <v>89</v>
      </c>
      <c r="G285" s="310"/>
      <c r="H285" s="570">
        <f>H256</f>
        <v>32716201</v>
      </c>
      <c r="I285" s="570">
        <f>I256</f>
        <v>81381</v>
      </c>
      <c r="J285" s="570">
        <f>H285+I285</f>
        <v>32797582</v>
      </c>
    </row>
    <row r="286" spans="2:10" ht="16.5" thickBot="1" x14ac:dyDescent="0.3">
      <c r="B286" s="98">
        <f>B285+1</f>
        <v>2</v>
      </c>
      <c r="C286" s="99"/>
      <c r="D286" s="99"/>
      <c r="E286" s="100"/>
      <c r="F286" s="101" t="s">
        <v>185</v>
      </c>
      <c r="G286" s="311"/>
      <c r="H286" s="571">
        <f>H276</f>
        <v>801000</v>
      </c>
      <c r="I286" s="571">
        <f>I276</f>
        <v>0</v>
      </c>
      <c r="J286" s="571">
        <f>H286+I286</f>
        <v>801000</v>
      </c>
    </row>
    <row r="287" spans="2:10" ht="17.25" thickTop="1" thickBot="1" x14ac:dyDescent="0.3">
      <c r="B287" s="102">
        <f>B286+1</f>
        <v>3</v>
      </c>
      <c r="C287" s="291"/>
      <c r="D287" s="292"/>
      <c r="E287" s="293"/>
      <c r="F287" s="294" t="s">
        <v>186</v>
      </c>
      <c r="G287" s="295"/>
      <c r="H287" s="572">
        <f>H285+H286</f>
        <v>33517201</v>
      </c>
      <c r="I287" s="572">
        <f t="shared" ref="I287:J287" si="54">I285+I286</f>
        <v>81381</v>
      </c>
      <c r="J287" s="572">
        <f t="shared" si="54"/>
        <v>33598582</v>
      </c>
    </row>
    <row r="288" spans="2:10" x14ac:dyDescent="0.2">
      <c r="F288" s="6"/>
      <c r="G288" s="6"/>
    </row>
    <row r="290" spans="8:8" x14ac:dyDescent="0.2">
      <c r="H290" s="17"/>
    </row>
  </sheetData>
  <sheetProtection selectLockedCells="1" selectUnlockedCells="1"/>
  <mergeCells count="30">
    <mergeCell ref="B2:J2"/>
    <mergeCell ref="I3:I6"/>
    <mergeCell ref="J3:J6"/>
    <mergeCell ref="I68:I71"/>
    <mergeCell ref="J68:J71"/>
    <mergeCell ref="H3:H6"/>
    <mergeCell ref="H68:H71"/>
    <mergeCell ref="C5:C6"/>
    <mergeCell ref="B3:G4"/>
    <mergeCell ref="B68:G69"/>
    <mergeCell ref="B148:G149"/>
    <mergeCell ref="C70:C71"/>
    <mergeCell ref="H281:H284"/>
    <mergeCell ref="B281:G282"/>
    <mergeCell ref="C150:C151"/>
    <mergeCell ref="B230:G231"/>
    <mergeCell ref="C261:C262"/>
    <mergeCell ref="B259:G260"/>
    <mergeCell ref="H259:H262"/>
    <mergeCell ref="H148:H151"/>
    <mergeCell ref="C232:C233"/>
    <mergeCell ref="H230:H233"/>
    <mergeCell ref="I281:I284"/>
    <mergeCell ref="J281:J284"/>
    <mergeCell ref="J148:J151"/>
    <mergeCell ref="I230:I233"/>
    <mergeCell ref="J230:J233"/>
    <mergeCell ref="I259:I262"/>
    <mergeCell ref="J259:J262"/>
    <mergeCell ref="I148:I151"/>
  </mergeCells>
  <phoneticPr fontId="1" type="noConversion"/>
  <pageMargins left="0.24" right="0.23" top="0.15748031496062992" bottom="0.15748031496062992" header="0.15748031496062992" footer="0.15748031496062992"/>
  <pageSetup paperSize="9" scale="8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1806"/>
  <sheetViews>
    <sheetView workbookViewId="0"/>
  </sheetViews>
  <sheetFormatPr defaultRowHeight="12.75" x14ac:dyDescent="0.2"/>
  <cols>
    <col min="1" max="1" width="2.85546875" style="240" customWidth="1"/>
    <col min="2" max="2" width="3.28515625" style="5" customWidth="1"/>
    <col min="3" max="3" width="3.42578125" style="4" customWidth="1"/>
    <col min="4" max="4" width="2.7109375" customWidth="1"/>
    <col min="5" max="5" width="7.5703125" customWidth="1"/>
    <col min="6" max="6" width="3.42578125" customWidth="1"/>
    <col min="7" max="7" width="41.7109375" customWidth="1"/>
    <col min="8" max="8" width="13" style="78" customWidth="1"/>
    <col min="9" max="9" width="11.5703125" style="78" customWidth="1"/>
    <col min="10" max="10" width="13.28515625" style="78" customWidth="1"/>
    <col min="11" max="11" width="0.7109375" style="78" customWidth="1"/>
    <col min="12" max="12" width="12" style="78" customWidth="1"/>
    <col min="13" max="13" width="10.28515625" style="78" customWidth="1"/>
    <col min="14" max="14" width="11.5703125" style="78" customWidth="1"/>
    <col min="15" max="15" width="1.42578125" style="78" customWidth="1"/>
    <col min="16" max="16" width="12.85546875" style="78" customWidth="1"/>
    <col min="17" max="17" width="11.85546875" style="78" customWidth="1"/>
    <col min="18" max="18" width="12.42578125" style="78" customWidth="1"/>
  </cols>
  <sheetData>
    <row r="1" spans="1:18" ht="42.75" customHeight="1" thickBot="1" x14ac:dyDescent="0.25">
      <c r="A1" s="17"/>
      <c r="B1" s="921" t="s">
        <v>720</v>
      </c>
      <c r="C1" s="921"/>
      <c r="D1" s="921"/>
      <c r="E1" s="921"/>
      <c r="F1" s="921"/>
      <c r="G1" s="921"/>
      <c r="H1" s="921"/>
      <c r="I1" s="921"/>
      <c r="J1" s="921"/>
      <c r="K1" s="921"/>
      <c r="L1" s="921"/>
      <c r="M1" s="921"/>
      <c r="N1" s="921"/>
      <c r="O1" s="921"/>
      <c r="P1" s="921"/>
      <c r="Q1" s="786"/>
      <c r="R1" s="786"/>
    </row>
    <row r="2" spans="1:18" ht="15" customHeight="1" thickBot="1" x14ac:dyDescent="0.25">
      <c r="B2" s="913" t="s">
        <v>631</v>
      </c>
      <c r="C2" s="914"/>
      <c r="D2" s="914"/>
      <c r="E2" s="914"/>
      <c r="F2" s="914"/>
      <c r="G2" s="914"/>
      <c r="H2" s="914"/>
      <c r="I2" s="914"/>
      <c r="J2" s="914"/>
      <c r="K2" s="914"/>
      <c r="L2" s="914"/>
      <c r="M2" s="914"/>
      <c r="N2" s="915"/>
      <c r="O2" s="120"/>
      <c r="P2" s="903" t="s">
        <v>721</v>
      </c>
      <c r="Q2" s="903" t="s">
        <v>860</v>
      </c>
      <c r="R2" s="903" t="s">
        <v>721</v>
      </c>
    </row>
    <row r="3" spans="1:18" ht="38.25" customHeight="1" thickTop="1" x14ac:dyDescent="0.2">
      <c r="B3" s="505"/>
      <c r="C3" s="906" t="s">
        <v>477</v>
      </c>
      <c r="D3" s="906" t="s">
        <v>476</v>
      </c>
      <c r="E3" s="906" t="s">
        <v>474</v>
      </c>
      <c r="F3" s="906" t="s">
        <v>475</v>
      </c>
      <c r="G3" s="507" t="s">
        <v>3</v>
      </c>
      <c r="H3" s="908" t="s">
        <v>722</v>
      </c>
      <c r="I3" s="912" t="s">
        <v>860</v>
      </c>
      <c r="J3" s="912" t="s">
        <v>722</v>
      </c>
      <c r="L3" s="910" t="s">
        <v>723</v>
      </c>
      <c r="M3" s="910" t="s">
        <v>860</v>
      </c>
      <c r="N3" s="910" t="s">
        <v>723</v>
      </c>
      <c r="P3" s="904"/>
      <c r="Q3" s="904"/>
      <c r="R3" s="904"/>
    </row>
    <row r="4" spans="1:18" ht="31.5" customHeight="1" thickBot="1" x14ac:dyDescent="0.25">
      <c r="B4" s="509"/>
      <c r="C4" s="907"/>
      <c r="D4" s="907"/>
      <c r="E4" s="907"/>
      <c r="F4" s="907"/>
      <c r="G4" s="508"/>
      <c r="H4" s="909"/>
      <c r="I4" s="909"/>
      <c r="J4" s="909"/>
      <c r="L4" s="911"/>
      <c r="M4" s="911"/>
      <c r="N4" s="911"/>
      <c r="P4" s="905"/>
      <c r="Q4" s="905"/>
      <c r="R4" s="905"/>
    </row>
    <row r="5" spans="1:18" ht="21" customHeight="1" thickTop="1" thickBot="1" x14ac:dyDescent="0.25">
      <c r="B5" s="510">
        <v>1</v>
      </c>
      <c r="C5" s="233" t="s">
        <v>204</v>
      </c>
      <c r="D5" s="111"/>
      <c r="E5" s="111"/>
      <c r="F5" s="111"/>
      <c r="G5" s="192"/>
      <c r="H5" s="409">
        <f>H6+H25+H49+H50+H51+H52+H59+H70+H35</f>
        <v>386233</v>
      </c>
      <c r="I5" s="409">
        <f t="shared" ref="I5" si="0">I6+I25+I49+I50+I51+I52+I59+I70+I35</f>
        <v>0</v>
      </c>
      <c r="J5" s="409">
        <f t="shared" ref="J5:J7" si="1">H5+I5</f>
        <v>386233</v>
      </c>
      <c r="K5" s="511"/>
      <c r="L5" s="512">
        <f>L6+L25+L49+L50+L51+L52+L59+L70+L35</f>
        <v>139937</v>
      </c>
      <c r="M5" s="512">
        <f>M6+M25+M50+M51+M52+M53+M60+M71+M36</f>
        <v>0</v>
      </c>
      <c r="N5" s="512">
        <f>L5+M5</f>
        <v>139937</v>
      </c>
      <c r="O5" s="113"/>
      <c r="P5" s="418">
        <f t="shared" ref="P5:P36" si="2">H5+L5</f>
        <v>526170</v>
      </c>
      <c r="Q5" s="418">
        <f t="shared" ref="Q5:R20" si="3">I5+M5</f>
        <v>0</v>
      </c>
      <c r="R5" s="418">
        <f t="shared" si="3"/>
        <v>526170</v>
      </c>
    </row>
    <row r="6" spans="1:18" ht="15" customHeight="1" thickTop="1" x14ac:dyDescent="0.25">
      <c r="B6" s="171">
        <f t="shared" ref="B6:B56" si="4">B5+1</f>
        <v>2</v>
      </c>
      <c r="C6" s="23">
        <v>1</v>
      </c>
      <c r="D6" s="127" t="s">
        <v>126</v>
      </c>
      <c r="E6" s="280"/>
      <c r="F6" s="280"/>
      <c r="G6" s="281"/>
      <c r="H6" s="506">
        <f>H7+H13+H15+H17+H19</f>
        <v>192870</v>
      </c>
      <c r="I6" s="506">
        <f t="shared" ref="I6" si="5">I7+I13+I15+I17+I19</f>
        <v>0</v>
      </c>
      <c r="J6" s="506">
        <f t="shared" si="1"/>
        <v>192870</v>
      </c>
      <c r="K6" s="88"/>
      <c r="L6" s="379">
        <f>L7+L13+L15+L17+L19</f>
        <v>0</v>
      </c>
      <c r="M6" s="379">
        <f t="shared" ref="M6" si="6">M7+M13+M15+M17+M19</f>
        <v>0</v>
      </c>
      <c r="N6" s="379">
        <f t="shared" ref="N6:N33" si="7">L6+M6</f>
        <v>0</v>
      </c>
      <c r="O6" s="88"/>
      <c r="P6" s="373">
        <f t="shared" si="2"/>
        <v>192870</v>
      </c>
      <c r="Q6" s="373">
        <f t="shared" si="3"/>
        <v>0</v>
      </c>
      <c r="R6" s="373">
        <f t="shared" si="3"/>
        <v>192870</v>
      </c>
    </row>
    <row r="7" spans="1:18" ht="15" customHeight="1" x14ac:dyDescent="0.25">
      <c r="B7" s="171">
        <f t="shared" si="4"/>
        <v>3</v>
      </c>
      <c r="C7" s="76"/>
      <c r="D7" s="497" t="s">
        <v>4</v>
      </c>
      <c r="E7" s="917" t="s">
        <v>95</v>
      </c>
      <c r="F7" s="917"/>
      <c r="G7" s="917"/>
      <c r="H7" s="377">
        <f>SUM(H8:H12)</f>
        <v>14500</v>
      </c>
      <c r="I7" s="377">
        <f t="shared" ref="I7" si="8">SUM(I8:I12)</f>
        <v>0</v>
      </c>
      <c r="J7" s="377">
        <f t="shared" si="1"/>
        <v>14500</v>
      </c>
      <c r="K7" s="20"/>
      <c r="L7" s="380"/>
      <c r="M7" s="380"/>
      <c r="N7" s="380"/>
      <c r="O7" s="20"/>
      <c r="P7" s="208">
        <f t="shared" si="2"/>
        <v>14500</v>
      </c>
      <c r="Q7" s="208">
        <f t="shared" si="3"/>
        <v>0</v>
      </c>
      <c r="R7" s="208">
        <f t="shared" si="3"/>
        <v>14500</v>
      </c>
    </row>
    <row r="8" spans="1:18" s="151" customFormat="1" ht="12" customHeight="1" x14ac:dyDescent="0.2">
      <c r="A8" s="241"/>
      <c r="B8" s="171">
        <f t="shared" si="4"/>
        <v>4</v>
      </c>
      <c r="C8" s="130"/>
      <c r="D8" s="169"/>
      <c r="E8" s="290" t="s">
        <v>669</v>
      </c>
      <c r="F8" s="290" t="s">
        <v>200</v>
      </c>
      <c r="G8" s="525" t="s">
        <v>591</v>
      </c>
      <c r="H8" s="526">
        <f>6000+3000</f>
        <v>9000</v>
      </c>
      <c r="I8" s="526"/>
      <c r="J8" s="526">
        <f>H8+I8</f>
        <v>9000</v>
      </c>
      <c r="K8" s="132"/>
      <c r="L8" s="527"/>
      <c r="M8" s="527"/>
      <c r="N8" s="527"/>
      <c r="O8" s="132"/>
      <c r="P8" s="137">
        <f t="shared" si="2"/>
        <v>9000</v>
      </c>
      <c r="Q8" s="137">
        <f t="shared" si="3"/>
        <v>0</v>
      </c>
      <c r="R8" s="137">
        <f t="shared" si="3"/>
        <v>9000</v>
      </c>
    </row>
    <row r="9" spans="1:18" s="151" customFormat="1" ht="12" customHeight="1" x14ac:dyDescent="0.2">
      <c r="A9" s="241"/>
      <c r="B9" s="171">
        <f t="shared" si="4"/>
        <v>5</v>
      </c>
      <c r="C9" s="130"/>
      <c r="D9" s="169"/>
      <c r="E9" s="290" t="s">
        <v>669</v>
      </c>
      <c r="F9" s="290" t="s">
        <v>201</v>
      </c>
      <c r="G9" s="525" t="s">
        <v>260</v>
      </c>
      <c r="H9" s="526">
        <v>500</v>
      </c>
      <c r="I9" s="526"/>
      <c r="J9" s="526">
        <f t="shared" ref="J9:J70" si="9">H9+I9</f>
        <v>500</v>
      </c>
      <c r="K9" s="132"/>
      <c r="L9" s="527"/>
      <c r="M9" s="527"/>
      <c r="N9" s="527"/>
      <c r="O9" s="132"/>
      <c r="P9" s="137">
        <f t="shared" si="2"/>
        <v>500</v>
      </c>
      <c r="Q9" s="137">
        <f t="shared" si="3"/>
        <v>0</v>
      </c>
      <c r="R9" s="137">
        <f t="shared" si="3"/>
        <v>500</v>
      </c>
    </row>
    <row r="10" spans="1:18" s="151" customFormat="1" ht="12" customHeight="1" x14ac:dyDescent="0.2">
      <c r="A10" s="241"/>
      <c r="B10" s="171">
        <f t="shared" si="4"/>
        <v>6</v>
      </c>
      <c r="C10" s="130"/>
      <c r="D10" s="169"/>
      <c r="E10" s="290" t="s">
        <v>669</v>
      </c>
      <c r="F10" s="290" t="s">
        <v>215</v>
      </c>
      <c r="G10" s="525" t="s">
        <v>346</v>
      </c>
      <c r="H10" s="526">
        <v>500</v>
      </c>
      <c r="I10" s="526"/>
      <c r="J10" s="526">
        <f t="shared" si="9"/>
        <v>500</v>
      </c>
      <c r="K10" s="132"/>
      <c r="L10" s="527"/>
      <c r="M10" s="527"/>
      <c r="N10" s="527"/>
      <c r="O10" s="132"/>
      <c r="P10" s="137">
        <f t="shared" si="2"/>
        <v>500</v>
      </c>
      <c r="Q10" s="137">
        <f t="shared" si="3"/>
        <v>0</v>
      </c>
      <c r="R10" s="137">
        <f t="shared" si="3"/>
        <v>500</v>
      </c>
    </row>
    <row r="11" spans="1:18" s="151" customFormat="1" ht="12" customHeight="1" x14ac:dyDescent="0.2">
      <c r="A11" s="241"/>
      <c r="B11" s="171">
        <f t="shared" si="4"/>
        <v>7</v>
      </c>
      <c r="C11" s="130"/>
      <c r="D11" s="169"/>
      <c r="E11" s="290" t="s">
        <v>669</v>
      </c>
      <c r="F11" s="524">
        <v>637</v>
      </c>
      <c r="G11" s="525" t="s">
        <v>570</v>
      </c>
      <c r="H11" s="526">
        <f>5500-3000</f>
        <v>2500</v>
      </c>
      <c r="I11" s="526"/>
      <c r="J11" s="526">
        <f t="shared" si="9"/>
        <v>2500</v>
      </c>
      <c r="K11" s="132"/>
      <c r="L11" s="526"/>
      <c r="M11" s="526"/>
      <c r="N11" s="526"/>
      <c r="O11" s="132"/>
      <c r="P11" s="137">
        <f t="shared" si="2"/>
        <v>2500</v>
      </c>
      <c r="Q11" s="137">
        <f t="shared" si="3"/>
        <v>0</v>
      </c>
      <c r="R11" s="137">
        <f t="shared" si="3"/>
        <v>2500</v>
      </c>
    </row>
    <row r="12" spans="1:18" s="151" customFormat="1" ht="12" customHeight="1" x14ac:dyDescent="0.2">
      <c r="A12" s="241"/>
      <c r="B12" s="171">
        <f t="shared" si="4"/>
        <v>8</v>
      </c>
      <c r="C12" s="130"/>
      <c r="D12" s="159"/>
      <c r="E12" s="290" t="s">
        <v>669</v>
      </c>
      <c r="F12" s="524">
        <v>631</v>
      </c>
      <c r="G12" s="525" t="s">
        <v>439</v>
      </c>
      <c r="H12" s="526">
        <v>2000</v>
      </c>
      <c r="I12" s="526"/>
      <c r="J12" s="526">
        <f t="shared" si="9"/>
        <v>2000</v>
      </c>
      <c r="K12" s="132"/>
      <c r="L12" s="526"/>
      <c r="M12" s="526"/>
      <c r="N12" s="526"/>
      <c r="O12" s="132"/>
      <c r="P12" s="137">
        <f t="shared" si="2"/>
        <v>2000</v>
      </c>
      <c r="Q12" s="137">
        <f t="shared" si="3"/>
        <v>0</v>
      </c>
      <c r="R12" s="137">
        <f t="shared" si="3"/>
        <v>2000</v>
      </c>
    </row>
    <row r="13" spans="1:18" ht="15" customHeight="1" x14ac:dyDescent="0.25">
      <c r="B13" s="171">
        <f t="shared" si="4"/>
        <v>9</v>
      </c>
      <c r="C13" s="76"/>
      <c r="D13" s="497" t="s">
        <v>5</v>
      </c>
      <c r="E13" s="917" t="s">
        <v>315</v>
      </c>
      <c r="F13" s="917"/>
      <c r="G13" s="917"/>
      <c r="H13" s="377">
        <f>H14</f>
        <v>500</v>
      </c>
      <c r="I13" s="377">
        <f t="shared" ref="I13" si="10">I14</f>
        <v>0</v>
      </c>
      <c r="J13" s="377">
        <f t="shared" si="9"/>
        <v>500</v>
      </c>
      <c r="K13" s="20"/>
      <c r="L13" s="380"/>
      <c r="M13" s="380"/>
      <c r="N13" s="380"/>
      <c r="O13" s="20"/>
      <c r="P13" s="208">
        <f t="shared" si="2"/>
        <v>500</v>
      </c>
      <c r="Q13" s="208">
        <f t="shared" si="3"/>
        <v>0</v>
      </c>
      <c r="R13" s="208">
        <f t="shared" si="3"/>
        <v>500</v>
      </c>
    </row>
    <row r="14" spans="1:18" s="151" customFormat="1" ht="12" customHeight="1" x14ac:dyDescent="0.2">
      <c r="A14" s="241"/>
      <c r="B14" s="171">
        <f t="shared" si="4"/>
        <v>10</v>
      </c>
      <c r="C14" s="130"/>
      <c r="D14" s="169"/>
      <c r="E14" s="290" t="s">
        <v>669</v>
      </c>
      <c r="F14" s="290" t="s">
        <v>200</v>
      </c>
      <c r="G14" s="525" t="s">
        <v>495</v>
      </c>
      <c r="H14" s="526">
        <v>500</v>
      </c>
      <c r="I14" s="526"/>
      <c r="J14" s="526">
        <f t="shared" si="9"/>
        <v>500</v>
      </c>
      <c r="K14" s="132"/>
      <c r="L14" s="527"/>
      <c r="M14" s="527"/>
      <c r="N14" s="527"/>
      <c r="O14" s="132"/>
      <c r="P14" s="137">
        <f t="shared" si="2"/>
        <v>500</v>
      </c>
      <c r="Q14" s="137">
        <f t="shared" si="3"/>
        <v>0</v>
      </c>
      <c r="R14" s="137">
        <f t="shared" si="3"/>
        <v>500</v>
      </c>
    </row>
    <row r="15" spans="1:18" ht="15" customHeight="1" x14ac:dyDescent="0.25">
      <c r="B15" s="171">
        <f t="shared" si="4"/>
        <v>11</v>
      </c>
      <c r="C15" s="77"/>
      <c r="D15" s="497" t="s">
        <v>6</v>
      </c>
      <c r="E15" s="917" t="s">
        <v>117</v>
      </c>
      <c r="F15" s="917"/>
      <c r="G15" s="917"/>
      <c r="H15" s="377">
        <f>H16</f>
        <v>670</v>
      </c>
      <c r="I15" s="377">
        <f t="shared" ref="I15" si="11">I16</f>
        <v>0</v>
      </c>
      <c r="J15" s="377">
        <f t="shared" si="9"/>
        <v>670</v>
      </c>
      <c r="K15" s="20"/>
      <c r="L15" s="380"/>
      <c r="M15" s="380"/>
      <c r="N15" s="380"/>
      <c r="O15" s="20"/>
      <c r="P15" s="208">
        <f t="shared" si="2"/>
        <v>670</v>
      </c>
      <c r="Q15" s="208">
        <f t="shared" si="3"/>
        <v>0</v>
      </c>
      <c r="R15" s="208">
        <f t="shared" si="3"/>
        <v>670</v>
      </c>
    </row>
    <row r="16" spans="1:18" s="133" customFormat="1" ht="12" customHeight="1" x14ac:dyDescent="0.2">
      <c r="A16" s="240"/>
      <c r="B16" s="171">
        <f t="shared" si="4"/>
        <v>12</v>
      </c>
      <c r="C16" s="130"/>
      <c r="D16" s="159"/>
      <c r="E16" s="290" t="s">
        <v>669</v>
      </c>
      <c r="F16" s="290" t="s">
        <v>200</v>
      </c>
      <c r="G16" s="525" t="s">
        <v>495</v>
      </c>
      <c r="H16" s="526">
        <v>670</v>
      </c>
      <c r="I16" s="526"/>
      <c r="J16" s="526">
        <f t="shared" si="9"/>
        <v>670</v>
      </c>
      <c r="K16" s="132"/>
      <c r="L16" s="527"/>
      <c r="M16" s="527"/>
      <c r="N16" s="527"/>
      <c r="O16" s="132"/>
      <c r="P16" s="137">
        <f t="shared" si="2"/>
        <v>670</v>
      </c>
      <c r="Q16" s="137">
        <f t="shared" si="3"/>
        <v>0</v>
      </c>
      <c r="R16" s="137">
        <f t="shared" si="3"/>
        <v>670</v>
      </c>
    </row>
    <row r="17" spans="1:18" ht="15" customHeight="1" x14ac:dyDescent="0.25">
      <c r="B17" s="171">
        <f t="shared" si="4"/>
        <v>13</v>
      </c>
      <c r="C17" s="77"/>
      <c r="D17" s="497" t="s">
        <v>7</v>
      </c>
      <c r="E17" s="917" t="s">
        <v>166</v>
      </c>
      <c r="F17" s="917"/>
      <c r="G17" s="917"/>
      <c r="H17" s="377">
        <f>H18</f>
        <v>1000</v>
      </c>
      <c r="I17" s="377">
        <f t="shared" ref="I17" si="12">I18</f>
        <v>0</v>
      </c>
      <c r="J17" s="377">
        <f t="shared" si="9"/>
        <v>1000</v>
      </c>
      <c r="K17" s="20"/>
      <c r="L17" s="380"/>
      <c r="M17" s="380"/>
      <c r="N17" s="380"/>
      <c r="O17" s="20"/>
      <c r="P17" s="208">
        <f t="shared" si="2"/>
        <v>1000</v>
      </c>
      <c r="Q17" s="208">
        <f t="shared" si="3"/>
        <v>0</v>
      </c>
      <c r="R17" s="208">
        <f t="shared" si="3"/>
        <v>1000</v>
      </c>
    </row>
    <row r="18" spans="1:18" s="133" customFormat="1" ht="12" customHeight="1" x14ac:dyDescent="0.2">
      <c r="A18" s="240"/>
      <c r="B18" s="171">
        <f t="shared" si="4"/>
        <v>14</v>
      </c>
      <c r="C18" s="135"/>
      <c r="D18" s="169"/>
      <c r="E18" s="290" t="s">
        <v>669</v>
      </c>
      <c r="F18" s="290" t="s">
        <v>216</v>
      </c>
      <c r="G18" s="525" t="s">
        <v>523</v>
      </c>
      <c r="H18" s="526">
        <v>1000</v>
      </c>
      <c r="I18" s="526"/>
      <c r="J18" s="526">
        <f t="shared" si="9"/>
        <v>1000</v>
      </c>
      <c r="K18" s="132"/>
      <c r="L18" s="527"/>
      <c r="M18" s="527"/>
      <c r="N18" s="527"/>
      <c r="O18" s="132"/>
      <c r="P18" s="137">
        <f t="shared" si="2"/>
        <v>1000</v>
      </c>
      <c r="Q18" s="137">
        <f t="shared" si="3"/>
        <v>0</v>
      </c>
      <c r="R18" s="137">
        <f t="shared" si="3"/>
        <v>1000</v>
      </c>
    </row>
    <row r="19" spans="1:18" ht="15" customHeight="1" x14ac:dyDescent="0.25">
      <c r="B19" s="171">
        <f t="shared" si="4"/>
        <v>15</v>
      </c>
      <c r="C19" s="77"/>
      <c r="D19" s="497" t="s">
        <v>8</v>
      </c>
      <c r="E19" s="917" t="s">
        <v>96</v>
      </c>
      <c r="F19" s="917"/>
      <c r="G19" s="917"/>
      <c r="H19" s="377">
        <f>SUM(H20:H24)</f>
        <v>176200</v>
      </c>
      <c r="I19" s="377">
        <f t="shared" ref="I19" si="13">SUM(I20:I24)</f>
        <v>0</v>
      </c>
      <c r="J19" s="377">
        <f t="shared" si="9"/>
        <v>176200</v>
      </c>
      <c r="K19" s="20"/>
      <c r="L19" s="380"/>
      <c r="M19" s="380"/>
      <c r="N19" s="380"/>
      <c r="O19" s="20"/>
      <c r="P19" s="208">
        <f t="shared" si="2"/>
        <v>176200</v>
      </c>
      <c r="Q19" s="208">
        <f t="shared" si="3"/>
        <v>0</v>
      </c>
      <c r="R19" s="208">
        <f t="shared" si="3"/>
        <v>176200</v>
      </c>
    </row>
    <row r="20" spans="1:18" s="151" customFormat="1" ht="12" customHeight="1" x14ac:dyDescent="0.2">
      <c r="A20" s="241"/>
      <c r="B20" s="171">
        <f t="shared" si="4"/>
        <v>16</v>
      </c>
      <c r="C20" s="130"/>
      <c r="D20" s="169"/>
      <c r="E20" s="290" t="s">
        <v>669</v>
      </c>
      <c r="F20" s="290" t="s">
        <v>212</v>
      </c>
      <c r="G20" s="525" t="s">
        <v>240</v>
      </c>
      <c r="H20" s="526">
        <v>36700</v>
      </c>
      <c r="I20" s="526"/>
      <c r="J20" s="526">
        <f t="shared" si="9"/>
        <v>36700</v>
      </c>
      <c r="K20" s="132"/>
      <c r="L20" s="527"/>
      <c r="M20" s="527"/>
      <c r="N20" s="527"/>
      <c r="O20" s="132"/>
      <c r="P20" s="137">
        <f t="shared" si="2"/>
        <v>36700</v>
      </c>
      <c r="Q20" s="137">
        <f t="shared" si="3"/>
        <v>0</v>
      </c>
      <c r="R20" s="137">
        <f t="shared" si="3"/>
        <v>36700</v>
      </c>
    </row>
    <row r="21" spans="1:18" s="151" customFormat="1" ht="12" customHeight="1" x14ac:dyDescent="0.2">
      <c r="A21" s="241"/>
      <c r="B21" s="171">
        <f t="shared" si="4"/>
        <v>17</v>
      </c>
      <c r="C21" s="130"/>
      <c r="D21" s="169"/>
      <c r="E21" s="290" t="s">
        <v>669</v>
      </c>
      <c r="F21" s="290" t="s">
        <v>199</v>
      </c>
      <c r="G21" s="525" t="s">
        <v>437</v>
      </c>
      <c r="H21" s="526">
        <v>14000</v>
      </c>
      <c r="I21" s="526"/>
      <c r="J21" s="526">
        <f t="shared" si="9"/>
        <v>14000</v>
      </c>
      <c r="K21" s="132"/>
      <c r="L21" s="527"/>
      <c r="M21" s="527"/>
      <c r="N21" s="527"/>
      <c r="O21" s="132"/>
      <c r="P21" s="137">
        <f t="shared" si="2"/>
        <v>14000</v>
      </c>
      <c r="Q21" s="137">
        <f t="shared" ref="Q21:R36" si="14">I21+M21</f>
        <v>0</v>
      </c>
      <c r="R21" s="137">
        <f t="shared" si="14"/>
        <v>14000</v>
      </c>
    </row>
    <row r="22" spans="1:18" s="151" customFormat="1" ht="12" customHeight="1" x14ac:dyDescent="0.2">
      <c r="A22" s="241"/>
      <c r="B22" s="171">
        <f t="shared" si="4"/>
        <v>18</v>
      </c>
      <c r="C22" s="130"/>
      <c r="D22" s="169"/>
      <c r="E22" s="290" t="s">
        <v>669</v>
      </c>
      <c r="F22" s="290" t="s">
        <v>200</v>
      </c>
      <c r="G22" s="525" t="s">
        <v>666</v>
      </c>
      <c r="H22" s="526">
        <f>200+20000</f>
        <v>20200</v>
      </c>
      <c r="I22" s="526"/>
      <c r="J22" s="526">
        <f t="shared" si="9"/>
        <v>20200</v>
      </c>
      <c r="K22" s="132"/>
      <c r="L22" s="526"/>
      <c r="M22" s="526"/>
      <c r="N22" s="526"/>
      <c r="O22" s="132"/>
      <c r="P22" s="137">
        <f t="shared" si="2"/>
        <v>20200</v>
      </c>
      <c r="Q22" s="137">
        <f t="shared" si="14"/>
        <v>0</v>
      </c>
      <c r="R22" s="137">
        <f t="shared" si="14"/>
        <v>20200</v>
      </c>
    </row>
    <row r="23" spans="1:18" s="151" customFormat="1" ht="12" customHeight="1" x14ac:dyDescent="0.2">
      <c r="A23" s="241"/>
      <c r="B23" s="171">
        <f t="shared" si="4"/>
        <v>19</v>
      </c>
      <c r="C23" s="130"/>
      <c r="D23" s="169"/>
      <c r="E23" s="290" t="s">
        <v>669</v>
      </c>
      <c r="F23" s="290" t="s">
        <v>216</v>
      </c>
      <c r="G23" s="525" t="s">
        <v>438</v>
      </c>
      <c r="H23" s="526">
        <v>105000</v>
      </c>
      <c r="I23" s="526"/>
      <c r="J23" s="526">
        <f t="shared" si="9"/>
        <v>105000</v>
      </c>
      <c r="K23" s="132"/>
      <c r="L23" s="526"/>
      <c r="M23" s="526"/>
      <c r="N23" s="526"/>
      <c r="O23" s="132"/>
      <c r="P23" s="137">
        <f t="shared" si="2"/>
        <v>105000</v>
      </c>
      <c r="Q23" s="137">
        <f t="shared" si="14"/>
        <v>0</v>
      </c>
      <c r="R23" s="137">
        <f t="shared" si="14"/>
        <v>105000</v>
      </c>
    </row>
    <row r="24" spans="1:18" s="151" customFormat="1" ht="12" customHeight="1" x14ac:dyDescent="0.2">
      <c r="A24" s="241"/>
      <c r="B24" s="171">
        <f t="shared" si="4"/>
        <v>20</v>
      </c>
      <c r="C24" s="130"/>
      <c r="D24" s="178"/>
      <c r="E24" s="290" t="s">
        <v>669</v>
      </c>
      <c r="F24" s="290" t="s">
        <v>217</v>
      </c>
      <c r="G24" s="525" t="s">
        <v>267</v>
      </c>
      <c r="H24" s="526">
        <v>300</v>
      </c>
      <c r="I24" s="526"/>
      <c r="J24" s="526">
        <f t="shared" si="9"/>
        <v>300</v>
      </c>
      <c r="K24" s="132"/>
      <c r="L24" s="526"/>
      <c r="M24" s="526"/>
      <c r="N24" s="526"/>
      <c r="O24" s="132"/>
      <c r="P24" s="137">
        <f t="shared" si="2"/>
        <v>300</v>
      </c>
      <c r="Q24" s="137">
        <f t="shared" si="14"/>
        <v>0</v>
      </c>
      <c r="R24" s="137">
        <f t="shared" si="14"/>
        <v>300</v>
      </c>
    </row>
    <row r="25" spans="1:18" ht="15" customHeight="1" x14ac:dyDescent="0.25">
      <c r="B25" s="171">
        <f t="shared" si="4"/>
        <v>21</v>
      </c>
      <c r="C25" s="23">
        <v>2</v>
      </c>
      <c r="D25" s="127" t="s">
        <v>174</v>
      </c>
      <c r="E25" s="24"/>
      <c r="F25" s="24"/>
      <c r="G25" s="193"/>
      <c r="H25" s="414">
        <f>SUM(H26:H34)</f>
        <v>42091</v>
      </c>
      <c r="I25" s="414">
        <f t="shared" ref="I25" si="15">SUM(I26:I34)</f>
        <v>0</v>
      </c>
      <c r="J25" s="414">
        <f t="shared" si="9"/>
        <v>42091</v>
      </c>
      <c r="K25" s="88"/>
      <c r="L25" s="381">
        <f>SUM(L33:L34)</f>
        <v>22000</v>
      </c>
      <c r="M25" s="381">
        <f t="shared" ref="M25" si="16">SUM(M33:M35)</f>
        <v>0</v>
      </c>
      <c r="N25" s="381">
        <f t="shared" si="7"/>
        <v>22000</v>
      </c>
      <c r="O25" s="88"/>
      <c r="P25" s="374">
        <f t="shared" si="2"/>
        <v>64091</v>
      </c>
      <c r="Q25" s="374">
        <f t="shared" si="14"/>
        <v>0</v>
      </c>
      <c r="R25" s="374">
        <f t="shared" si="14"/>
        <v>64091</v>
      </c>
    </row>
    <row r="26" spans="1:18" s="151" customFormat="1" ht="12" customHeight="1" x14ac:dyDescent="0.2">
      <c r="A26" s="241"/>
      <c r="B26" s="171">
        <f t="shared" si="4"/>
        <v>22</v>
      </c>
      <c r="C26" s="130"/>
      <c r="D26" s="130"/>
      <c r="E26" s="524" t="s">
        <v>244</v>
      </c>
      <c r="F26" s="524">
        <v>637</v>
      </c>
      <c r="G26" s="194" t="s">
        <v>242</v>
      </c>
      <c r="H26" s="526">
        <f>35000-2030-22949</f>
        <v>10021</v>
      </c>
      <c r="I26" s="526"/>
      <c r="J26" s="526">
        <f t="shared" si="9"/>
        <v>10021</v>
      </c>
      <c r="K26" s="132"/>
      <c r="L26" s="526"/>
      <c r="M26" s="526"/>
      <c r="N26" s="526"/>
      <c r="O26" s="132"/>
      <c r="P26" s="137">
        <f t="shared" si="2"/>
        <v>10021</v>
      </c>
      <c r="Q26" s="137">
        <f t="shared" si="14"/>
        <v>0</v>
      </c>
      <c r="R26" s="137">
        <f t="shared" si="14"/>
        <v>10021</v>
      </c>
    </row>
    <row r="27" spans="1:18" s="151" customFormat="1" ht="12" customHeight="1" x14ac:dyDescent="0.2">
      <c r="A27" s="241"/>
      <c r="B27" s="171">
        <f t="shared" si="4"/>
        <v>23</v>
      </c>
      <c r="C27" s="130"/>
      <c r="D27" s="130"/>
      <c r="E27" s="524" t="s">
        <v>244</v>
      </c>
      <c r="F27" s="134">
        <v>635</v>
      </c>
      <c r="G27" s="194" t="s">
        <v>243</v>
      </c>
      <c r="H27" s="526">
        <v>2000</v>
      </c>
      <c r="I27" s="526"/>
      <c r="J27" s="526">
        <f t="shared" si="9"/>
        <v>2000</v>
      </c>
      <c r="K27" s="132"/>
      <c r="L27" s="526"/>
      <c r="M27" s="526"/>
      <c r="N27" s="526"/>
      <c r="O27" s="132"/>
      <c r="P27" s="137">
        <f t="shared" si="2"/>
        <v>2000</v>
      </c>
      <c r="Q27" s="137">
        <f t="shared" si="14"/>
        <v>0</v>
      </c>
      <c r="R27" s="137">
        <f t="shared" si="14"/>
        <v>2000</v>
      </c>
    </row>
    <row r="28" spans="1:18" s="496" customFormat="1" ht="24.75" customHeight="1" x14ac:dyDescent="0.2">
      <c r="A28" s="494"/>
      <c r="B28" s="672">
        <f t="shared" si="4"/>
        <v>24</v>
      </c>
      <c r="C28" s="454"/>
      <c r="D28" s="454"/>
      <c r="E28" s="458" t="s">
        <v>244</v>
      </c>
      <c r="F28" s="451">
        <v>637</v>
      </c>
      <c r="G28" s="495" t="s">
        <v>708</v>
      </c>
      <c r="H28" s="531">
        <v>9000</v>
      </c>
      <c r="I28" s="531"/>
      <c r="J28" s="531">
        <f t="shared" si="9"/>
        <v>9000</v>
      </c>
      <c r="K28" s="448"/>
      <c r="L28" s="465"/>
      <c r="M28" s="465"/>
      <c r="N28" s="465"/>
      <c r="O28" s="448"/>
      <c r="P28" s="663">
        <f t="shared" si="2"/>
        <v>9000</v>
      </c>
      <c r="Q28" s="663">
        <f t="shared" si="14"/>
        <v>0</v>
      </c>
      <c r="R28" s="663">
        <f t="shared" si="14"/>
        <v>9000</v>
      </c>
    </row>
    <row r="29" spans="1:18" s="151" customFormat="1" ht="12" customHeight="1" x14ac:dyDescent="0.2">
      <c r="A29" s="241"/>
      <c r="B29" s="171">
        <f t="shared" si="4"/>
        <v>25</v>
      </c>
      <c r="C29" s="130"/>
      <c r="D29" s="130"/>
      <c r="E29" s="524" t="s">
        <v>244</v>
      </c>
      <c r="F29" s="134">
        <v>637</v>
      </c>
      <c r="G29" s="194" t="s">
        <v>710</v>
      </c>
      <c r="H29" s="526">
        <f>8000+2000</f>
        <v>10000</v>
      </c>
      <c r="I29" s="526"/>
      <c r="J29" s="526">
        <f t="shared" si="9"/>
        <v>10000</v>
      </c>
      <c r="K29" s="132"/>
      <c r="L29" s="382"/>
      <c r="M29" s="382"/>
      <c r="N29" s="382"/>
      <c r="O29" s="132"/>
      <c r="P29" s="137">
        <f t="shared" si="2"/>
        <v>10000</v>
      </c>
      <c r="Q29" s="137">
        <f t="shared" si="14"/>
        <v>0</v>
      </c>
      <c r="R29" s="137">
        <f t="shared" si="14"/>
        <v>10000</v>
      </c>
    </row>
    <row r="30" spans="1:18" s="151" customFormat="1" ht="12" customHeight="1" x14ac:dyDescent="0.2">
      <c r="A30" s="241"/>
      <c r="B30" s="171">
        <f t="shared" si="4"/>
        <v>26</v>
      </c>
      <c r="C30" s="130"/>
      <c r="D30" s="159"/>
      <c r="E30" s="524" t="s">
        <v>244</v>
      </c>
      <c r="F30" s="134">
        <v>637</v>
      </c>
      <c r="G30" s="194" t="s">
        <v>707</v>
      </c>
      <c r="H30" s="526">
        <v>9000</v>
      </c>
      <c r="I30" s="526"/>
      <c r="J30" s="526">
        <f t="shared" si="9"/>
        <v>9000</v>
      </c>
      <c r="K30" s="132"/>
      <c r="L30" s="382"/>
      <c r="M30" s="382"/>
      <c r="N30" s="382"/>
      <c r="O30" s="132"/>
      <c r="P30" s="137">
        <f t="shared" si="2"/>
        <v>9000</v>
      </c>
      <c r="Q30" s="137">
        <f t="shared" si="14"/>
        <v>0</v>
      </c>
      <c r="R30" s="137">
        <f t="shared" si="14"/>
        <v>9000</v>
      </c>
    </row>
    <row r="31" spans="1:18" s="151" customFormat="1" ht="12" customHeight="1" x14ac:dyDescent="0.2">
      <c r="A31" s="241"/>
      <c r="B31" s="171">
        <f t="shared" si="4"/>
        <v>27</v>
      </c>
      <c r="C31" s="130"/>
      <c r="D31" s="159"/>
      <c r="E31" s="524" t="s">
        <v>244</v>
      </c>
      <c r="F31" s="134">
        <v>620</v>
      </c>
      <c r="G31" s="194" t="s">
        <v>240</v>
      </c>
      <c r="H31" s="526">
        <v>2030</v>
      </c>
      <c r="I31" s="526"/>
      <c r="J31" s="526">
        <f t="shared" si="9"/>
        <v>2030</v>
      </c>
      <c r="K31" s="132"/>
      <c r="L31" s="382"/>
      <c r="M31" s="382"/>
      <c r="N31" s="382"/>
      <c r="O31" s="132"/>
      <c r="P31" s="137">
        <f t="shared" si="2"/>
        <v>2030</v>
      </c>
      <c r="Q31" s="137">
        <f t="shared" si="14"/>
        <v>0</v>
      </c>
      <c r="R31" s="137">
        <f t="shared" si="14"/>
        <v>2030</v>
      </c>
    </row>
    <row r="32" spans="1:18" s="151" customFormat="1" ht="12" customHeight="1" x14ac:dyDescent="0.2">
      <c r="A32" s="241"/>
      <c r="B32" s="171">
        <f t="shared" si="4"/>
        <v>28</v>
      </c>
      <c r="C32" s="130"/>
      <c r="D32" s="159"/>
      <c r="E32" s="524" t="s">
        <v>244</v>
      </c>
      <c r="F32" s="134">
        <v>637</v>
      </c>
      <c r="G32" s="194" t="s">
        <v>765</v>
      </c>
      <c r="H32" s="526">
        <v>40</v>
      </c>
      <c r="I32" s="526"/>
      <c r="J32" s="526">
        <f t="shared" si="9"/>
        <v>40</v>
      </c>
      <c r="K32" s="132"/>
      <c r="L32" s="382"/>
      <c r="M32" s="382"/>
      <c r="N32" s="382"/>
      <c r="O32" s="132"/>
      <c r="P32" s="137">
        <f t="shared" si="2"/>
        <v>40</v>
      </c>
      <c r="Q32" s="137">
        <f t="shared" si="14"/>
        <v>0</v>
      </c>
      <c r="R32" s="137">
        <f t="shared" si="14"/>
        <v>40</v>
      </c>
    </row>
    <row r="33" spans="1:18" s="151" customFormat="1" ht="12" customHeight="1" x14ac:dyDescent="0.2">
      <c r="A33" s="241"/>
      <c r="B33" s="171">
        <f t="shared" si="4"/>
        <v>29</v>
      </c>
      <c r="C33" s="130"/>
      <c r="D33" s="159"/>
      <c r="E33" s="524" t="s">
        <v>244</v>
      </c>
      <c r="F33" s="134">
        <v>711</v>
      </c>
      <c r="G33" s="194" t="s">
        <v>586</v>
      </c>
      <c r="H33" s="526"/>
      <c r="I33" s="526"/>
      <c r="J33" s="526"/>
      <c r="K33" s="132"/>
      <c r="L33" s="382">
        <v>12000</v>
      </c>
      <c r="M33" s="382"/>
      <c r="N33" s="382">
        <f t="shared" si="7"/>
        <v>12000</v>
      </c>
      <c r="O33" s="132"/>
      <c r="P33" s="137">
        <f t="shared" si="2"/>
        <v>12000</v>
      </c>
      <c r="Q33" s="137">
        <f t="shared" si="14"/>
        <v>0</v>
      </c>
      <c r="R33" s="137">
        <f t="shared" si="14"/>
        <v>12000</v>
      </c>
    </row>
    <row r="34" spans="1:18" s="151" customFormat="1" ht="12" customHeight="1" x14ac:dyDescent="0.2">
      <c r="A34" s="241"/>
      <c r="B34" s="171">
        <f t="shared" si="4"/>
        <v>30</v>
      </c>
      <c r="C34" s="130"/>
      <c r="D34" s="159"/>
      <c r="E34" s="524" t="s">
        <v>244</v>
      </c>
      <c r="F34" s="134">
        <v>716</v>
      </c>
      <c r="G34" s="194" t="s">
        <v>242</v>
      </c>
      <c r="H34" s="526"/>
      <c r="I34" s="526"/>
      <c r="J34" s="526"/>
      <c r="K34" s="132"/>
      <c r="L34" s="382">
        <v>10000</v>
      </c>
      <c r="M34" s="382"/>
      <c r="N34" s="382">
        <f t="shared" ref="N34:N47" si="17">L34+M34</f>
        <v>10000</v>
      </c>
      <c r="O34" s="132"/>
      <c r="P34" s="137">
        <f t="shared" si="2"/>
        <v>10000</v>
      </c>
      <c r="Q34" s="137">
        <f t="shared" si="14"/>
        <v>0</v>
      </c>
      <c r="R34" s="137">
        <f t="shared" si="14"/>
        <v>10000</v>
      </c>
    </row>
    <row r="35" spans="1:18" s="151" customFormat="1" ht="15" customHeight="1" x14ac:dyDescent="0.25">
      <c r="A35" s="241"/>
      <c r="B35" s="171">
        <f t="shared" si="4"/>
        <v>31</v>
      </c>
      <c r="C35" s="23">
        <v>3</v>
      </c>
      <c r="D35" s="918" t="s">
        <v>418</v>
      </c>
      <c r="E35" s="919"/>
      <c r="F35" s="919"/>
      <c r="G35" s="920"/>
      <c r="H35" s="411">
        <f>SUM(H36:H45)</f>
        <v>55549</v>
      </c>
      <c r="I35" s="411">
        <f t="shared" ref="I35" si="18">SUM(I36:I45)</f>
        <v>0</v>
      </c>
      <c r="J35" s="411">
        <f t="shared" si="9"/>
        <v>55549</v>
      </c>
      <c r="K35" s="132"/>
      <c r="L35" s="379">
        <f>SUM(L36:L51)</f>
        <v>117937</v>
      </c>
      <c r="M35" s="379">
        <f>SUM(M36:M51)</f>
        <v>0</v>
      </c>
      <c r="N35" s="379">
        <f t="shared" si="17"/>
        <v>117937</v>
      </c>
      <c r="O35" s="132"/>
      <c r="P35" s="375">
        <f t="shared" si="2"/>
        <v>173486</v>
      </c>
      <c r="Q35" s="375">
        <f t="shared" si="14"/>
        <v>0</v>
      </c>
      <c r="R35" s="375">
        <f t="shared" si="14"/>
        <v>173486</v>
      </c>
    </row>
    <row r="36" spans="1:18" s="151" customFormat="1" ht="12" customHeight="1" x14ac:dyDescent="0.2">
      <c r="A36" s="241"/>
      <c r="B36" s="171">
        <f t="shared" si="4"/>
        <v>32</v>
      </c>
      <c r="C36" s="130"/>
      <c r="D36" s="159"/>
      <c r="E36" s="290" t="s">
        <v>669</v>
      </c>
      <c r="F36" s="524">
        <v>637</v>
      </c>
      <c r="G36" s="194" t="s">
        <v>567</v>
      </c>
      <c r="H36" s="526">
        <f>15500-1450-2051</f>
        <v>11999</v>
      </c>
      <c r="I36" s="526"/>
      <c r="J36" s="526">
        <f t="shared" si="9"/>
        <v>11999</v>
      </c>
      <c r="K36" s="132"/>
      <c r="L36" s="382"/>
      <c r="M36" s="382"/>
      <c r="N36" s="382"/>
      <c r="O36" s="132"/>
      <c r="P36" s="137">
        <f t="shared" si="2"/>
        <v>11999</v>
      </c>
      <c r="Q36" s="137">
        <f t="shared" si="14"/>
        <v>0</v>
      </c>
      <c r="R36" s="137">
        <f t="shared" si="14"/>
        <v>11999</v>
      </c>
    </row>
    <row r="37" spans="1:18" s="151" customFormat="1" ht="12" customHeight="1" x14ac:dyDescent="0.2">
      <c r="A37" s="241"/>
      <c r="B37" s="171">
        <f t="shared" si="4"/>
        <v>33</v>
      </c>
      <c r="C37" s="130"/>
      <c r="D37" s="159"/>
      <c r="E37" s="290" t="s">
        <v>669</v>
      </c>
      <c r="F37" s="134">
        <v>637</v>
      </c>
      <c r="G37" s="194" t="s">
        <v>635</v>
      </c>
      <c r="H37" s="526">
        <f>20000-260-500-2000</f>
        <v>17240</v>
      </c>
      <c r="I37" s="526"/>
      <c r="J37" s="526">
        <f t="shared" si="9"/>
        <v>17240</v>
      </c>
      <c r="K37" s="132"/>
      <c r="L37" s="382"/>
      <c r="M37" s="382"/>
      <c r="N37" s="382"/>
      <c r="O37" s="132"/>
      <c r="P37" s="137">
        <f t="shared" ref="P37:P70" si="19">H37+L37</f>
        <v>17240</v>
      </c>
      <c r="Q37" s="137">
        <f t="shared" ref="Q37:R52" si="20">I37+M37</f>
        <v>0</v>
      </c>
      <c r="R37" s="137">
        <f t="shared" si="20"/>
        <v>17240</v>
      </c>
    </row>
    <row r="38" spans="1:18" s="151" customFormat="1" ht="12" customHeight="1" x14ac:dyDescent="0.2">
      <c r="A38" s="241"/>
      <c r="B38" s="171">
        <f t="shared" si="4"/>
        <v>34</v>
      </c>
      <c r="C38" s="130"/>
      <c r="D38" s="159"/>
      <c r="E38" s="290" t="s">
        <v>669</v>
      </c>
      <c r="F38" s="134">
        <v>637</v>
      </c>
      <c r="G38" s="194" t="s">
        <v>584</v>
      </c>
      <c r="H38" s="526">
        <v>800</v>
      </c>
      <c r="I38" s="526"/>
      <c r="J38" s="526">
        <f t="shared" si="9"/>
        <v>800</v>
      </c>
      <c r="K38" s="132"/>
      <c r="L38" s="382"/>
      <c r="M38" s="382"/>
      <c r="N38" s="382"/>
      <c r="O38" s="132"/>
      <c r="P38" s="137">
        <f t="shared" si="19"/>
        <v>800</v>
      </c>
      <c r="Q38" s="137">
        <f t="shared" si="20"/>
        <v>0</v>
      </c>
      <c r="R38" s="137">
        <f t="shared" si="20"/>
        <v>800</v>
      </c>
    </row>
    <row r="39" spans="1:18" s="151" customFormat="1" ht="12" customHeight="1" x14ac:dyDescent="0.2">
      <c r="A39" s="241"/>
      <c r="B39" s="171">
        <f t="shared" si="4"/>
        <v>35</v>
      </c>
      <c r="C39" s="130"/>
      <c r="D39" s="159"/>
      <c r="E39" s="290" t="s">
        <v>669</v>
      </c>
      <c r="F39" s="134">
        <v>637</v>
      </c>
      <c r="G39" s="194" t="s">
        <v>585</v>
      </c>
      <c r="H39" s="526">
        <f>2000-1000</f>
        <v>1000</v>
      </c>
      <c r="I39" s="526"/>
      <c r="J39" s="526">
        <f t="shared" si="9"/>
        <v>1000</v>
      </c>
      <c r="K39" s="132"/>
      <c r="L39" s="382"/>
      <c r="M39" s="382"/>
      <c r="N39" s="382"/>
      <c r="O39" s="132"/>
      <c r="P39" s="137">
        <f t="shared" si="19"/>
        <v>1000</v>
      </c>
      <c r="Q39" s="137">
        <f t="shared" si="20"/>
        <v>0</v>
      </c>
      <c r="R39" s="137">
        <f t="shared" si="20"/>
        <v>1000</v>
      </c>
    </row>
    <row r="40" spans="1:18" s="151" customFormat="1" ht="12" customHeight="1" x14ac:dyDescent="0.2">
      <c r="A40" s="241"/>
      <c r="B40" s="171">
        <f t="shared" si="4"/>
        <v>36</v>
      </c>
      <c r="C40" s="130"/>
      <c r="D40" s="159"/>
      <c r="E40" s="290" t="s">
        <v>669</v>
      </c>
      <c r="F40" s="134">
        <v>633</v>
      </c>
      <c r="G40" s="194" t="s">
        <v>536</v>
      </c>
      <c r="H40" s="526">
        <v>1000</v>
      </c>
      <c r="I40" s="526"/>
      <c r="J40" s="526">
        <f t="shared" si="9"/>
        <v>1000</v>
      </c>
      <c r="K40" s="132"/>
      <c r="L40" s="382"/>
      <c r="M40" s="382"/>
      <c r="N40" s="382"/>
      <c r="O40" s="132"/>
      <c r="P40" s="137">
        <f t="shared" si="19"/>
        <v>1000</v>
      </c>
      <c r="Q40" s="137">
        <f t="shared" si="20"/>
        <v>0</v>
      </c>
      <c r="R40" s="137">
        <f t="shared" si="20"/>
        <v>1000</v>
      </c>
    </row>
    <row r="41" spans="1:18" s="151" customFormat="1" ht="12" customHeight="1" x14ac:dyDescent="0.2">
      <c r="A41" s="241"/>
      <c r="B41" s="171">
        <f t="shared" si="4"/>
        <v>37</v>
      </c>
      <c r="C41" s="130"/>
      <c r="D41" s="159"/>
      <c r="E41" s="290" t="s">
        <v>669</v>
      </c>
      <c r="F41" s="134">
        <v>631</v>
      </c>
      <c r="G41" s="194" t="s">
        <v>636</v>
      </c>
      <c r="H41" s="526">
        <v>800</v>
      </c>
      <c r="I41" s="526"/>
      <c r="J41" s="526">
        <f t="shared" si="9"/>
        <v>800</v>
      </c>
      <c r="K41" s="132"/>
      <c r="L41" s="382"/>
      <c r="M41" s="382"/>
      <c r="N41" s="382"/>
      <c r="O41" s="132"/>
      <c r="P41" s="137">
        <f t="shared" si="19"/>
        <v>800</v>
      </c>
      <c r="Q41" s="137">
        <f t="shared" si="20"/>
        <v>0</v>
      </c>
      <c r="R41" s="137">
        <f t="shared" si="20"/>
        <v>800</v>
      </c>
    </row>
    <row r="42" spans="1:18" s="151" customFormat="1" ht="12" customHeight="1" x14ac:dyDescent="0.2">
      <c r="A42" s="241"/>
      <c r="B42" s="171">
        <f t="shared" si="4"/>
        <v>38</v>
      </c>
      <c r="C42" s="130"/>
      <c r="D42" s="159"/>
      <c r="E42" s="290" t="s">
        <v>669</v>
      </c>
      <c r="F42" s="134">
        <v>633</v>
      </c>
      <c r="G42" s="194" t="s">
        <v>247</v>
      </c>
      <c r="H42" s="526">
        <v>500</v>
      </c>
      <c r="I42" s="526"/>
      <c r="J42" s="526">
        <f t="shared" si="9"/>
        <v>500</v>
      </c>
      <c r="K42" s="132"/>
      <c r="L42" s="382"/>
      <c r="M42" s="382"/>
      <c r="N42" s="382"/>
      <c r="O42" s="132"/>
      <c r="P42" s="137">
        <f t="shared" si="19"/>
        <v>500</v>
      </c>
      <c r="Q42" s="137">
        <f t="shared" si="20"/>
        <v>0</v>
      </c>
      <c r="R42" s="137">
        <f t="shared" si="20"/>
        <v>500</v>
      </c>
    </row>
    <row r="43" spans="1:18" s="151" customFormat="1" ht="12" customHeight="1" x14ac:dyDescent="0.2">
      <c r="A43" s="241"/>
      <c r="B43" s="171">
        <f t="shared" si="4"/>
        <v>39</v>
      </c>
      <c r="C43" s="130"/>
      <c r="D43" s="159"/>
      <c r="E43" s="290" t="s">
        <v>669</v>
      </c>
      <c r="F43" s="134">
        <v>637</v>
      </c>
      <c r="G43" s="194" t="s">
        <v>682</v>
      </c>
      <c r="H43" s="526">
        <v>20000</v>
      </c>
      <c r="I43" s="526"/>
      <c r="J43" s="526">
        <f t="shared" si="9"/>
        <v>20000</v>
      </c>
      <c r="K43" s="132"/>
      <c r="L43" s="382"/>
      <c r="M43" s="382"/>
      <c r="N43" s="382"/>
      <c r="O43" s="132"/>
      <c r="P43" s="137">
        <f t="shared" si="19"/>
        <v>20000</v>
      </c>
      <c r="Q43" s="137">
        <f t="shared" si="20"/>
        <v>0</v>
      </c>
      <c r="R43" s="137">
        <f t="shared" si="20"/>
        <v>20000</v>
      </c>
    </row>
    <row r="44" spans="1:18" s="151" customFormat="1" ht="12" customHeight="1" x14ac:dyDescent="0.2">
      <c r="A44" s="241"/>
      <c r="B44" s="171">
        <f t="shared" si="4"/>
        <v>40</v>
      </c>
      <c r="C44" s="130"/>
      <c r="D44" s="159"/>
      <c r="E44" s="290" t="s">
        <v>669</v>
      </c>
      <c r="F44" s="134">
        <v>620</v>
      </c>
      <c r="G44" s="194" t="s">
        <v>240</v>
      </c>
      <c r="H44" s="526">
        <v>1710</v>
      </c>
      <c r="I44" s="526"/>
      <c r="J44" s="526">
        <f t="shared" si="9"/>
        <v>1710</v>
      </c>
      <c r="K44" s="132"/>
      <c r="L44" s="382"/>
      <c r="M44" s="382"/>
      <c r="N44" s="382"/>
      <c r="O44" s="132"/>
      <c r="P44" s="137">
        <f t="shared" si="19"/>
        <v>1710</v>
      </c>
      <c r="Q44" s="137">
        <f t="shared" si="20"/>
        <v>0</v>
      </c>
      <c r="R44" s="137">
        <f t="shared" si="20"/>
        <v>1710</v>
      </c>
    </row>
    <row r="45" spans="1:18" s="151" customFormat="1" ht="12" customHeight="1" x14ac:dyDescent="0.2">
      <c r="A45" s="241"/>
      <c r="B45" s="171">
        <f t="shared" si="4"/>
        <v>41</v>
      </c>
      <c r="C45" s="130"/>
      <c r="D45" s="159"/>
      <c r="E45" s="290" t="s">
        <v>669</v>
      </c>
      <c r="F45" s="134">
        <v>620</v>
      </c>
      <c r="G45" s="194" t="s">
        <v>818</v>
      </c>
      <c r="H45" s="526">
        <v>500</v>
      </c>
      <c r="I45" s="526"/>
      <c r="J45" s="526">
        <f t="shared" si="9"/>
        <v>500</v>
      </c>
      <c r="K45" s="132"/>
      <c r="L45" s="382"/>
      <c r="M45" s="382"/>
      <c r="N45" s="382"/>
      <c r="O45" s="132"/>
      <c r="P45" s="137">
        <f t="shared" si="19"/>
        <v>500</v>
      </c>
      <c r="Q45" s="137">
        <f t="shared" si="20"/>
        <v>0</v>
      </c>
      <c r="R45" s="137">
        <f t="shared" si="20"/>
        <v>500</v>
      </c>
    </row>
    <row r="46" spans="1:18" s="151" customFormat="1" ht="12" customHeight="1" x14ac:dyDescent="0.2">
      <c r="A46" s="241"/>
      <c r="B46" s="171">
        <f t="shared" si="4"/>
        <v>42</v>
      </c>
      <c r="C46" s="130"/>
      <c r="D46" s="159"/>
      <c r="E46" s="290" t="s">
        <v>669</v>
      </c>
      <c r="F46" s="524">
        <v>716</v>
      </c>
      <c r="G46" s="194" t="s">
        <v>701</v>
      </c>
      <c r="H46" s="526"/>
      <c r="I46" s="526"/>
      <c r="J46" s="526"/>
      <c r="K46" s="132"/>
      <c r="L46" s="382">
        <f>50000-15000-2063</f>
        <v>32937</v>
      </c>
      <c r="M46" s="382"/>
      <c r="N46" s="382">
        <f t="shared" si="17"/>
        <v>32937</v>
      </c>
      <c r="O46" s="132"/>
      <c r="P46" s="137">
        <f t="shared" si="19"/>
        <v>32937</v>
      </c>
      <c r="Q46" s="137">
        <f t="shared" si="20"/>
        <v>0</v>
      </c>
      <c r="R46" s="137">
        <f t="shared" si="20"/>
        <v>32937</v>
      </c>
    </row>
    <row r="47" spans="1:18" s="151" customFormat="1" ht="12" customHeight="1" x14ac:dyDescent="0.2">
      <c r="A47" s="241"/>
      <c r="B47" s="171">
        <f t="shared" si="4"/>
        <v>43</v>
      </c>
      <c r="C47" s="130"/>
      <c r="D47" s="159"/>
      <c r="E47" s="290" t="s">
        <v>669</v>
      </c>
      <c r="F47" s="524">
        <v>717</v>
      </c>
      <c r="G47" s="194" t="s">
        <v>637</v>
      </c>
      <c r="H47" s="526"/>
      <c r="I47" s="526"/>
      <c r="J47" s="526"/>
      <c r="K47" s="132"/>
      <c r="L47" s="382">
        <f>150000-72000</f>
        <v>78000</v>
      </c>
      <c r="M47" s="382"/>
      <c r="N47" s="382">
        <f t="shared" si="17"/>
        <v>78000</v>
      </c>
      <c r="O47" s="132"/>
      <c r="P47" s="137">
        <f t="shared" si="19"/>
        <v>78000</v>
      </c>
      <c r="Q47" s="137">
        <f t="shared" si="20"/>
        <v>0</v>
      </c>
      <c r="R47" s="137">
        <f t="shared" si="20"/>
        <v>78000</v>
      </c>
    </row>
    <row r="48" spans="1:18" s="151" customFormat="1" ht="12" customHeight="1" x14ac:dyDescent="0.2">
      <c r="A48" s="241"/>
      <c r="B48" s="171">
        <f t="shared" si="4"/>
        <v>44</v>
      </c>
      <c r="C48" s="130"/>
      <c r="D48" s="159"/>
      <c r="E48" s="290" t="s">
        <v>669</v>
      </c>
      <c r="F48" s="134">
        <v>717</v>
      </c>
      <c r="G48" s="194" t="s">
        <v>638</v>
      </c>
      <c r="H48" s="526"/>
      <c r="I48" s="526"/>
      <c r="J48" s="526"/>
      <c r="K48" s="132"/>
      <c r="L48" s="382">
        <v>7000</v>
      </c>
      <c r="M48" s="382"/>
      <c r="N48" s="382">
        <f t="shared" ref="N48:N70" si="21">L48+M48</f>
        <v>7000</v>
      </c>
      <c r="O48" s="132"/>
      <c r="P48" s="137">
        <f t="shared" si="19"/>
        <v>7000</v>
      </c>
      <c r="Q48" s="137">
        <f t="shared" si="20"/>
        <v>0</v>
      </c>
      <c r="R48" s="137">
        <f t="shared" si="20"/>
        <v>7000</v>
      </c>
    </row>
    <row r="49" spans="1:20" ht="15" customHeight="1" x14ac:dyDescent="0.25">
      <c r="B49" s="171">
        <f t="shared" si="4"/>
        <v>45</v>
      </c>
      <c r="C49" s="21">
        <v>4</v>
      </c>
      <c r="D49" s="126" t="s">
        <v>127</v>
      </c>
      <c r="E49" s="126"/>
      <c r="F49" s="22"/>
      <c r="G49" s="195"/>
      <c r="H49" s="411">
        <v>0</v>
      </c>
      <c r="I49" s="411">
        <v>0</v>
      </c>
      <c r="J49" s="411">
        <f t="shared" si="9"/>
        <v>0</v>
      </c>
      <c r="K49" s="112"/>
      <c r="L49" s="379">
        <v>0</v>
      </c>
      <c r="M49" s="379">
        <v>0</v>
      </c>
      <c r="N49" s="379">
        <f t="shared" si="21"/>
        <v>0</v>
      </c>
      <c r="O49" s="112"/>
      <c r="P49" s="374">
        <f t="shared" si="19"/>
        <v>0</v>
      </c>
      <c r="Q49" s="374">
        <f t="shared" si="20"/>
        <v>0</v>
      </c>
      <c r="R49" s="374">
        <f t="shared" si="20"/>
        <v>0</v>
      </c>
    </row>
    <row r="50" spans="1:20" ht="15" customHeight="1" x14ac:dyDescent="0.25">
      <c r="B50" s="171">
        <f t="shared" si="4"/>
        <v>46</v>
      </c>
      <c r="C50" s="21">
        <v>5</v>
      </c>
      <c r="D50" s="599" t="s">
        <v>441</v>
      </c>
      <c r="E50" s="126"/>
      <c r="F50" s="22"/>
      <c r="G50" s="195"/>
      <c r="H50" s="411">
        <v>0</v>
      </c>
      <c r="I50" s="411">
        <v>0</v>
      </c>
      <c r="J50" s="411">
        <f t="shared" si="9"/>
        <v>0</v>
      </c>
      <c r="K50" s="112"/>
      <c r="L50" s="379">
        <v>0</v>
      </c>
      <c r="M50" s="379">
        <v>0</v>
      </c>
      <c r="N50" s="379">
        <f t="shared" si="21"/>
        <v>0</v>
      </c>
      <c r="O50" s="112"/>
      <c r="P50" s="374">
        <f t="shared" si="19"/>
        <v>0</v>
      </c>
      <c r="Q50" s="374">
        <f t="shared" si="20"/>
        <v>0</v>
      </c>
      <c r="R50" s="374">
        <f t="shared" si="20"/>
        <v>0</v>
      </c>
    </row>
    <row r="51" spans="1:20" ht="15" customHeight="1" x14ac:dyDescent="0.25">
      <c r="B51" s="171">
        <f t="shared" si="4"/>
        <v>47</v>
      </c>
      <c r="C51" s="21">
        <v>6</v>
      </c>
      <c r="D51" s="126" t="s">
        <v>128</v>
      </c>
      <c r="E51" s="126"/>
      <c r="F51" s="22"/>
      <c r="G51" s="195"/>
      <c r="H51" s="411">
        <v>0</v>
      </c>
      <c r="I51" s="411">
        <v>0</v>
      </c>
      <c r="J51" s="411">
        <f t="shared" si="9"/>
        <v>0</v>
      </c>
      <c r="K51" s="112"/>
      <c r="L51" s="379">
        <v>0</v>
      </c>
      <c r="M51" s="379">
        <v>0</v>
      </c>
      <c r="N51" s="379">
        <f t="shared" si="21"/>
        <v>0</v>
      </c>
      <c r="O51" s="112"/>
      <c r="P51" s="374">
        <f t="shared" si="19"/>
        <v>0</v>
      </c>
      <c r="Q51" s="374">
        <f t="shared" si="20"/>
        <v>0</v>
      </c>
      <c r="R51" s="374">
        <f t="shared" si="20"/>
        <v>0</v>
      </c>
    </row>
    <row r="52" spans="1:20" ht="15" customHeight="1" x14ac:dyDescent="0.25">
      <c r="B52" s="171">
        <f t="shared" si="4"/>
        <v>48</v>
      </c>
      <c r="C52" s="21">
        <v>7</v>
      </c>
      <c r="D52" s="126" t="s">
        <v>482</v>
      </c>
      <c r="E52" s="126"/>
      <c r="F52" s="22"/>
      <c r="G52" s="195"/>
      <c r="H52" s="411">
        <f>SUM(H53:H58)</f>
        <v>65600</v>
      </c>
      <c r="I52" s="411">
        <f t="shared" ref="I52" si="22">SUM(I53:I58)</f>
        <v>0</v>
      </c>
      <c r="J52" s="411">
        <f t="shared" si="9"/>
        <v>65600</v>
      </c>
      <c r="K52" s="112"/>
      <c r="L52" s="379">
        <v>0</v>
      </c>
      <c r="M52" s="379">
        <v>0</v>
      </c>
      <c r="N52" s="379">
        <f t="shared" si="21"/>
        <v>0</v>
      </c>
      <c r="O52" s="112"/>
      <c r="P52" s="374">
        <f t="shared" si="19"/>
        <v>65600</v>
      </c>
      <c r="Q52" s="374">
        <f t="shared" si="20"/>
        <v>0</v>
      </c>
      <c r="R52" s="374">
        <f t="shared" si="20"/>
        <v>65600</v>
      </c>
    </row>
    <row r="53" spans="1:20" s="133" customFormat="1" ht="12" customHeight="1" x14ac:dyDescent="0.2">
      <c r="A53" s="240"/>
      <c r="B53" s="171">
        <f t="shared" si="4"/>
        <v>49</v>
      </c>
      <c r="C53" s="130"/>
      <c r="D53" s="130"/>
      <c r="E53" s="524" t="s">
        <v>280</v>
      </c>
      <c r="F53" s="524">
        <v>637</v>
      </c>
      <c r="G53" s="194" t="s">
        <v>629</v>
      </c>
      <c r="H53" s="526">
        <v>8500</v>
      </c>
      <c r="I53" s="526"/>
      <c r="J53" s="526">
        <f t="shared" si="9"/>
        <v>8500</v>
      </c>
      <c r="K53" s="132"/>
      <c r="L53" s="527"/>
      <c r="M53" s="527"/>
      <c r="N53" s="527">
        <f t="shared" si="21"/>
        <v>0</v>
      </c>
      <c r="O53" s="132"/>
      <c r="P53" s="528">
        <f t="shared" si="19"/>
        <v>8500</v>
      </c>
      <c r="Q53" s="528">
        <f t="shared" ref="Q53:R68" si="23">I53+M53</f>
        <v>0</v>
      </c>
      <c r="R53" s="528">
        <f t="shared" si="23"/>
        <v>8500</v>
      </c>
      <c r="T53" s="172"/>
    </row>
    <row r="54" spans="1:20" s="133" customFormat="1" ht="12" customHeight="1" x14ac:dyDescent="0.2">
      <c r="A54" s="240"/>
      <c r="B54" s="171">
        <f t="shared" si="4"/>
        <v>50</v>
      </c>
      <c r="C54" s="130"/>
      <c r="D54" s="130"/>
      <c r="E54" s="524" t="s">
        <v>280</v>
      </c>
      <c r="F54" s="134">
        <v>637</v>
      </c>
      <c r="G54" s="194" t="s">
        <v>563</v>
      </c>
      <c r="H54" s="526">
        <v>20000</v>
      </c>
      <c r="I54" s="526"/>
      <c r="J54" s="526">
        <f t="shared" si="9"/>
        <v>20000</v>
      </c>
      <c r="K54" s="132"/>
      <c r="L54" s="527"/>
      <c r="M54" s="527"/>
      <c r="N54" s="527">
        <f t="shared" si="21"/>
        <v>0</v>
      </c>
      <c r="O54" s="132"/>
      <c r="P54" s="528">
        <f t="shared" si="19"/>
        <v>20000</v>
      </c>
      <c r="Q54" s="528">
        <f t="shared" si="23"/>
        <v>0</v>
      </c>
      <c r="R54" s="528">
        <f t="shared" si="23"/>
        <v>20000</v>
      </c>
    </row>
    <row r="55" spans="1:20" s="133" customFormat="1" ht="12" customHeight="1" x14ac:dyDescent="0.2">
      <c r="A55" s="240"/>
      <c r="B55" s="171">
        <f t="shared" si="4"/>
        <v>51</v>
      </c>
      <c r="C55" s="130"/>
      <c r="D55" s="130"/>
      <c r="E55" s="524" t="s">
        <v>280</v>
      </c>
      <c r="F55" s="134">
        <v>620</v>
      </c>
      <c r="G55" s="194" t="s">
        <v>628</v>
      </c>
      <c r="H55" s="526">
        <v>5600</v>
      </c>
      <c r="I55" s="526"/>
      <c r="J55" s="526">
        <f t="shared" si="9"/>
        <v>5600</v>
      </c>
      <c r="K55" s="132"/>
      <c r="L55" s="527"/>
      <c r="M55" s="527"/>
      <c r="N55" s="527">
        <f t="shared" si="21"/>
        <v>0</v>
      </c>
      <c r="O55" s="132"/>
      <c r="P55" s="528">
        <f t="shared" si="19"/>
        <v>5600</v>
      </c>
      <c r="Q55" s="528">
        <f t="shared" si="23"/>
        <v>0</v>
      </c>
      <c r="R55" s="528">
        <f t="shared" si="23"/>
        <v>5600</v>
      </c>
    </row>
    <row r="56" spans="1:20" s="133" customFormat="1" ht="12" customHeight="1" x14ac:dyDescent="0.2">
      <c r="A56" s="240"/>
      <c r="B56" s="171">
        <f t="shared" si="4"/>
        <v>52</v>
      </c>
      <c r="C56" s="130"/>
      <c r="D56" s="130"/>
      <c r="E56" s="524" t="s">
        <v>280</v>
      </c>
      <c r="F56" s="134">
        <v>633</v>
      </c>
      <c r="G56" s="194" t="s">
        <v>496</v>
      </c>
      <c r="H56" s="526">
        <v>5500</v>
      </c>
      <c r="I56" s="526"/>
      <c r="J56" s="526">
        <f t="shared" si="9"/>
        <v>5500</v>
      </c>
      <c r="K56" s="132"/>
      <c r="L56" s="527"/>
      <c r="M56" s="527"/>
      <c r="N56" s="527">
        <f t="shared" si="21"/>
        <v>0</v>
      </c>
      <c r="O56" s="132"/>
      <c r="P56" s="528">
        <f t="shared" si="19"/>
        <v>5500</v>
      </c>
      <c r="Q56" s="528">
        <f t="shared" si="23"/>
        <v>0</v>
      </c>
      <c r="R56" s="528">
        <f t="shared" si="23"/>
        <v>5500</v>
      </c>
    </row>
    <row r="57" spans="1:20" s="133" customFormat="1" ht="12" customHeight="1" x14ac:dyDescent="0.2">
      <c r="A57" s="240"/>
      <c r="B57" s="171">
        <f t="shared" ref="B57:B70" si="24">B56+1</f>
        <v>53</v>
      </c>
      <c r="C57" s="130"/>
      <c r="D57" s="130"/>
      <c r="E57" s="524" t="s">
        <v>280</v>
      </c>
      <c r="F57" s="134">
        <v>632</v>
      </c>
      <c r="G57" s="194" t="s">
        <v>281</v>
      </c>
      <c r="H57" s="526">
        <v>20000</v>
      </c>
      <c r="I57" s="526"/>
      <c r="J57" s="526">
        <f t="shared" si="9"/>
        <v>20000</v>
      </c>
      <c r="K57" s="132"/>
      <c r="L57" s="527"/>
      <c r="M57" s="527"/>
      <c r="N57" s="527">
        <f t="shared" si="21"/>
        <v>0</v>
      </c>
      <c r="O57" s="132"/>
      <c r="P57" s="528">
        <f t="shared" si="19"/>
        <v>20000</v>
      </c>
      <c r="Q57" s="528">
        <f t="shared" si="23"/>
        <v>0</v>
      </c>
      <c r="R57" s="528">
        <f t="shared" si="23"/>
        <v>20000</v>
      </c>
    </row>
    <row r="58" spans="1:20" s="133" customFormat="1" ht="12" customHeight="1" x14ac:dyDescent="0.2">
      <c r="A58" s="240"/>
      <c r="B58" s="171">
        <f t="shared" si="24"/>
        <v>54</v>
      </c>
      <c r="C58" s="130"/>
      <c r="D58" s="159"/>
      <c r="E58" s="524" t="s">
        <v>280</v>
      </c>
      <c r="F58" s="524">
        <v>637</v>
      </c>
      <c r="G58" s="194" t="s">
        <v>711</v>
      </c>
      <c r="H58" s="526">
        <v>6000</v>
      </c>
      <c r="I58" s="526"/>
      <c r="J58" s="526">
        <f t="shared" si="9"/>
        <v>6000</v>
      </c>
      <c r="K58" s="132"/>
      <c r="L58" s="527"/>
      <c r="M58" s="527"/>
      <c r="N58" s="527">
        <f t="shared" si="21"/>
        <v>0</v>
      </c>
      <c r="O58" s="132"/>
      <c r="P58" s="528">
        <f t="shared" si="19"/>
        <v>6000</v>
      </c>
      <c r="Q58" s="528">
        <f t="shared" si="23"/>
        <v>0</v>
      </c>
      <c r="R58" s="528">
        <f t="shared" si="23"/>
        <v>6000</v>
      </c>
    </row>
    <row r="59" spans="1:20" ht="15" customHeight="1" x14ac:dyDescent="0.25">
      <c r="B59" s="171">
        <f t="shared" si="24"/>
        <v>55</v>
      </c>
      <c r="C59" s="21">
        <v>8</v>
      </c>
      <c r="D59" s="126" t="s">
        <v>483</v>
      </c>
      <c r="E59" s="22"/>
      <c r="F59" s="22"/>
      <c r="G59" s="195"/>
      <c r="H59" s="411">
        <f>H60</f>
        <v>15230</v>
      </c>
      <c r="I59" s="411">
        <f t="shared" ref="I59" si="25">I60</f>
        <v>0</v>
      </c>
      <c r="J59" s="411">
        <f t="shared" si="9"/>
        <v>15230</v>
      </c>
      <c r="K59" s="112"/>
      <c r="L59" s="381">
        <v>0</v>
      </c>
      <c r="M59" s="381">
        <v>0</v>
      </c>
      <c r="N59" s="381">
        <f t="shared" si="21"/>
        <v>0</v>
      </c>
      <c r="O59" s="112"/>
      <c r="P59" s="374">
        <f t="shared" si="19"/>
        <v>15230</v>
      </c>
      <c r="Q59" s="374">
        <f t="shared" si="23"/>
        <v>0</v>
      </c>
      <c r="R59" s="374">
        <f t="shared" si="23"/>
        <v>15230</v>
      </c>
    </row>
    <row r="60" spans="1:20" s="133" customFormat="1" ht="12" customHeight="1" x14ac:dyDescent="0.2">
      <c r="A60" s="240"/>
      <c r="B60" s="171">
        <f t="shared" si="24"/>
        <v>56</v>
      </c>
      <c r="C60" s="130"/>
      <c r="D60" s="130"/>
      <c r="E60" s="524" t="s">
        <v>276</v>
      </c>
      <c r="F60" s="524">
        <v>642</v>
      </c>
      <c r="G60" s="194" t="s">
        <v>300</v>
      </c>
      <c r="H60" s="526">
        <f>SUM(H61:H69)</f>
        <v>15230</v>
      </c>
      <c r="I60" s="526">
        <f t="shared" ref="I60" si="26">SUM(I61:I69)</f>
        <v>0</v>
      </c>
      <c r="J60" s="526">
        <f t="shared" si="9"/>
        <v>15230</v>
      </c>
      <c r="K60" s="132"/>
      <c r="L60" s="383"/>
      <c r="M60" s="383"/>
      <c r="N60" s="383"/>
      <c r="O60" s="132"/>
      <c r="P60" s="528">
        <f t="shared" si="19"/>
        <v>15230</v>
      </c>
      <c r="Q60" s="528">
        <f t="shared" si="23"/>
        <v>0</v>
      </c>
      <c r="R60" s="528">
        <f t="shared" si="23"/>
        <v>15230</v>
      </c>
    </row>
    <row r="61" spans="1:20" s="133" customFormat="1" ht="12" customHeight="1" x14ac:dyDescent="0.2">
      <c r="A61" s="240"/>
      <c r="B61" s="171">
        <f t="shared" si="24"/>
        <v>57</v>
      </c>
      <c r="C61" s="130"/>
      <c r="D61" s="130"/>
      <c r="E61" s="524"/>
      <c r="F61" s="524"/>
      <c r="G61" s="194" t="s">
        <v>478</v>
      </c>
      <c r="H61" s="526">
        <v>500</v>
      </c>
      <c r="I61" s="526"/>
      <c r="J61" s="526">
        <f t="shared" si="9"/>
        <v>500</v>
      </c>
      <c r="K61" s="132"/>
      <c r="L61" s="383"/>
      <c r="M61" s="383"/>
      <c r="N61" s="383"/>
      <c r="O61" s="132"/>
      <c r="P61" s="528">
        <f t="shared" si="19"/>
        <v>500</v>
      </c>
      <c r="Q61" s="528">
        <f t="shared" si="23"/>
        <v>0</v>
      </c>
      <c r="R61" s="528">
        <f t="shared" si="23"/>
        <v>500</v>
      </c>
    </row>
    <row r="62" spans="1:20" s="133" customFormat="1" ht="12" customHeight="1" x14ac:dyDescent="0.2">
      <c r="A62" s="240"/>
      <c r="B62" s="171">
        <f t="shared" si="24"/>
        <v>58</v>
      </c>
      <c r="C62" s="130"/>
      <c r="D62" s="130"/>
      <c r="E62" s="524"/>
      <c r="F62" s="524"/>
      <c r="G62" s="194" t="s">
        <v>292</v>
      </c>
      <c r="H62" s="526">
        <v>150</v>
      </c>
      <c r="I62" s="526"/>
      <c r="J62" s="526">
        <f t="shared" si="9"/>
        <v>150</v>
      </c>
      <c r="K62" s="132"/>
      <c r="L62" s="383"/>
      <c r="M62" s="383"/>
      <c r="N62" s="383"/>
      <c r="O62" s="132"/>
      <c r="P62" s="528">
        <f t="shared" si="19"/>
        <v>150</v>
      </c>
      <c r="Q62" s="528">
        <f t="shared" si="23"/>
        <v>0</v>
      </c>
      <c r="R62" s="528">
        <f t="shared" si="23"/>
        <v>150</v>
      </c>
    </row>
    <row r="63" spans="1:20" s="133" customFormat="1" ht="12" customHeight="1" x14ac:dyDescent="0.2">
      <c r="A63" s="240"/>
      <c r="B63" s="171">
        <f t="shared" si="24"/>
        <v>59</v>
      </c>
      <c r="C63" s="130"/>
      <c r="D63" s="130"/>
      <c r="E63" s="524"/>
      <c r="F63" s="524"/>
      <c r="G63" s="194" t="s">
        <v>293</v>
      </c>
      <c r="H63" s="526">
        <v>5600</v>
      </c>
      <c r="I63" s="526"/>
      <c r="J63" s="526">
        <f t="shared" si="9"/>
        <v>5600</v>
      </c>
      <c r="K63" s="132"/>
      <c r="L63" s="383"/>
      <c r="M63" s="383"/>
      <c r="N63" s="383"/>
      <c r="O63" s="132"/>
      <c r="P63" s="528">
        <f t="shared" si="19"/>
        <v>5600</v>
      </c>
      <c r="Q63" s="528">
        <f t="shared" si="23"/>
        <v>0</v>
      </c>
      <c r="R63" s="528">
        <f t="shared" si="23"/>
        <v>5600</v>
      </c>
    </row>
    <row r="64" spans="1:20" s="133" customFormat="1" ht="12" customHeight="1" x14ac:dyDescent="0.2">
      <c r="A64" s="240"/>
      <c r="B64" s="171">
        <f t="shared" si="24"/>
        <v>60</v>
      </c>
      <c r="C64" s="130"/>
      <c r="D64" s="130"/>
      <c r="E64" s="524"/>
      <c r="F64" s="524"/>
      <c r="G64" s="194" t="s">
        <v>419</v>
      </c>
      <c r="H64" s="526">
        <v>150</v>
      </c>
      <c r="I64" s="526"/>
      <c r="J64" s="526">
        <f t="shared" si="9"/>
        <v>150</v>
      </c>
      <c r="K64" s="132"/>
      <c r="L64" s="383"/>
      <c r="M64" s="383"/>
      <c r="N64" s="383"/>
      <c r="O64" s="132"/>
      <c r="P64" s="528">
        <f t="shared" si="19"/>
        <v>150</v>
      </c>
      <c r="Q64" s="528">
        <f t="shared" si="23"/>
        <v>0</v>
      </c>
      <c r="R64" s="528">
        <f t="shared" si="23"/>
        <v>150</v>
      </c>
    </row>
    <row r="65" spans="1:18" s="133" customFormat="1" ht="12" customHeight="1" x14ac:dyDescent="0.2">
      <c r="A65" s="240"/>
      <c r="B65" s="171">
        <f t="shared" si="24"/>
        <v>61</v>
      </c>
      <c r="C65" s="130"/>
      <c r="D65" s="130"/>
      <c r="E65" s="524"/>
      <c r="F65" s="524"/>
      <c r="G65" s="194" t="s">
        <v>440</v>
      </c>
      <c r="H65" s="526">
        <v>120</v>
      </c>
      <c r="I65" s="526"/>
      <c r="J65" s="526">
        <f t="shared" si="9"/>
        <v>120</v>
      </c>
      <c r="K65" s="132"/>
      <c r="L65" s="383"/>
      <c r="M65" s="383"/>
      <c r="N65" s="383"/>
      <c r="O65" s="132"/>
      <c r="P65" s="528">
        <f t="shared" si="19"/>
        <v>120</v>
      </c>
      <c r="Q65" s="528">
        <f t="shared" si="23"/>
        <v>0</v>
      </c>
      <c r="R65" s="528">
        <f t="shared" si="23"/>
        <v>120</v>
      </c>
    </row>
    <row r="66" spans="1:18" s="133" customFormat="1" ht="12" customHeight="1" x14ac:dyDescent="0.2">
      <c r="A66" s="240"/>
      <c r="B66" s="171">
        <f t="shared" si="24"/>
        <v>62</v>
      </c>
      <c r="C66" s="130"/>
      <c r="D66" s="159"/>
      <c r="E66" s="524"/>
      <c r="F66" s="524"/>
      <c r="G66" s="194" t="s">
        <v>294</v>
      </c>
      <c r="H66" s="526">
        <v>200</v>
      </c>
      <c r="I66" s="526"/>
      <c r="J66" s="526">
        <f t="shared" si="9"/>
        <v>200</v>
      </c>
      <c r="K66" s="132"/>
      <c r="L66" s="383"/>
      <c r="M66" s="383"/>
      <c r="N66" s="383"/>
      <c r="O66" s="132"/>
      <c r="P66" s="528">
        <f t="shared" si="19"/>
        <v>200</v>
      </c>
      <c r="Q66" s="528">
        <f t="shared" si="23"/>
        <v>0</v>
      </c>
      <c r="R66" s="528">
        <f t="shared" si="23"/>
        <v>200</v>
      </c>
    </row>
    <row r="67" spans="1:18" s="133" customFormat="1" ht="12" customHeight="1" x14ac:dyDescent="0.2">
      <c r="A67" s="240"/>
      <c r="B67" s="171">
        <f t="shared" si="24"/>
        <v>63</v>
      </c>
      <c r="C67" s="135"/>
      <c r="D67" s="363"/>
      <c r="E67" s="524"/>
      <c r="F67" s="524"/>
      <c r="G67" s="202" t="s">
        <v>524</v>
      </c>
      <c r="H67" s="526">
        <v>8300</v>
      </c>
      <c r="I67" s="526"/>
      <c r="J67" s="526">
        <f t="shared" si="9"/>
        <v>8300</v>
      </c>
      <c r="K67" s="132"/>
      <c r="L67" s="383"/>
      <c r="M67" s="383"/>
      <c r="N67" s="383"/>
      <c r="O67" s="132"/>
      <c r="P67" s="137">
        <f t="shared" si="19"/>
        <v>8300</v>
      </c>
      <c r="Q67" s="137">
        <f t="shared" si="23"/>
        <v>0</v>
      </c>
      <c r="R67" s="137">
        <f t="shared" si="23"/>
        <v>8300</v>
      </c>
    </row>
    <row r="68" spans="1:18" s="133" customFormat="1" ht="12" customHeight="1" x14ac:dyDescent="0.2">
      <c r="A68" s="240"/>
      <c r="B68" s="171">
        <f t="shared" si="24"/>
        <v>64</v>
      </c>
      <c r="C68" s="135"/>
      <c r="D68" s="363"/>
      <c r="E68" s="524"/>
      <c r="F68" s="524"/>
      <c r="G68" s="202" t="s">
        <v>525</v>
      </c>
      <c r="H68" s="526">
        <v>170</v>
      </c>
      <c r="I68" s="526"/>
      <c r="J68" s="526">
        <f t="shared" si="9"/>
        <v>170</v>
      </c>
      <c r="K68" s="132"/>
      <c r="L68" s="383"/>
      <c r="M68" s="383"/>
      <c r="N68" s="383"/>
      <c r="O68" s="132"/>
      <c r="P68" s="137">
        <f t="shared" si="19"/>
        <v>170</v>
      </c>
      <c r="Q68" s="137">
        <f t="shared" si="23"/>
        <v>0</v>
      </c>
      <c r="R68" s="137">
        <f t="shared" si="23"/>
        <v>170</v>
      </c>
    </row>
    <row r="69" spans="1:18" s="133" customFormat="1" ht="12" customHeight="1" x14ac:dyDescent="0.2">
      <c r="A69" s="240"/>
      <c r="B69" s="171">
        <f t="shared" si="24"/>
        <v>65</v>
      </c>
      <c r="C69" s="472"/>
      <c r="D69" s="473"/>
      <c r="E69" s="524"/>
      <c r="F69" s="524"/>
      <c r="G69" s="474" t="s">
        <v>587</v>
      </c>
      <c r="H69" s="461">
        <v>40</v>
      </c>
      <c r="I69" s="461"/>
      <c r="J69" s="526">
        <f t="shared" si="9"/>
        <v>40</v>
      </c>
      <c r="K69" s="132"/>
      <c r="L69" s="383"/>
      <c r="M69" s="383"/>
      <c r="N69" s="383"/>
      <c r="O69" s="132"/>
      <c r="P69" s="137">
        <f t="shared" si="19"/>
        <v>40</v>
      </c>
      <c r="Q69" s="137">
        <f t="shared" ref="Q69:R70" si="27">I69+M69</f>
        <v>0</v>
      </c>
      <c r="R69" s="137">
        <f t="shared" si="27"/>
        <v>40</v>
      </c>
    </row>
    <row r="70" spans="1:18" ht="15" customHeight="1" thickBot="1" x14ac:dyDescent="0.3">
      <c r="B70" s="171">
        <f t="shared" si="24"/>
        <v>66</v>
      </c>
      <c r="C70" s="276">
        <v>9</v>
      </c>
      <c r="D70" s="277" t="s">
        <v>129</v>
      </c>
      <c r="E70" s="278"/>
      <c r="F70" s="278"/>
      <c r="G70" s="279"/>
      <c r="H70" s="412">
        <v>14893</v>
      </c>
      <c r="I70" s="412"/>
      <c r="J70" s="412">
        <f t="shared" si="9"/>
        <v>14893</v>
      </c>
      <c r="K70" s="122"/>
      <c r="L70" s="384">
        <v>0</v>
      </c>
      <c r="M70" s="384">
        <v>0</v>
      </c>
      <c r="N70" s="384">
        <f t="shared" si="21"/>
        <v>0</v>
      </c>
      <c r="O70" s="122"/>
      <c r="P70" s="376">
        <f t="shared" si="19"/>
        <v>14893</v>
      </c>
      <c r="Q70" s="376">
        <f t="shared" si="27"/>
        <v>0</v>
      </c>
      <c r="R70" s="376">
        <f t="shared" si="27"/>
        <v>14893</v>
      </c>
    </row>
    <row r="71" spans="1:18" ht="10.5" customHeight="1" x14ac:dyDescent="0.2">
      <c r="B71" s="304"/>
      <c r="C71" s="305"/>
      <c r="D71" s="133"/>
      <c r="E71" s="133"/>
      <c r="F71" s="133"/>
      <c r="G71" s="133"/>
      <c r="H71" s="247"/>
      <c r="I71" s="247"/>
      <c r="J71" s="247"/>
      <c r="K71" s="247"/>
      <c r="L71" s="247"/>
      <c r="M71" s="247"/>
      <c r="N71" s="247"/>
      <c r="O71" s="247"/>
      <c r="P71" s="247"/>
      <c r="Q71" s="247"/>
      <c r="R71" s="247"/>
    </row>
    <row r="72" spans="1:18" ht="10.5" customHeight="1" x14ac:dyDescent="0.2">
      <c r="B72" s="304"/>
      <c r="C72" s="305"/>
      <c r="D72" s="133"/>
      <c r="E72" s="133"/>
      <c r="F72" s="133"/>
      <c r="G72" s="133"/>
      <c r="H72" s="406"/>
      <c r="I72" s="406"/>
      <c r="J72" s="406"/>
      <c r="K72" s="247"/>
      <c r="L72" s="247"/>
      <c r="M72" s="247"/>
      <c r="N72" s="247"/>
      <c r="O72" s="247"/>
      <c r="P72" s="247"/>
      <c r="Q72" s="247"/>
      <c r="R72" s="247"/>
    </row>
    <row r="74" spans="1:18" ht="27.75" thickBot="1" x14ac:dyDescent="0.4">
      <c r="B74" s="246" t="s">
        <v>202</v>
      </c>
      <c r="C74" s="246"/>
      <c r="D74" s="246"/>
      <c r="E74" s="246"/>
      <c r="F74" s="246"/>
      <c r="G74" s="246"/>
      <c r="H74" s="246"/>
      <c r="I74" s="246"/>
      <c r="J74" s="246"/>
      <c r="K74" s="246"/>
      <c r="L74" s="246"/>
      <c r="M74" s="246"/>
      <c r="N74" s="246"/>
      <c r="O74" s="246"/>
      <c r="P74" s="246"/>
      <c r="Q74" s="246"/>
      <c r="R74" s="246"/>
    </row>
    <row r="75" spans="1:18" ht="13.5" customHeight="1" thickBot="1" x14ac:dyDescent="0.25">
      <c r="B75" s="913" t="s">
        <v>631</v>
      </c>
      <c r="C75" s="914"/>
      <c r="D75" s="914"/>
      <c r="E75" s="914"/>
      <c r="F75" s="914"/>
      <c r="G75" s="914"/>
      <c r="H75" s="914"/>
      <c r="I75" s="914"/>
      <c r="J75" s="914"/>
      <c r="K75" s="914"/>
      <c r="L75" s="914"/>
      <c r="M75" s="914"/>
      <c r="N75" s="915"/>
      <c r="O75" s="120"/>
      <c r="P75" s="903" t="s">
        <v>721</v>
      </c>
      <c r="Q75" s="903" t="s">
        <v>860</v>
      </c>
      <c r="R75" s="903" t="s">
        <v>721</v>
      </c>
    </row>
    <row r="76" spans="1:18" ht="13.5" customHeight="1" thickTop="1" x14ac:dyDescent="0.2">
      <c r="B76" s="505"/>
      <c r="C76" s="906" t="s">
        <v>477</v>
      </c>
      <c r="D76" s="906" t="s">
        <v>476</v>
      </c>
      <c r="E76" s="906" t="s">
        <v>474</v>
      </c>
      <c r="F76" s="906" t="s">
        <v>475</v>
      </c>
      <c r="G76" s="507" t="s">
        <v>3</v>
      </c>
      <c r="H76" s="908" t="s">
        <v>722</v>
      </c>
      <c r="I76" s="912" t="s">
        <v>860</v>
      </c>
      <c r="J76" s="912" t="s">
        <v>722</v>
      </c>
      <c r="L76" s="910" t="s">
        <v>723</v>
      </c>
      <c r="M76" s="910" t="s">
        <v>860</v>
      </c>
      <c r="N76" s="910" t="s">
        <v>723</v>
      </c>
      <c r="P76" s="904"/>
      <c r="Q76" s="904"/>
      <c r="R76" s="904"/>
    </row>
    <row r="77" spans="1:18" ht="34.5" customHeight="1" thickBot="1" x14ac:dyDescent="0.25">
      <c r="B77" s="509"/>
      <c r="C77" s="907"/>
      <c r="D77" s="907"/>
      <c r="E77" s="907"/>
      <c r="F77" s="907"/>
      <c r="G77" s="508"/>
      <c r="H77" s="909"/>
      <c r="I77" s="909"/>
      <c r="J77" s="909"/>
      <c r="L77" s="911"/>
      <c r="M77" s="911"/>
      <c r="N77" s="911"/>
      <c r="P77" s="905"/>
      <c r="Q77" s="905"/>
      <c r="R77" s="905"/>
    </row>
    <row r="78" spans="1:18" ht="17.25" thickTop="1" thickBot="1" x14ac:dyDescent="0.25">
      <c r="B78" s="617">
        <v>1</v>
      </c>
      <c r="C78" s="233" t="s">
        <v>203</v>
      </c>
      <c r="D78" s="111"/>
      <c r="E78" s="111"/>
      <c r="F78" s="111"/>
      <c r="G78" s="192"/>
      <c r="H78" s="409">
        <f>H79+H84</f>
        <v>70758</v>
      </c>
      <c r="I78" s="409">
        <f t="shared" ref="I78" si="28">I79+I84</f>
        <v>0</v>
      </c>
      <c r="J78" s="409">
        <f>H78+I78</f>
        <v>70758</v>
      </c>
      <c r="K78" s="113"/>
      <c r="L78" s="378">
        <f>L79+L84</f>
        <v>0</v>
      </c>
      <c r="M78" s="378">
        <f t="shared" ref="M78:N78" si="29">M79+M84</f>
        <v>0</v>
      </c>
      <c r="N78" s="378">
        <f t="shared" si="29"/>
        <v>0</v>
      </c>
      <c r="O78" s="113"/>
      <c r="P78" s="372">
        <f t="shared" ref="P78:P86" si="30">H78+L78</f>
        <v>70758</v>
      </c>
      <c r="Q78" s="372">
        <f t="shared" ref="Q78:R86" si="31">I78+M78</f>
        <v>0</v>
      </c>
      <c r="R78" s="372">
        <f t="shared" si="31"/>
        <v>70758</v>
      </c>
    </row>
    <row r="79" spans="1:18" ht="16.5" thickTop="1" x14ac:dyDescent="0.25">
      <c r="B79" s="171">
        <f t="shared" ref="B79:B87" si="32">B78+1</f>
        <v>2</v>
      </c>
      <c r="C79" s="23">
        <v>1</v>
      </c>
      <c r="D79" s="127" t="s">
        <v>170</v>
      </c>
      <c r="E79" s="24"/>
      <c r="F79" s="24"/>
      <c r="G79" s="193"/>
      <c r="H79" s="411">
        <f>SUM(H80:H83)</f>
        <v>43800</v>
      </c>
      <c r="I79" s="411">
        <f t="shared" ref="I79" si="33">SUM(I80:I83)</f>
        <v>0</v>
      </c>
      <c r="J79" s="411">
        <f>H79+I79</f>
        <v>43800</v>
      </c>
      <c r="K79" s="88"/>
      <c r="L79" s="379">
        <v>0</v>
      </c>
      <c r="M79" s="379">
        <v>0</v>
      </c>
      <c r="N79" s="379">
        <v>0</v>
      </c>
      <c r="O79" s="88"/>
      <c r="P79" s="373">
        <f t="shared" si="30"/>
        <v>43800</v>
      </c>
      <c r="Q79" s="373">
        <f t="shared" si="31"/>
        <v>0</v>
      </c>
      <c r="R79" s="373">
        <f t="shared" si="31"/>
        <v>43800</v>
      </c>
    </row>
    <row r="80" spans="1:18" x14ac:dyDescent="0.2">
      <c r="B80" s="171">
        <f t="shared" si="32"/>
        <v>3</v>
      </c>
      <c r="C80" s="130"/>
      <c r="D80" s="131"/>
      <c r="E80" s="131" t="s">
        <v>425</v>
      </c>
      <c r="F80" s="131" t="s">
        <v>216</v>
      </c>
      <c r="G80" s="194" t="s">
        <v>498</v>
      </c>
      <c r="H80" s="526">
        <f>8500+2000-3200</f>
        <v>7300</v>
      </c>
      <c r="I80" s="526"/>
      <c r="J80" s="526">
        <f>H80+I80</f>
        <v>7300</v>
      </c>
      <c r="K80" s="132"/>
      <c r="L80" s="527"/>
      <c r="M80" s="527"/>
      <c r="N80" s="527"/>
      <c r="O80" s="132"/>
      <c r="P80" s="137">
        <f t="shared" si="30"/>
        <v>7300</v>
      </c>
      <c r="Q80" s="137">
        <f t="shared" si="31"/>
        <v>0</v>
      </c>
      <c r="R80" s="137">
        <f t="shared" si="31"/>
        <v>7300</v>
      </c>
    </row>
    <row r="81" spans="2:18" x14ac:dyDescent="0.2">
      <c r="B81" s="171">
        <f>B80+1</f>
        <v>4</v>
      </c>
      <c r="C81" s="130"/>
      <c r="D81" s="131"/>
      <c r="E81" s="131" t="s">
        <v>425</v>
      </c>
      <c r="F81" s="131" t="s">
        <v>200</v>
      </c>
      <c r="G81" s="194" t="s">
        <v>697</v>
      </c>
      <c r="H81" s="526">
        <v>5000</v>
      </c>
      <c r="I81" s="526"/>
      <c r="J81" s="526">
        <f t="shared" ref="J81:J83" si="34">H81+I81</f>
        <v>5000</v>
      </c>
      <c r="K81" s="132"/>
      <c r="L81" s="527"/>
      <c r="M81" s="527"/>
      <c r="N81" s="527"/>
      <c r="O81" s="132"/>
      <c r="P81" s="137">
        <f t="shared" si="30"/>
        <v>5000</v>
      </c>
      <c r="Q81" s="137">
        <f t="shared" si="31"/>
        <v>0</v>
      </c>
      <c r="R81" s="137">
        <f t="shared" si="31"/>
        <v>5000</v>
      </c>
    </row>
    <row r="82" spans="2:18" x14ac:dyDescent="0.2">
      <c r="B82" s="171">
        <f t="shared" si="32"/>
        <v>5</v>
      </c>
      <c r="C82" s="130"/>
      <c r="D82" s="131"/>
      <c r="E82" s="131" t="s">
        <v>426</v>
      </c>
      <c r="F82" s="131" t="s">
        <v>218</v>
      </c>
      <c r="G82" s="194" t="s">
        <v>479</v>
      </c>
      <c r="H82" s="526">
        <f>19700</f>
        <v>19700</v>
      </c>
      <c r="I82" s="526"/>
      <c r="J82" s="526">
        <f t="shared" si="34"/>
        <v>19700</v>
      </c>
      <c r="K82" s="132"/>
      <c r="L82" s="527"/>
      <c r="M82" s="527"/>
      <c r="N82" s="527"/>
      <c r="O82" s="132"/>
      <c r="P82" s="137">
        <f t="shared" si="30"/>
        <v>19700</v>
      </c>
      <c r="Q82" s="137">
        <f t="shared" si="31"/>
        <v>0</v>
      </c>
      <c r="R82" s="137">
        <f t="shared" si="31"/>
        <v>19700</v>
      </c>
    </row>
    <row r="83" spans="2:18" x14ac:dyDescent="0.2">
      <c r="B83" s="171">
        <f t="shared" si="32"/>
        <v>6</v>
      </c>
      <c r="C83" s="130"/>
      <c r="D83" s="131"/>
      <c r="E83" s="131" t="s">
        <v>425</v>
      </c>
      <c r="F83" s="131" t="s">
        <v>216</v>
      </c>
      <c r="G83" s="194" t="s">
        <v>480</v>
      </c>
      <c r="H83" s="398">
        <v>11800</v>
      </c>
      <c r="I83" s="398"/>
      <c r="J83" s="526">
        <f t="shared" si="34"/>
        <v>11800</v>
      </c>
      <c r="K83" s="132"/>
      <c r="L83" s="527"/>
      <c r="M83" s="527"/>
      <c r="N83" s="527"/>
      <c r="O83" s="132"/>
      <c r="P83" s="137">
        <f t="shared" si="30"/>
        <v>11800</v>
      </c>
      <c r="Q83" s="137">
        <f t="shared" si="31"/>
        <v>0</v>
      </c>
      <c r="R83" s="137">
        <f t="shared" si="31"/>
        <v>11800</v>
      </c>
    </row>
    <row r="84" spans="2:18" ht="15.75" x14ac:dyDescent="0.25">
      <c r="B84" s="171">
        <f t="shared" si="32"/>
        <v>7</v>
      </c>
      <c r="C84" s="21">
        <v>2</v>
      </c>
      <c r="D84" s="126" t="s">
        <v>156</v>
      </c>
      <c r="E84" s="22"/>
      <c r="F84" s="22"/>
      <c r="G84" s="195"/>
      <c r="H84" s="411">
        <f>SUM(H85:H87)</f>
        <v>26958</v>
      </c>
      <c r="I84" s="411">
        <f t="shared" ref="I84" si="35">SUM(I85:I86)</f>
        <v>0</v>
      </c>
      <c r="J84" s="411">
        <f>H84+I84</f>
        <v>26958</v>
      </c>
      <c r="K84" s="112"/>
      <c r="L84" s="379">
        <v>0</v>
      </c>
      <c r="M84" s="379">
        <v>0</v>
      </c>
      <c r="N84" s="379">
        <v>0</v>
      </c>
      <c r="O84" s="112"/>
      <c r="P84" s="374">
        <f t="shared" si="30"/>
        <v>26958</v>
      </c>
      <c r="Q84" s="374">
        <f t="shared" si="31"/>
        <v>0</v>
      </c>
      <c r="R84" s="374">
        <f t="shared" si="31"/>
        <v>26958</v>
      </c>
    </row>
    <row r="85" spans="2:18" x14ac:dyDescent="0.2">
      <c r="B85" s="171">
        <f t="shared" si="32"/>
        <v>8</v>
      </c>
      <c r="C85" s="130"/>
      <c r="D85" s="130"/>
      <c r="E85" s="134" t="s">
        <v>425</v>
      </c>
      <c r="F85" s="134">
        <v>637</v>
      </c>
      <c r="G85" s="194" t="s">
        <v>497</v>
      </c>
      <c r="H85" s="526">
        <f>6000-1800</f>
        <v>4200</v>
      </c>
      <c r="I85" s="526"/>
      <c r="J85" s="526">
        <f>H85+I85</f>
        <v>4200</v>
      </c>
      <c r="K85" s="132"/>
      <c r="L85" s="526"/>
      <c r="M85" s="526"/>
      <c r="N85" s="526"/>
      <c r="O85" s="132"/>
      <c r="P85" s="528">
        <f t="shared" si="30"/>
        <v>4200</v>
      </c>
      <c r="Q85" s="528">
        <f t="shared" si="31"/>
        <v>0</v>
      </c>
      <c r="R85" s="528">
        <f t="shared" si="31"/>
        <v>4200</v>
      </c>
    </row>
    <row r="86" spans="2:18" x14ac:dyDescent="0.2">
      <c r="B86" s="171">
        <f t="shared" si="32"/>
        <v>9</v>
      </c>
      <c r="C86" s="130"/>
      <c r="D86" s="130"/>
      <c r="E86" s="134" t="s">
        <v>425</v>
      </c>
      <c r="F86" s="134">
        <v>637</v>
      </c>
      <c r="G86" s="194" t="s">
        <v>481</v>
      </c>
      <c r="H86" s="526">
        <v>2000</v>
      </c>
      <c r="I86" s="526"/>
      <c r="J86" s="526">
        <f>H86+I86</f>
        <v>2000</v>
      </c>
      <c r="K86" s="148"/>
      <c r="L86" s="526"/>
      <c r="M86" s="526"/>
      <c r="N86" s="526"/>
      <c r="O86" s="148"/>
      <c r="P86" s="528">
        <f t="shared" si="30"/>
        <v>2000</v>
      </c>
      <c r="Q86" s="528">
        <f t="shared" si="31"/>
        <v>0</v>
      </c>
      <c r="R86" s="528">
        <f t="shared" si="31"/>
        <v>2000</v>
      </c>
    </row>
    <row r="87" spans="2:18" ht="13.5" thickBot="1" x14ac:dyDescent="0.25">
      <c r="B87" s="350">
        <f t="shared" si="32"/>
        <v>10</v>
      </c>
      <c r="C87" s="351"/>
      <c r="D87" s="351"/>
      <c r="E87" s="211" t="s">
        <v>425</v>
      </c>
      <c r="F87" s="211">
        <v>640</v>
      </c>
      <c r="G87" s="356" t="s">
        <v>881</v>
      </c>
      <c r="H87" s="385">
        <v>20758</v>
      </c>
      <c r="I87" s="385"/>
      <c r="J87" s="385">
        <f>H87+I87</f>
        <v>20758</v>
      </c>
      <c r="K87" s="669"/>
      <c r="L87" s="385"/>
      <c r="M87" s="385"/>
      <c r="N87" s="385"/>
      <c r="O87" s="669"/>
      <c r="P87" s="142">
        <f t="shared" ref="P87" si="36">H87+L87</f>
        <v>20758</v>
      </c>
      <c r="Q87" s="142">
        <f t="shared" ref="Q87" si="37">I87+M87</f>
        <v>0</v>
      </c>
      <c r="R87" s="142">
        <f t="shared" ref="R87" si="38">J87+N87</f>
        <v>20758</v>
      </c>
    </row>
    <row r="117" spans="2:18" ht="27.75" thickBot="1" x14ac:dyDescent="0.4">
      <c r="B117" s="246" t="s">
        <v>205</v>
      </c>
      <c r="C117" s="246"/>
      <c r="D117" s="246"/>
      <c r="E117" s="246"/>
      <c r="F117" s="246"/>
      <c r="G117" s="419"/>
      <c r="H117" s="246"/>
      <c r="I117" s="246"/>
      <c r="J117" s="246"/>
      <c r="K117" s="246"/>
      <c r="L117" s="246"/>
      <c r="M117" s="246"/>
      <c r="N117" s="246"/>
      <c r="O117" s="246"/>
      <c r="P117" s="246"/>
      <c r="Q117" s="246"/>
      <c r="R117" s="246"/>
    </row>
    <row r="118" spans="2:18" ht="13.5" customHeight="1" thickBot="1" x14ac:dyDescent="0.25">
      <c r="B118" s="913" t="s">
        <v>631</v>
      </c>
      <c r="C118" s="914"/>
      <c r="D118" s="914"/>
      <c r="E118" s="914"/>
      <c r="F118" s="914"/>
      <c r="G118" s="914"/>
      <c r="H118" s="914"/>
      <c r="I118" s="914"/>
      <c r="J118" s="914"/>
      <c r="K118" s="914"/>
      <c r="L118" s="914"/>
      <c r="M118" s="914"/>
      <c r="N118" s="915"/>
      <c r="O118" s="120"/>
      <c r="P118" s="903" t="s">
        <v>721</v>
      </c>
      <c r="Q118" s="903" t="s">
        <v>860</v>
      </c>
      <c r="R118" s="903" t="s">
        <v>721</v>
      </c>
    </row>
    <row r="119" spans="2:18" ht="13.5" customHeight="1" thickTop="1" x14ac:dyDescent="0.2">
      <c r="B119" s="505"/>
      <c r="C119" s="906" t="s">
        <v>477</v>
      </c>
      <c r="D119" s="906" t="s">
        <v>476</v>
      </c>
      <c r="E119" s="906" t="s">
        <v>474</v>
      </c>
      <c r="F119" s="906" t="s">
        <v>475</v>
      </c>
      <c r="G119" s="507" t="s">
        <v>3</v>
      </c>
      <c r="H119" s="908" t="s">
        <v>722</v>
      </c>
      <c r="I119" s="912" t="s">
        <v>860</v>
      </c>
      <c r="J119" s="912" t="s">
        <v>722</v>
      </c>
      <c r="L119" s="910" t="s">
        <v>723</v>
      </c>
      <c r="M119" s="910" t="s">
        <v>860</v>
      </c>
      <c r="N119" s="910" t="s">
        <v>723</v>
      </c>
      <c r="P119" s="904"/>
      <c r="Q119" s="904"/>
      <c r="R119" s="904"/>
    </row>
    <row r="120" spans="2:18" ht="42" customHeight="1" thickBot="1" x14ac:dyDescent="0.25">
      <c r="B120" s="509"/>
      <c r="C120" s="907"/>
      <c r="D120" s="907"/>
      <c r="E120" s="907"/>
      <c r="F120" s="907"/>
      <c r="G120" s="508"/>
      <c r="H120" s="909"/>
      <c r="I120" s="909"/>
      <c r="J120" s="909"/>
      <c r="L120" s="911"/>
      <c r="M120" s="911"/>
      <c r="N120" s="911"/>
      <c r="P120" s="905"/>
      <c r="Q120" s="905"/>
      <c r="R120" s="905"/>
    </row>
    <row r="121" spans="2:18" ht="17.25" thickTop="1" thickBot="1" x14ac:dyDescent="0.25">
      <c r="B121" s="171">
        <v>1</v>
      </c>
      <c r="C121" s="233" t="s">
        <v>206</v>
      </c>
      <c r="D121" s="111"/>
      <c r="E121" s="111"/>
      <c r="F121" s="111"/>
      <c r="G121" s="201"/>
      <c r="H121" s="409">
        <f>H122+H126+H137+H141+H160+H170+H173+H180</f>
        <v>3469017</v>
      </c>
      <c r="I121" s="409">
        <f>I122+I126+I137+I141+I160+I170+I173+I180</f>
        <v>0</v>
      </c>
      <c r="J121" s="409">
        <f>H121+I121</f>
        <v>3469017</v>
      </c>
      <c r="K121" s="113"/>
      <c r="L121" s="378">
        <f>L122+L126+L137+L141+L160+L170+L173+L180</f>
        <v>460474</v>
      </c>
      <c r="M121" s="378">
        <f>M122+M126+M137+M141+M160+M170+M173+M180</f>
        <v>0</v>
      </c>
      <c r="N121" s="378">
        <f>L121+M121</f>
        <v>460474</v>
      </c>
      <c r="O121" s="113"/>
      <c r="P121" s="372">
        <f t="shared" ref="P121:P147" si="39">H121+L121</f>
        <v>3929491</v>
      </c>
      <c r="Q121" s="372">
        <f t="shared" ref="Q121:R136" si="40">I121+M121</f>
        <v>0</v>
      </c>
      <c r="R121" s="372">
        <f t="shared" si="40"/>
        <v>3929491</v>
      </c>
    </row>
    <row r="122" spans="2:18" ht="16.5" thickTop="1" x14ac:dyDescent="0.25">
      <c r="B122" s="171">
        <f>B121+1</f>
        <v>2</v>
      </c>
      <c r="C122" s="23">
        <v>1</v>
      </c>
      <c r="D122" s="127" t="s">
        <v>98</v>
      </c>
      <c r="E122" s="24"/>
      <c r="F122" s="24"/>
      <c r="G122" s="193"/>
      <c r="H122" s="410">
        <f>SUM(H123:H125)</f>
        <v>93400</v>
      </c>
      <c r="I122" s="410">
        <f t="shared" ref="I122" si="41">SUM(I123:I125)</f>
        <v>0</v>
      </c>
      <c r="J122" s="410">
        <f>H122+I122</f>
        <v>93400</v>
      </c>
      <c r="K122" s="88"/>
      <c r="L122" s="379">
        <f>L123+L124+L125</f>
        <v>0</v>
      </c>
      <c r="M122" s="379">
        <f t="shared" ref="M122" si="42">M123+M124+M125</f>
        <v>0</v>
      </c>
      <c r="N122" s="379">
        <f>L122+M122</f>
        <v>0</v>
      </c>
      <c r="O122" s="88"/>
      <c r="P122" s="373">
        <f t="shared" si="39"/>
        <v>93400</v>
      </c>
      <c r="Q122" s="373">
        <f t="shared" si="40"/>
        <v>0</v>
      </c>
      <c r="R122" s="373">
        <f t="shared" si="40"/>
        <v>93400</v>
      </c>
    </row>
    <row r="123" spans="2:18" x14ac:dyDescent="0.2">
      <c r="B123" s="171">
        <f t="shared" ref="B123:B183" si="43">B122+1</f>
        <v>3</v>
      </c>
      <c r="C123" s="130"/>
      <c r="D123" s="131"/>
      <c r="E123" s="131" t="s">
        <v>669</v>
      </c>
      <c r="F123" s="131" t="s">
        <v>216</v>
      </c>
      <c r="G123" s="194" t="s">
        <v>492</v>
      </c>
      <c r="H123" s="526">
        <v>23400</v>
      </c>
      <c r="I123" s="526"/>
      <c r="J123" s="526">
        <f>H123+I123</f>
        <v>23400</v>
      </c>
      <c r="K123" s="132"/>
      <c r="L123" s="527"/>
      <c r="M123" s="527"/>
      <c r="N123" s="527"/>
      <c r="O123" s="132"/>
      <c r="P123" s="137">
        <f t="shared" si="39"/>
        <v>23400</v>
      </c>
      <c r="Q123" s="137">
        <f t="shared" si="40"/>
        <v>0</v>
      </c>
      <c r="R123" s="137">
        <f t="shared" si="40"/>
        <v>23400</v>
      </c>
    </row>
    <row r="124" spans="2:18" x14ac:dyDescent="0.2">
      <c r="B124" s="171">
        <f t="shared" si="43"/>
        <v>4</v>
      </c>
      <c r="C124" s="130"/>
      <c r="D124" s="131"/>
      <c r="E124" s="131" t="s">
        <v>669</v>
      </c>
      <c r="F124" s="131" t="s">
        <v>216</v>
      </c>
      <c r="G124" s="194" t="s">
        <v>493</v>
      </c>
      <c r="H124" s="526">
        <v>12000</v>
      </c>
      <c r="I124" s="526"/>
      <c r="J124" s="526">
        <f t="shared" ref="J124:J125" si="44">H124+I124</f>
        <v>12000</v>
      </c>
      <c r="K124" s="132"/>
      <c r="L124" s="527"/>
      <c r="M124" s="527"/>
      <c r="N124" s="527"/>
      <c r="O124" s="132"/>
      <c r="P124" s="137">
        <f t="shared" si="39"/>
        <v>12000</v>
      </c>
      <c r="Q124" s="137">
        <f t="shared" si="40"/>
        <v>0</v>
      </c>
      <c r="R124" s="137">
        <f t="shared" si="40"/>
        <v>12000</v>
      </c>
    </row>
    <row r="125" spans="2:18" x14ac:dyDescent="0.2">
      <c r="B125" s="171">
        <f t="shared" si="43"/>
        <v>5</v>
      </c>
      <c r="C125" s="130"/>
      <c r="D125" s="131"/>
      <c r="E125" s="131" t="s">
        <v>669</v>
      </c>
      <c r="F125" s="131" t="s">
        <v>216</v>
      </c>
      <c r="G125" s="194" t="s">
        <v>494</v>
      </c>
      <c r="H125" s="526">
        <f>12000+46000</f>
        <v>58000</v>
      </c>
      <c r="I125" s="526"/>
      <c r="J125" s="526">
        <f t="shared" si="44"/>
        <v>58000</v>
      </c>
      <c r="K125" s="132"/>
      <c r="L125" s="526"/>
      <c r="M125" s="526"/>
      <c r="N125" s="526"/>
      <c r="O125" s="132"/>
      <c r="P125" s="137">
        <f t="shared" si="39"/>
        <v>58000</v>
      </c>
      <c r="Q125" s="137">
        <f t="shared" si="40"/>
        <v>0</v>
      </c>
      <c r="R125" s="137">
        <f t="shared" si="40"/>
        <v>58000</v>
      </c>
    </row>
    <row r="126" spans="2:18" ht="15.75" x14ac:dyDescent="0.25">
      <c r="B126" s="171">
        <f t="shared" si="43"/>
        <v>6</v>
      </c>
      <c r="C126" s="21">
        <v>2</v>
      </c>
      <c r="D126" s="126" t="s">
        <v>175</v>
      </c>
      <c r="E126" s="22"/>
      <c r="F126" s="22"/>
      <c r="G126" s="195"/>
      <c r="H126" s="411">
        <f>H127+H129+H133</f>
        <v>98110</v>
      </c>
      <c r="I126" s="411">
        <f t="shared" ref="I126" si="45">I127+I129+I133</f>
        <v>0</v>
      </c>
      <c r="J126" s="411">
        <f>H126+I126</f>
        <v>98110</v>
      </c>
      <c r="K126" s="112"/>
      <c r="L126" s="379">
        <f>L127+L129+L133</f>
        <v>297190</v>
      </c>
      <c r="M126" s="379">
        <f t="shared" ref="M126" si="46">M127+M129+M133</f>
        <v>0</v>
      </c>
      <c r="N126" s="379">
        <f>L126+M126</f>
        <v>297190</v>
      </c>
      <c r="O126" s="112"/>
      <c r="P126" s="374">
        <f t="shared" si="39"/>
        <v>395300</v>
      </c>
      <c r="Q126" s="374">
        <f t="shared" si="40"/>
        <v>0</v>
      </c>
      <c r="R126" s="374">
        <f t="shared" si="40"/>
        <v>395300</v>
      </c>
    </row>
    <row r="127" spans="2:18" x14ac:dyDescent="0.2">
      <c r="B127" s="171">
        <f t="shared" si="43"/>
        <v>7</v>
      </c>
      <c r="C127" s="76"/>
      <c r="D127" s="198" t="s">
        <v>4</v>
      </c>
      <c r="E127" s="204" t="s">
        <v>130</v>
      </c>
      <c r="F127" s="205"/>
      <c r="G127" s="206"/>
      <c r="H127" s="377">
        <f>H128</f>
        <v>2450</v>
      </c>
      <c r="I127" s="377">
        <f t="shared" ref="I127" si="47">I128</f>
        <v>0</v>
      </c>
      <c r="J127" s="377">
        <f>H127+I127</f>
        <v>2450</v>
      </c>
      <c r="K127" s="20"/>
      <c r="L127" s="380"/>
      <c r="M127" s="380"/>
      <c r="N127" s="380">
        <f>L127+M127</f>
        <v>0</v>
      </c>
      <c r="O127" s="20"/>
      <c r="P127" s="208">
        <f t="shared" si="39"/>
        <v>2450</v>
      </c>
      <c r="Q127" s="208">
        <f t="shared" si="40"/>
        <v>0</v>
      </c>
      <c r="R127" s="208">
        <f t="shared" si="40"/>
        <v>2450</v>
      </c>
    </row>
    <row r="128" spans="2:18" x14ac:dyDescent="0.2">
      <c r="B128" s="171">
        <f t="shared" si="43"/>
        <v>8</v>
      </c>
      <c r="C128" s="130"/>
      <c r="D128" s="130"/>
      <c r="E128" s="131" t="s">
        <v>669</v>
      </c>
      <c r="F128" s="134">
        <v>637</v>
      </c>
      <c r="G128" s="194" t="s">
        <v>712</v>
      </c>
      <c r="H128" s="526">
        <v>2450</v>
      </c>
      <c r="I128" s="526"/>
      <c r="J128" s="526">
        <f>H128+I128</f>
        <v>2450</v>
      </c>
      <c r="K128" s="132"/>
      <c r="L128" s="526"/>
      <c r="M128" s="526"/>
      <c r="N128" s="526">
        <f>L128+M128</f>
        <v>0</v>
      </c>
      <c r="O128" s="132"/>
      <c r="P128" s="528">
        <f t="shared" si="39"/>
        <v>2450</v>
      </c>
      <c r="Q128" s="528">
        <f t="shared" si="40"/>
        <v>0</v>
      </c>
      <c r="R128" s="528">
        <f t="shared" si="40"/>
        <v>2450</v>
      </c>
    </row>
    <row r="129" spans="2:18" x14ac:dyDescent="0.2">
      <c r="B129" s="171">
        <f t="shared" si="43"/>
        <v>9</v>
      </c>
      <c r="C129" s="76"/>
      <c r="D129" s="198" t="s">
        <v>5</v>
      </c>
      <c r="E129" s="204" t="s">
        <v>131</v>
      </c>
      <c r="F129" s="205"/>
      <c r="G129" s="206"/>
      <c r="H129" s="377">
        <f>SUM(H130:H131)</f>
        <v>22010</v>
      </c>
      <c r="I129" s="377">
        <f t="shared" ref="I129" si="48">SUM(I130:I131)</f>
        <v>0</v>
      </c>
      <c r="J129" s="377">
        <f>H129+I129</f>
        <v>22010</v>
      </c>
      <c r="K129" s="20"/>
      <c r="L129" s="403">
        <f>L132</f>
        <v>100</v>
      </c>
      <c r="M129" s="403">
        <f t="shared" ref="M129" si="49">M132</f>
        <v>0</v>
      </c>
      <c r="N129" s="403">
        <f>L129+M129</f>
        <v>100</v>
      </c>
      <c r="O129" s="20"/>
      <c r="P129" s="208">
        <f t="shared" si="39"/>
        <v>22110</v>
      </c>
      <c r="Q129" s="208">
        <f t="shared" si="40"/>
        <v>0</v>
      </c>
      <c r="R129" s="208">
        <f t="shared" si="40"/>
        <v>22110</v>
      </c>
    </row>
    <row r="130" spans="2:18" x14ac:dyDescent="0.2">
      <c r="B130" s="171">
        <f t="shared" si="43"/>
        <v>10</v>
      </c>
      <c r="C130" s="130"/>
      <c r="D130" s="130"/>
      <c r="E130" s="131" t="s">
        <v>669</v>
      </c>
      <c r="F130" s="134">
        <v>637</v>
      </c>
      <c r="G130" s="194" t="s">
        <v>713</v>
      </c>
      <c r="H130" s="526">
        <v>12600</v>
      </c>
      <c r="I130" s="526"/>
      <c r="J130" s="526">
        <f>H130+I130</f>
        <v>12600</v>
      </c>
      <c r="K130" s="132"/>
      <c r="L130" s="526"/>
      <c r="M130" s="526"/>
      <c r="N130" s="526">
        <f>L130+M130</f>
        <v>0</v>
      </c>
      <c r="O130" s="132"/>
      <c r="P130" s="528">
        <f t="shared" si="39"/>
        <v>12600</v>
      </c>
      <c r="Q130" s="528">
        <f t="shared" si="40"/>
        <v>0</v>
      </c>
      <c r="R130" s="528">
        <f t="shared" si="40"/>
        <v>12600</v>
      </c>
    </row>
    <row r="131" spans="2:18" x14ac:dyDescent="0.2">
      <c r="B131" s="171">
        <f t="shared" si="43"/>
        <v>11</v>
      </c>
      <c r="C131" s="130"/>
      <c r="D131" s="130"/>
      <c r="E131" s="131" t="s">
        <v>669</v>
      </c>
      <c r="F131" s="134">
        <v>636</v>
      </c>
      <c r="G131" s="194" t="s">
        <v>262</v>
      </c>
      <c r="H131" s="382">
        <v>9410</v>
      </c>
      <c r="I131" s="382"/>
      <c r="J131" s="526">
        <f t="shared" ref="J131:J132" si="50">H131+I131</f>
        <v>9410</v>
      </c>
      <c r="K131" s="132"/>
      <c r="L131" s="526"/>
      <c r="M131" s="526"/>
      <c r="N131" s="526">
        <f t="shared" ref="N131:N132" si="51">L131+M131</f>
        <v>0</v>
      </c>
      <c r="O131" s="132"/>
      <c r="P131" s="528">
        <f t="shared" si="39"/>
        <v>9410</v>
      </c>
      <c r="Q131" s="528">
        <f t="shared" si="40"/>
        <v>0</v>
      </c>
      <c r="R131" s="528">
        <f t="shared" si="40"/>
        <v>9410</v>
      </c>
    </row>
    <row r="132" spans="2:18" x14ac:dyDescent="0.2">
      <c r="B132" s="171">
        <f t="shared" si="43"/>
        <v>12</v>
      </c>
      <c r="C132" s="130"/>
      <c r="D132" s="130"/>
      <c r="E132" s="131" t="s">
        <v>669</v>
      </c>
      <c r="F132" s="524">
        <v>712</v>
      </c>
      <c r="G132" s="194" t="s">
        <v>533</v>
      </c>
      <c r="H132" s="382"/>
      <c r="I132" s="382"/>
      <c r="J132" s="526">
        <f t="shared" si="50"/>
        <v>0</v>
      </c>
      <c r="K132" s="132"/>
      <c r="L132" s="526">
        <v>100</v>
      </c>
      <c r="M132" s="526"/>
      <c r="N132" s="526">
        <f t="shared" si="51"/>
        <v>100</v>
      </c>
      <c r="O132" s="132"/>
      <c r="P132" s="528">
        <f t="shared" si="39"/>
        <v>100</v>
      </c>
      <c r="Q132" s="528">
        <f t="shared" si="40"/>
        <v>0</v>
      </c>
      <c r="R132" s="528">
        <f t="shared" si="40"/>
        <v>100</v>
      </c>
    </row>
    <row r="133" spans="2:18" x14ac:dyDescent="0.2">
      <c r="B133" s="171">
        <f t="shared" si="43"/>
        <v>13</v>
      </c>
      <c r="C133" s="76"/>
      <c r="D133" s="198" t="s">
        <v>6</v>
      </c>
      <c r="E133" s="204" t="s">
        <v>132</v>
      </c>
      <c r="F133" s="205"/>
      <c r="G133" s="206"/>
      <c r="H133" s="386">
        <f>H134+H135</f>
        <v>73650</v>
      </c>
      <c r="I133" s="386">
        <f t="shared" ref="I133" si="52">I134+I135</f>
        <v>0</v>
      </c>
      <c r="J133" s="386">
        <f>H133+I133</f>
        <v>73650</v>
      </c>
      <c r="K133" s="20"/>
      <c r="L133" s="463">
        <f>L136</f>
        <v>297090</v>
      </c>
      <c r="M133" s="463">
        <f t="shared" ref="M133" si="53">M136</f>
        <v>0</v>
      </c>
      <c r="N133" s="463">
        <f>L133+M133</f>
        <v>297090</v>
      </c>
      <c r="O133" s="20"/>
      <c r="P133" s="209">
        <f t="shared" si="39"/>
        <v>370740</v>
      </c>
      <c r="Q133" s="209">
        <f t="shared" si="40"/>
        <v>0</v>
      </c>
      <c r="R133" s="209">
        <f t="shared" si="40"/>
        <v>370740</v>
      </c>
    </row>
    <row r="134" spans="2:18" x14ac:dyDescent="0.2">
      <c r="B134" s="171">
        <f t="shared" si="43"/>
        <v>14</v>
      </c>
      <c r="C134" s="130"/>
      <c r="D134" s="130"/>
      <c r="E134" s="131" t="s">
        <v>669</v>
      </c>
      <c r="F134" s="157">
        <v>637</v>
      </c>
      <c r="G134" s="194" t="s">
        <v>491</v>
      </c>
      <c r="H134" s="526">
        <v>10000</v>
      </c>
      <c r="I134" s="526"/>
      <c r="J134" s="526">
        <f>H134+I134</f>
        <v>10000</v>
      </c>
      <c r="K134" s="132"/>
      <c r="L134" s="526"/>
      <c r="M134" s="526"/>
      <c r="N134" s="526">
        <f>L134+M134</f>
        <v>0</v>
      </c>
      <c r="O134" s="132"/>
      <c r="P134" s="528">
        <f t="shared" si="39"/>
        <v>10000</v>
      </c>
      <c r="Q134" s="528">
        <f t="shared" si="40"/>
        <v>0</v>
      </c>
      <c r="R134" s="528">
        <f t="shared" si="40"/>
        <v>10000</v>
      </c>
    </row>
    <row r="135" spans="2:18" x14ac:dyDescent="0.2">
      <c r="B135" s="171">
        <f t="shared" si="43"/>
        <v>15</v>
      </c>
      <c r="C135" s="135"/>
      <c r="D135" s="135"/>
      <c r="E135" s="131" t="s">
        <v>669</v>
      </c>
      <c r="F135" s="158">
        <v>636</v>
      </c>
      <c r="G135" s="202" t="s">
        <v>262</v>
      </c>
      <c r="H135" s="526">
        <f>71700-8050</f>
        <v>63650</v>
      </c>
      <c r="I135" s="526"/>
      <c r="J135" s="526">
        <f t="shared" ref="J135:J136" si="54">H135+I135</f>
        <v>63650</v>
      </c>
      <c r="K135" s="132"/>
      <c r="L135" s="526"/>
      <c r="M135" s="526"/>
      <c r="N135" s="526">
        <f>L135+M135</f>
        <v>0</v>
      </c>
      <c r="O135" s="132"/>
      <c r="P135" s="528">
        <f t="shared" si="39"/>
        <v>63650</v>
      </c>
      <c r="Q135" s="528">
        <f t="shared" si="40"/>
        <v>0</v>
      </c>
      <c r="R135" s="528">
        <f t="shared" si="40"/>
        <v>63650</v>
      </c>
    </row>
    <row r="136" spans="2:18" x14ac:dyDescent="0.2">
      <c r="B136" s="171">
        <f t="shared" si="43"/>
        <v>16</v>
      </c>
      <c r="C136" s="130"/>
      <c r="D136" s="159"/>
      <c r="E136" s="131" t="s">
        <v>669</v>
      </c>
      <c r="F136" s="367">
        <v>711</v>
      </c>
      <c r="G136" s="525" t="s">
        <v>434</v>
      </c>
      <c r="H136" s="526"/>
      <c r="I136" s="526"/>
      <c r="J136" s="526">
        <f t="shared" si="54"/>
        <v>0</v>
      </c>
      <c r="K136" s="132"/>
      <c r="L136" s="382">
        <f>377090-60000-20000</f>
        <v>297090</v>
      </c>
      <c r="M136" s="382"/>
      <c r="N136" s="526">
        <f>L136+M136</f>
        <v>297090</v>
      </c>
      <c r="O136" s="132"/>
      <c r="P136" s="528">
        <f t="shared" si="39"/>
        <v>297090</v>
      </c>
      <c r="Q136" s="528">
        <f t="shared" si="40"/>
        <v>0</v>
      </c>
      <c r="R136" s="528">
        <f t="shared" si="40"/>
        <v>297090</v>
      </c>
    </row>
    <row r="137" spans="2:18" ht="15.75" x14ac:dyDescent="0.25">
      <c r="B137" s="171">
        <f t="shared" si="43"/>
        <v>17</v>
      </c>
      <c r="C137" s="23">
        <v>3</v>
      </c>
      <c r="D137" s="127" t="s">
        <v>136</v>
      </c>
      <c r="E137" s="24"/>
      <c r="F137" s="24"/>
      <c r="G137" s="193"/>
      <c r="H137" s="411">
        <f>SUM(H138:H140)</f>
        <v>9000</v>
      </c>
      <c r="I137" s="411">
        <f t="shared" ref="I137" si="55">SUM(I138:I140)</f>
        <v>0</v>
      </c>
      <c r="J137" s="411">
        <f>H137+I137</f>
        <v>9000</v>
      </c>
      <c r="K137" s="88"/>
      <c r="L137" s="379">
        <f>L138+L140</f>
        <v>0</v>
      </c>
      <c r="M137" s="379">
        <f t="shared" ref="M137" si="56">M138+M140</f>
        <v>0</v>
      </c>
      <c r="N137" s="379">
        <f>L137+M137</f>
        <v>0</v>
      </c>
      <c r="O137" s="88"/>
      <c r="P137" s="373">
        <f t="shared" si="39"/>
        <v>9000</v>
      </c>
      <c r="Q137" s="373">
        <f t="shared" ref="Q137:R147" si="57">I137+M137</f>
        <v>0</v>
      </c>
      <c r="R137" s="373">
        <f t="shared" si="57"/>
        <v>9000</v>
      </c>
    </row>
    <row r="138" spans="2:18" x14ac:dyDescent="0.2">
      <c r="B138" s="171">
        <f t="shared" si="43"/>
        <v>18</v>
      </c>
      <c r="C138" s="179"/>
      <c r="D138" s="179"/>
      <c r="E138" s="131" t="s">
        <v>669</v>
      </c>
      <c r="F138" s="180">
        <v>620</v>
      </c>
      <c r="G138" s="223" t="s">
        <v>259</v>
      </c>
      <c r="H138" s="527">
        <v>1000</v>
      </c>
      <c r="I138" s="527"/>
      <c r="J138" s="527">
        <f>H138+I138</f>
        <v>1000</v>
      </c>
      <c r="K138" s="132"/>
      <c r="L138" s="527"/>
      <c r="M138" s="527"/>
      <c r="N138" s="527"/>
      <c r="O138" s="132"/>
      <c r="P138" s="137">
        <f t="shared" si="39"/>
        <v>1000</v>
      </c>
      <c r="Q138" s="137">
        <f t="shared" si="57"/>
        <v>0</v>
      </c>
      <c r="R138" s="137">
        <f t="shared" si="57"/>
        <v>1000</v>
      </c>
    </row>
    <row r="139" spans="2:18" x14ac:dyDescent="0.2">
      <c r="B139" s="171">
        <f t="shared" si="43"/>
        <v>19</v>
      </c>
      <c r="C139" s="135"/>
      <c r="D139" s="135"/>
      <c r="E139" s="131" t="s">
        <v>669</v>
      </c>
      <c r="F139" s="524">
        <v>633</v>
      </c>
      <c r="G139" s="202" t="s">
        <v>588</v>
      </c>
      <c r="H139" s="527">
        <v>2000</v>
      </c>
      <c r="I139" s="527"/>
      <c r="J139" s="527">
        <f t="shared" ref="J139:J140" si="58">H139+I139</f>
        <v>2000</v>
      </c>
      <c r="K139" s="132"/>
      <c r="L139" s="527"/>
      <c r="M139" s="527"/>
      <c r="N139" s="527"/>
      <c r="O139" s="132"/>
      <c r="P139" s="137">
        <f t="shared" si="39"/>
        <v>2000</v>
      </c>
      <c r="Q139" s="137">
        <f t="shared" si="57"/>
        <v>0</v>
      </c>
      <c r="R139" s="137">
        <f t="shared" si="57"/>
        <v>2000</v>
      </c>
    </row>
    <row r="140" spans="2:18" x14ac:dyDescent="0.2">
      <c r="B140" s="171">
        <f t="shared" si="43"/>
        <v>20</v>
      </c>
      <c r="C140" s="524"/>
      <c r="D140" s="135"/>
      <c r="E140" s="131" t="s">
        <v>669</v>
      </c>
      <c r="F140" s="524">
        <v>637</v>
      </c>
      <c r="G140" s="202" t="s">
        <v>248</v>
      </c>
      <c r="H140" s="527">
        <v>6000</v>
      </c>
      <c r="I140" s="527"/>
      <c r="J140" s="527">
        <f t="shared" si="58"/>
        <v>6000</v>
      </c>
      <c r="K140" s="132"/>
      <c r="L140" s="527"/>
      <c r="M140" s="527"/>
      <c r="N140" s="527"/>
      <c r="O140" s="132"/>
      <c r="P140" s="137">
        <f t="shared" si="39"/>
        <v>6000</v>
      </c>
      <c r="Q140" s="137">
        <f t="shared" si="57"/>
        <v>0</v>
      </c>
      <c r="R140" s="137">
        <f t="shared" si="57"/>
        <v>6000</v>
      </c>
    </row>
    <row r="141" spans="2:18" ht="15.75" x14ac:dyDescent="0.25">
      <c r="B141" s="171">
        <f t="shared" si="43"/>
        <v>21</v>
      </c>
      <c r="C141" s="21">
        <v>4</v>
      </c>
      <c r="D141" s="126" t="s">
        <v>133</v>
      </c>
      <c r="E141" s="22"/>
      <c r="F141" s="22"/>
      <c r="G141" s="195"/>
      <c r="H141" s="413">
        <f>SUM(H142:H147)+H149</f>
        <v>232810</v>
      </c>
      <c r="I141" s="413">
        <f>SUM(I142:I147)+I149</f>
        <v>0</v>
      </c>
      <c r="J141" s="413">
        <f>H141+I141</f>
        <v>232810</v>
      </c>
      <c r="K141" s="245"/>
      <c r="L141" s="381">
        <f>SUM(L144:L147)</f>
        <v>136284</v>
      </c>
      <c r="M141" s="381">
        <f t="shared" ref="M141" si="59">SUM(M144:M147)</f>
        <v>0</v>
      </c>
      <c r="N141" s="381">
        <f>L141+M141</f>
        <v>136284</v>
      </c>
      <c r="O141" s="245"/>
      <c r="P141" s="374">
        <f t="shared" si="39"/>
        <v>369094</v>
      </c>
      <c r="Q141" s="374">
        <f t="shared" si="57"/>
        <v>0</v>
      </c>
      <c r="R141" s="374">
        <f t="shared" si="57"/>
        <v>369094</v>
      </c>
    </row>
    <row r="142" spans="2:18" x14ac:dyDescent="0.2">
      <c r="B142" s="171">
        <f t="shared" si="43"/>
        <v>22</v>
      </c>
      <c r="C142" s="130"/>
      <c r="D142" s="130"/>
      <c r="E142" s="131" t="s">
        <v>669</v>
      </c>
      <c r="F142" s="134">
        <v>635</v>
      </c>
      <c r="G142" s="194" t="s">
        <v>275</v>
      </c>
      <c r="H142" s="526">
        <v>11000</v>
      </c>
      <c r="I142" s="526"/>
      <c r="J142" s="526">
        <f>H142+I142</f>
        <v>11000</v>
      </c>
      <c r="K142" s="132"/>
      <c r="L142" s="382"/>
      <c r="M142" s="382"/>
      <c r="N142" s="382">
        <f>L142+M142</f>
        <v>0</v>
      </c>
      <c r="O142" s="132"/>
      <c r="P142" s="160">
        <f t="shared" si="39"/>
        <v>11000</v>
      </c>
      <c r="Q142" s="160">
        <f t="shared" si="57"/>
        <v>0</v>
      </c>
      <c r="R142" s="160">
        <f t="shared" si="57"/>
        <v>11000</v>
      </c>
    </row>
    <row r="143" spans="2:18" x14ac:dyDescent="0.2">
      <c r="B143" s="171">
        <f t="shared" si="43"/>
        <v>23</v>
      </c>
      <c r="C143" s="130"/>
      <c r="D143" s="130"/>
      <c r="E143" s="131" t="s">
        <v>669</v>
      </c>
      <c r="F143" s="134">
        <v>637</v>
      </c>
      <c r="G143" s="194" t="s">
        <v>703</v>
      </c>
      <c r="H143" s="526">
        <f>8000-7740</f>
        <v>260</v>
      </c>
      <c r="I143" s="398"/>
      <c r="J143" s="526">
        <f t="shared" ref="J143:J148" si="60">H143+I143</f>
        <v>260</v>
      </c>
      <c r="K143" s="132"/>
      <c r="L143" s="382"/>
      <c r="M143" s="382"/>
      <c r="N143" s="382">
        <f t="shared" ref="N143:N147" si="61">L143+M143</f>
        <v>0</v>
      </c>
      <c r="O143" s="132"/>
      <c r="P143" s="160">
        <f t="shared" si="39"/>
        <v>260</v>
      </c>
      <c r="Q143" s="160">
        <f t="shared" si="57"/>
        <v>0</v>
      </c>
      <c r="R143" s="160">
        <f t="shared" si="57"/>
        <v>260</v>
      </c>
    </row>
    <row r="144" spans="2:18" x14ac:dyDescent="0.2">
      <c r="B144" s="171">
        <f t="shared" si="43"/>
        <v>24</v>
      </c>
      <c r="C144" s="130"/>
      <c r="D144" s="130"/>
      <c r="E144" s="131" t="s">
        <v>669</v>
      </c>
      <c r="F144" s="134">
        <v>717</v>
      </c>
      <c r="G144" s="194" t="s">
        <v>702</v>
      </c>
      <c r="H144" s="526"/>
      <c r="I144" s="526"/>
      <c r="J144" s="526">
        <f t="shared" si="60"/>
        <v>0</v>
      </c>
      <c r="K144" s="132"/>
      <c r="L144" s="382">
        <f>20000-516-8000</f>
        <v>11484</v>
      </c>
      <c r="M144" s="382"/>
      <c r="N144" s="382">
        <f t="shared" si="61"/>
        <v>11484</v>
      </c>
      <c r="O144" s="132"/>
      <c r="P144" s="160">
        <f t="shared" si="39"/>
        <v>11484</v>
      </c>
      <c r="Q144" s="160">
        <f t="shared" si="57"/>
        <v>0</v>
      </c>
      <c r="R144" s="160">
        <f t="shared" si="57"/>
        <v>11484</v>
      </c>
    </row>
    <row r="145" spans="2:18" x14ac:dyDescent="0.2">
      <c r="B145" s="171">
        <f t="shared" si="43"/>
        <v>25</v>
      </c>
      <c r="C145" s="130"/>
      <c r="D145" s="130"/>
      <c r="E145" s="131" t="s">
        <v>669</v>
      </c>
      <c r="F145" s="134">
        <v>717</v>
      </c>
      <c r="G145" s="194" t="s">
        <v>822</v>
      </c>
      <c r="H145" s="526"/>
      <c r="I145" s="526"/>
      <c r="J145" s="526">
        <f t="shared" si="60"/>
        <v>0</v>
      </c>
      <c r="K145" s="132"/>
      <c r="L145" s="382">
        <v>4800</v>
      </c>
      <c r="M145" s="382"/>
      <c r="N145" s="382">
        <f t="shared" si="61"/>
        <v>4800</v>
      </c>
      <c r="O145" s="132"/>
      <c r="P145" s="160">
        <f t="shared" si="39"/>
        <v>4800</v>
      </c>
      <c r="Q145" s="160">
        <f t="shared" si="57"/>
        <v>0</v>
      </c>
      <c r="R145" s="160">
        <f t="shared" si="57"/>
        <v>4800</v>
      </c>
    </row>
    <row r="146" spans="2:18" x14ac:dyDescent="0.2">
      <c r="B146" s="171">
        <f t="shared" si="43"/>
        <v>26</v>
      </c>
      <c r="C146" s="130"/>
      <c r="D146" s="130"/>
      <c r="E146" s="131" t="s">
        <v>669</v>
      </c>
      <c r="F146" s="134">
        <v>716</v>
      </c>
      <c r="G146" s="194" t="s">
        <v>704</v>
      </c>
      <c r="H146" s="526"/>
      <c r="I146" s="526"/>
      <c r="J146" s="526">
        <f t="shared" si="60"/>
        <v>0</v>
      </c>
      <c r="K146" s="132"/>
      <c r="L146" s="382">
        <v>6000</v>
      </c>
      <c r="M146" s="382"/>
      <c r="N146" s="382">
        <f t="shared" si="61"/>
        <v>6000</v>
      </c>
      <c r="O146" s="132"/>
      <c r="P146" s="160">
        <f t="shared" si="39"/>
        <v>6000</v>
      </c>
      <c r="Q146" s="160">
        <f t="shared" si="57"/>
        <v>0</v>
      </c>
      <c r="R146" s="160">
        <f t="shared" si="57"/>
        <v>6000</v>
      </c>
    </row>
    <row r="147" spans="2:18" x14ac:dyDescent="0.2">
      <c r="B147" s="171">
        <f t="shared" si="43"/>
        <v>27</v>
      </c>
      <c r="C147" s="130"/>
      <c r="D147" s="130"/>
      <c r="E147" s="131" t="s">
        <v>669</v>
      </c>
      <c r="F147" s="134">
        <v>717</v>
      </c>
      <c r="G147" s="194" t="s">
        <v>699</v>
      </c>
      <c r="H147" s="526"/>
      <c r="I147" s="526"/>
      <c r="J147" s="526">
        <f t="shared" si="60"/>
        <v>0</v>
      </c>
      <c r="K147" s="132"/>
      <c r="L147" s="382">
        <f>80000+6000+28000</f>
        <v>114000</v>
      </c>
      <c r="M147" s="382"/>
      <c r="N147" s="382">
        <f t="shared" si="61"/>
        <v>114000</v>
      </c>
      <c r="O147" s="132"/>
      <c r="P147" s="160">
        <f t="shared" si="39"/>
        <v>114000</v>
      </c>
      <c r="Q147" s="160">
        <f t="shared" si="57"/>
        <v>0</v>
      </c>
      <c r="R147" s="160">
        <f t="shared" si="57"/>
        <v>114000</v>
      </c>
    </row>
    <row r="148" spans="2:18" x14ac:dyDescent="0.2">
      <c r="B148" s="171">
        <f t="shared" si="43"/>
        <v>28</v>
      </c>
      <c r="C148" s="130"/>
      <c r="D148" s="130"/>
      <c r="E148" s="131"/>
      <c r="F148" s="134"/>
      <c r="G148" s="194"/>
      <c r="H148" s="526"/>
      <c r="I148" s="526"/>
      <c r="J148" s="526">
        <f t="shared" si="60"/>
        <v>0</v>
      </c>
      <c r="K148" s="132"/>
      <c r="L148" s="382"/>
      <c r="M148" s="382"/>
      <c r="N148" s="382"/>
      <c r="O148" s="132"/>
      <c r="P148" s="160"/>
      <c r="Q148" s="160"/>
      <c r="R148" s="160"/>
    </row>
    <row r="149" spans="2:18" x14ac:dyDescent="0.2">
      <c r="B149" s="171">
        <f t="shared" si="43"/>
        <v>29</v>
      </c>
      <c r="C149" s="130"/>
      <c r="D149" s="130"/>
      <c r="E149" s="156" t="s">
        <v>258</v>
      </c>
      <c r="F149" s="156"/>
      <c r="G149" s="224" t="s">
        <v>442</v>
      </c>
      <c r="H149" s="387">
        <f>H150+H151+H152+H159</f>
        <v>221550</v>
      </c>
      <c r="I149" s="387">
        <f t="shared" ref="I149" si="62">I150+I151+I152+I159</f>
        <v>0</v>
      </c>
      <c r="J149" s="387">
        <f>H149+I149</f>
        <v>221550</v>
      </c>
      <c r="K149" s="132"/>
      <c r="L149" s="526">
        <v>0</v>
      </c>
      <c r="M149" s="526">
        <v>0</v>
      </c>
      <c r="N149" s="382"/>
      <c r="O149" s="132"/>
      <c r="P149" s="150">
        <f t="shared" ref="P149:P176" si="63">H149+L149</f>
        <v>221550</v>
      </c>
      <c r="Q149" s="150">
        <f t="shared" ref="Q149:R163" si="64">I149+M149</f>
        <v>0</v>
      </c>
      <c r="R149" s="150">
        <f t="shared" si="64"/>
        <v>221550</v>
      </c>
    </row>
    <row r="150" spans="2:18" x14ac:dyDescent="0.2">
      <c r="B150" s="171">
        <f t="shared" si="43"/>
        <v>30</v>
      </c>
      <c r="C150" s="143"/>
      <c r="D150" s="143"/>
      <c r="E150" s="134"/>
      <c r="F150" s="149">
        <v>610</v>
      </c>
      <c r="G150" s="199" t="s">
        <v>257</v>
      </c>
      <c r="H150" s="388">
        <f>63900-1500-7000</f>
        <v>55400</v>
      </c>
      <c r="I150" s="388"/>
      <c r="J150" s="388">
        <f>H150+I150</f>
        <v>55400</v>
      </c>
      <c r="K150" s="145"/>
      <c r="L150" s="388"/>
      <c r="M150" s="388"/>
      <c r="N150" s="382"/>
      <c r="O150" s="145"/>
      <c r="P150" s="150">
        <f t="shared" si="63"/>
        <v>55400</v>
      </c>
      <c r="Q150" s="150">
        <f t="shared" si="64"/>
        <v>0</v>
      </c>
      <c r="R150" s="150">
        <f t="shared" si="64"/>
        <v>55400</v>
      </c>
    </row>
    <row r="151" spans="2:18" x14ac:dyDescent="0.2">
      <c r="B151" s="171">
        <f t="shared" si="43"/>
        <v>31</v>
      </c>
      <c r="C151" s="130"/>
      <c r="D151" s="130"/>
      <c r="E151" s="134"/>
      <c r="F151" s="149">
        <v>620</v>
      </c>
      <c r="G151" s="199" t="s">
        <v>259</v>
      </c>
      <c r="H151" s="388">
        <f>24570-500-2450</f>
        <v>21620</v>
      </c>
      <c r="I151" s="388"/>
      <c r="J151" s="388">
        <f>H151+I151</f>
        <v>21620</v>
      </c>
      <c r="K151" s="132"/>
      <c r="L151" s="526"/>
      <c r="M151" s="526"/>
      <c r="N151" s="382"/>
      <c r="O151" s="132"/>
      <c r="P151" s="150">
        <f t="shared" si="63"/>
        <v>21620</v>
      </c>
      <c r="Q151" s="150">
        <f t="shared" si="64"/>
        <v>0</v>
      </c>
      <c r="R151" s="150">
        <f t="shared" si="64"/>
        <v>21620</v>
      </c>
    </row>
    <row r="152" spans="2:18" x14ac:dyDescent="0.2">
      <c r="B152" s="171">
        <f t="shared" si="43"/>
        <v>32</v>
      </c>
      <c r="C152" s="130"/>
      <c r="D152" s="130"/>
      <c r="E152" s="134"/>
      <c r="F152" s="149">
        <v>630</v>
      </c>
      <c r="G152" s="199" t="s">
        <v>249</v>
      </c>
      <c r="H152" s="388">
        <f>SUM(H153:H158)</f>
        <v>144330</v>
      </c>
      <c r="I152" s="388">
        <f t="shared" ref="I152" si="65">SUM(I153:I158)</f>
        <v>0</v>
      </c>
      <c r="J152" s="388">
        <f>H152+I152</f>
        <v>144330</v>
      </c>
      <c r="K152" s="132"/>
      <c r="L152" s="526"/>
      <c r="M152" s="526"/>
      <c r="N152" s="382"/>
      <c r="O152" s="132"/>
      <c r="P152" s="528">
        <f t="shared" si="63"/>
        <v>144330</v>
      </c>
      <c r="Q152" s="528">
        <f t="shared" si="64"/>
        <v>0</v>
      </c>
      <c r="R152" s="528">
        <f t="shared" si="64"/>
        <v>144330</v>
      </c>
    </row>
    <row r="153" spans="2:18" x14ac:dyDescent="0.2">
      <c r="B153" s="171">
        <f t="shared" si="43"/>
        <v>33</v>
      </c>
      <c r="C153" s="130"/>
      <c r="D153" s="130"/>
      <c r="E153" s="134"/>
      <c r="F153" s="134">
        <v>632</v>
      </c>
      <c r="G153" s="194" t="s">
        <v>246</v>
      </c>
      <c r="H153" s="526">
        <v>90000</v>
      </c>
      <c r="I153" s="526"/>
      <c r="J153" s="526">
        <f>H153+I153</f>
        <v>90000</v>
      </c>
      <c r="K153" s="132"/>
      <c r="L153" s="526"/>
      <c r="M153" s="526"/>
      <c r="N153" s="382"/>
      <c r="O153" s="132"/>
      <c r="P153" s="528">
        <f t="shared" si="63"/>
        <v>90000</v>
      </c>
      <c r="Q153" s="528">
        <f t="shared" si="64"/>
        <v>0</v>
      </c>
      <c r="R153" s="528">
        <f t="shared" si="64"/>
        <v>90000</v>
      </c>
    </row>
    <row r="154" spans="2:18" x14ac:dyDescent="0.2">
      <c r="B154" s="171">
        <f t="shared" si="43"/>
        <v>34</v>
      </c>
      <c r="C154" s="130"/>
      <c r="D154" s="130"/>
      <c r="E154" s="134"/>
      <c r="F154" s="134">
        <v>633</v>
      </c>
      <c r="G154" s="194" t="s">
        <v>247</v>
      </c>
      <c r="H154" s="526">
        <v>5000</v>
      </c>
      <c r="I154" s="526"/>
      <c r="J154" s="526">
        <f t="shared" ref="J154:J159" si="66">H154+I154</f>
        <v>5000</v>
      </c>
      <c r="K154" s="132"/>
      <c r="L154" s="526"/>
      <c r="M154" s="526"/>
      <c r="N154" s="382"/>
      <c r="O154" s="132"/>
      <c r="P154" s="528">
        <f t="shared" si="63"/>
        <v>5000</v>
      </c>
      <c r="Q154" s="528">
        <f t="shared" si="64"/>
        <v>0</v>
      </c>
      <c r="R154" s="528">
        <f t="shared" si="64"/>
        <v>5000</v>
      </c>
    </row>
    <row r="155" spans="2:18" x14ac:dyDescent="0.2">
      <c r="B155" s="171">
        <f t="shared" si="43"/>
        <v>35</v>
      </c>
      <c r="C155" s="130"/>
      <c r="D155" s="130"/>
      <c r="E155" s="134"/>
      <c r="F155" s="134">
        <v>634</v>
      </c>
      <c r="G155" s="194" t="s">
        <v>260</v>
      </c>
      <c r="H155" s="526">
        <v>4200</v>
      </c>
      <c r="I155" s="526"/>
      <c r="J155" s="526">
        <f t="shared" si="66"/>
        <v>4200</v>
      </c>
      <c r="K155" s="132"/>
      <c r="L155" s="526"/>
      <c r="M155" s="526"/>
      <c r="N155" s="382"/>
      <c r="O155" s="132"/>
      <c r="P155" s="528">
        <f t="shared" si="63"/>
        <v>4200</v>
      </c>
      <c r="Q155" s="528">
        <f t="shared" si="64"/>
        <v>0</v>
      </c>
      <c r="R155" s="528">
        <f t="shared" si="64"/>
        <v>4200</v>
      </c>
    </row>
    <row r="156" spans="2:18" x14ac:dyDescent="0.2">
      <c r="B156" s="171">
        <f t="shared" si="43"/>
        <v>36</v>
      </c>
      <c r="C156" s="130"/>
      <c r="D156" s="130"/>
      <c r="E156" s="134"/>
      <c r="F156" s="134">
        <v>636</v>
      </c>
      <c r="G156" s="194" t="s">
        <v>346</v>
      </c>
      <c r="H156" s="526">
        <v>50</v>
      </c>
      <c r="I156" s="526"/>
      <c r="J156" s="526">
        <f t="shared" si="66"/>
        <v>50</v>
      </c>
      <c r="K156" s="132"/>
      <c r="L156" s="526"/>
      <c r="M156" s="526"/>
      <c r="N156" s="382"/>
      <c r="O156" s="132"/>
      <c r="P156" s="528">
        <f t="shared" si="63"/>
        <v>50</v>
      </c>
      <c r="Q156" s="528">
        <f t="shared" si="64"/>
        <v>0</v>
      </c>
      <c r="R156" s="528">
        <f t="shared" si="64"/>
        <v>50</v>
      </c>
    </row>
    <row r="157" spans="2:18" x14ac:dyDescent="0.2">
      <c r="B157" s="171">
        <f t="shared" si="43"/>
        <v>37</v>
      </c>
      <c r="C157" s="130"/>
      <c r="D157" s="130"/>
      <c r="E157" s="134"/>
      <c r="F157" s="134">
        <v>635</v>
      </c>
      <c r="G157" s="194" t="s">
        <v>261</v>
      </c>
      <c r="H157" s="526">
        <v>33000</v>
      </c>
      <c r="I157" s="526"/>
      <c r="J157" s="526">
        <f t="shared" si="66"/>
        <v>33000</v>
      </c>
      <c r="K157" s="132"/>
      <c r="L157" s="526"/>
      <c r="M157" s="526"/>
      <c r="N157" s="382"/>
      <c r="O157" s="132"/>
      <c r="P157" s="528">
        <f t="shared" si="63"/>
        <v>33000</v>
      </c>
      <c r="Q157" s="528">
        <f t="shared" si="64"/>
        <v>0</v>
      </c>
      <c r="R157" s="528">
        <f t="shared" si="64"/>
        <v>33000</v>
      </c>
    </row>
    <row r="158" spans="2:18" x14ac:dyDescent="0.2">
      <c r="B158" s="171">
        <f t="shared" si="43"/>
        <v>38</v>
      </c>
      <c r="C158" s="130"/>
      <c r="D158" s="130"/>
      <c r="E158" s="134"/>
      <c r="F158" s="134">
        <v>637</v>
      </c>
      <c r="G158" s="194" t="s">
        <v>248</v>
      </c>
      <c r="H158" s="526">
        <f>14080-2000</f>
        <v>12080</v>
      </c>
      <c r="I158" s="526"/>
      <c r="J158" s="526">
        <f t="shared" si="66"/>
        <v>12080</v>
      </c>
      <c r="K158" s="132"/>
      <c r="L158" s="526"/>
      <c r="M158" s="526"/>
      <c r="N158" s="382"/>
      <c r="O158" s="132"/>
      <c r="P158" s="528">
        <f t="shared" si="63"/>
        <v>12080</v>
      </c>
      <c r="Q158" s="528">
        <f t="shared" si="64"/>
        <v>0</v>
      </c>
      <c r="R158" s="528">
        <f t="shared" si="64"/>
        <v>12080</v>
      </c>
    </row>
    <row r="159" spans="2:18" x14ac:dyDescent="0.2">
      <c r="B159" s="171">
        <f t="shared" si="43"/>
        <v>39</v>
      </c>
      <c r="C159" s="130"/>
      <c r="D159" s="159"/>
      <c r="E159" s="134"/>
      <c r="F159" s="154">
        <v>640</v>
      </c>
      <c r="G159" s="199" t="s">
        <v>267</v>
      </c>
      <c r="H159" s="388">
        <v>200</v>
      </c>
      <c r="I159" s="388"/>
      <c r="J159" s="388">
        <f t="shared" si="66"/>
        <v>200</v>
      </c>
      <c r="K159" s="132"/>
      <c r="L159" s="382"/>
      <c r="M159" s="382"/>
      <c r="N159" s="382"/>
      <c r="O159" s="132"/>
      <c r="P159" s="150">
        <f t="shared" si="63"/>
        <v>200</v>
      </c>
      <c r="Q159" s="150">
        <f t="shared" si="64"/>
        <v>0</v>
      </c>
      <c r="R159" s="150">
        <f t="shared" si="64"/>
        <v>200</v>
      </c>
    </row>
    <row r="160" spans="2:18" ht="15.75" x14ac:dyDescent="0.25">
      <c r="B160" s="171">
        <f t="shared" si="43"/>
        <v>40</v>
      </c>
      <c r="C160" s="23">
        <v>5</v>
      </c>
      <c r="D160" s="127" t="s">
        <v>207</v>
      </c>
      <c r="E160" s="24"/>
      <c r="F160" s="24"/>
      <c r="G160" s="193"/>
      <c r="H160" s="411">
        <f>H161+H162+H163+H168+H169</f>
        <v>2869277</v>
      </c>
      <c r="I160" s="411">
        <f t="shared" ref="I160" si="67">I161+I162+I163+I168+I169</f>
        <v>0</v>
      </c>
      <c r="J160" s="411">
        <f>H160+I160</f>
        <v>2869277</v>
      </c>
      <c r="K160" s="88"/>
      <c r="L160" s="379">
        <v>0</v>
      </c>
      <c r="M160" s="379">
        <v>0</v>
      </c>
      <c r="N160" s="379">
        <f>L160+M160</f>
        <v>0</v>
      </c>
      <c r="O160" s="88"/>
      <c r="P160" s="373">
        <f t="shared" si="63"/>
        <v>2869277</v>
      </c>
      <c r="Q160" s="373">
        <f t="shared" si="64"/>
        <v>0</v>
      </c>
      <c r="R160" s="373">
        <f t="shared" si="64"/>
        <v>2869277</v>
      </c>
    </row>
    <row r="161" spans="2:18" x14ac:dyDescent="0.2">
      <c r="B161" s="171">
        <f t="shared" si="43"/>
        <v>41</v>
      </c>
      <c r="C161" s="135"/>
      <c r="D161" s="135"/>
      <c r="E161" s="131" t="s">
        <v>669</v>
      </c>
      <c r="F161" s="149">
        <v>610</v>
      </c>
      <c r="G161" s="199" t="s">
        <v>257</v>
      </c>
      <c r="H161" s="388">
        <v>1550000</v>
      </c>
      <c r="I161" s="388"/>
      <c r="J161" s="388">
        <f>H161+I161</f>
        <v>1550000</v>
      </c>
      <c r="K161" s="132"/>
      <c r="L161" s="526"/>
      <c r="M161" s="526"/>
      <c r="N161" s="526"/>
      <c r="O161" s="132"/>
      <c r="P161" s="150">
        <f t="shared" si="63"/>
        <v>1550000</v>
      </c>
      <c r="Q161" s="150">
        <f t="shared" si="64"/>
        <v>0</v>
      </c>
      <c r="R161" s="150">
        <f t="shared" si="64"/>
        <v>1550000</v>
      </c>
    </row>
    <row r="162" spans="2:18" x14ac:dyDescent="0.2">
      <c r="B162" s="171">
        <f t="shared" si="43"/>
        <v>42</v>
      </c>
      <c r="C162" s="130"/>
      <c r="D162" s="130"/>
      <c r="E162" s="131" t="s">
        <v>669</v>
      </c>
      <c r="F162" s="149">
        <v>620</v>
      </c>
      <c r="G162" s="199" t="s">
        <v>259</v>
      </c>
      <c r="H162" s="388">
        <v>580000</v>
      </c>
      <c r="I162" s="388"/>
      <c r="J162" s="388">
        <f>H162+I162</f>
        <v>580000</v>
      </c>
      <c r="K162" s="132"/>
      <c r="L162" s="526"/>
      <c r="M162" s="526"/>
      <c r="N162" s="526"/>
      <c r="O162" s="132"/>
      <c r="P162" s="150">
        <f t="shared" si="63"/>
        <v>580000</v>
      </c>
      <c r="Q162" s="150">
        <f t="shared" si="64"/>
        <v>0</v>
      </c>
      <c r="R162" s="150">
        <f t="shared" si="64"/>
        <v>580000</v>
      </c>
    </row>
    <row r="163" spans="2:18" x14ac:dyDescent="0.2">
      <c r="B163" s="171">
        <f t="shared" si="43"/>
        <v>43</v>
      </c>
      <c r="C163" s="130"/>
      <c r="D163" s="130"/>
      <c r="E163" s="131" t="s">
        <v>669</v>
      </c>
      <c r="F163" s="149">
        <v>630</v>
      </c>
      <c r="G163" s="199" t="s">
        <v>236</v>
      </c>
      <c r="H163" s="388">
        <f>H164+H165+H166+H167</f>
        <v>448510</v>
      </c>
      <c r="I163" s="388">
        <f t="shared" ref="I163" si="68">I164+I165+I166+I167</f>
        <v>0</v>
      </c>
      <c r="J163" s="388">
        <f>H163+I163</f>
        <v>448510</v>
      </c>
      <c r="K163" s="132"/>
      <c r="L163" s="526"/>
      <c r="M163" s="526"/>
      <c r="N163" s="526"/>
      <c r="O163" s="132"/>
      <c r="P163" s="150">
        <f t="shared" si="63"/>
        <v>448510</v>
      </c>
      <c r="Q163" s="150">
        <f t="shared" si="64"/>
        <v>0</v>
      </c>
      <c r="R163" s="150">
        <f t="shared" si="64"/>
        <v>448510</v>
      </c>
    </row>
    <row r="164" spans="2:18" x14ac:dyDescent="0.2">
      <c r="B164" s="171">
        <f t="shared" si="43"/>
        <v>44</v>
      </c>
      <c r="C164" s="130"/>
      <c r="D164" s="130"/>
      <c r="E164" s="134"/>
      <c r="F164" s="134">
        <v>632</v>
      </c>
      <c r="G164" s="194" t="s">
        <v>246</v>
      </c>
      <c r="H164" s="526">
        <v>164700</v>
      </c>
      <c r="I164" s="526"/>
      <c r="J164" s="526">
        <f>H164+I164</f>
        <v>164700</v>
      </c>
      <c r="K164" s="132"/>
      <c r="L164" s="526"/>
      <c r="M164" s="526"/>
      <c r="N164" s="526"/>
      <c r="O164" s="132"/>
      <c r="P164" s="528">
        <f t="shared" si="63"/>
        <v>164700</v>
      </c>
      <c r="Q164" s="528">
        <f t="shared" ref="Q164:R176" si="69">I164+M164</f>
        <v>0</v>
      </c>
      <c r="R164" s="528">
        <f t="shared" si="69"/>
        <v>164700</v>
      </c>
    </row>
    <row r="165" spans="2:18" x14ac:dyDescent="0.2">
      <c r="B165" s="171">
        <f t="shared" si="43"/>
        <v>45</v>
      </c>
      <c r="C165" s="130"/>
      <c r="D165" s="130"/>
      <c r="E165" s="134"/>
      <c r="F165" s="134">
        <v>633</v>
      </c>
      <c r="G165" s="194" t="s">
        <v>247</v>
      </c>
      <c r="H165" s="526">
        <f>38000+810</f>
        <v>38810</v>
      </c>
      <c r="I165" s="526"/>
      <c r="J165" s="526">
        <f t="shared" ref="J165:J169" si="70">H165+I165</f>
        <v>38810</v>
      </c>
      <c r="K165" s="132"/>
      <c r="L165" s="526"/>
      <c r="M165" s="526"/>
      <c r="N165" s="526"/>
      <c r="O165" s="132"/>
      <c r="P165" s="528">
        <f t="shared" si="63"/>
        <v>38810</v>
      </c>
      <c r="Q165" s="528">
        <f t="shared" si="69"/>
        <v>0</v>
      </c>
      <c r="R165" s="528">
        <f t="shared" si="69"/>
        <v>38810</v>
      </c>
    </row>
    <row r="166" spans="2:18" x14ac:dyDescent="0.2">
      <c r="B166" s="171">
        <f t="shared" si="43"/>
        <v>46</v>
      </c>
      <c r="C166" s="130"/>
      <c r="D166" s="130"/>
      <c r="E166" s="134"/>
      <c r="F166" s="134">
        <v>635</v>
      </c>
      <c r="G166" s="194" t="s">
        <v>261</v>
      </c>
      <c r="H166" s="526">
        <f>35000-5000</f>
        <v>30000</v>
      </c>
      <c r="I166" s="526"/>
      <c r="J166" s="526">
        <f t="shared" si="70"/>
        <v>30000</v>
      </c>
      <c r="K166" s="132"/>
      <c r="L166" s="526"/>
      <c r="M166" s="526"/>
      <c r="N166" s="526"/>
      <c r="O166" s="132"/>
      <c r="P166" s="528">
        <f t="shared" si="63"/>
        <v>30000</v>
      </c>
      <c r="Q166" s="528">
        <f t="shared" si="69"/>
        <v>0</v>
      </c>
      <c r="R166" s="528">
        <f t="shared" si="69"/>
        <v>30000</v>
      </c>
    </row>
    <row r="167" spans="2:18" x14ac:dyDescent="0.2">
      <c r="B167" s="171">
        <f t="shared" si="43"/>
        <v>47</v>
      </c>
      <c r="C167" s="130"/>
      <c r="D167" s="130"/>
      <c r="E167" s="134"/>
      <c r="F167" s="134">
        <v>637</v>
      </c>
      <c r="G167" s="194" t="s">
        <v>248</v>
      </c>
      <c r="H167" s="526">
        <v>215000</v>
      </c>
      <c r="I167" s="526"/>
      <c r="J167" s="526">
        <f t="shared" si="70"/>
        <v>215000</v>
      </c>
      <c r="K167" s="132"/>
      <c r="L167" s="526"/>
      <c r="M167" s="526"/>
      <c r="N167" s="526"/>
      <c r="O167" s="132"/>
      <c r="P167" s="528">
        <f t="shared" si="63"/>
        <v>215000</v>
      </c>
      <c r="Q167" s="528">
        <f t="shared" si="69"/>
        <v>0</v>
      </c>
      <c r="R167" s="528">
        <f t="shared" si="69"/>
        <v>215000</v>
      </c>
    </row>
    <row r="168" spans="2:18" x14ac:dyDescent="0.2">
      <c r="B168" s="171">
        <f t="shared" si="43"/>
        <v>48</v>
      </c>
      <c r="C168" s="130"/>
      <c r="D168" s="130"/>
      <c r="E168" s="131" t="s">
        <v>669</v>
      </c>
      <c r="F168" s="154">
        <v>640</v>
      </c>
      <c r="G168" s="199" t="s">
        <v>301</v>
      </c>
      <c r="H168" s="388">
        <v>35000</v>
      </c>
      <c r="I168" s="388"/>
      <c r="J168" s="388">
        <f t="shared" si="70"/>
        <v>35000</v>
      </c>
      <c r="K168" s="132"/>
      <c r="L168" s="526"/>
      <c r="M168" s="526"/>
      <c r="N168" s="526"/>
      <c r="O168" s="132"/>
      <c r="P168" s="150">
        <f t="shared" si="63"/>
        <v>35000</v>
      </c>
      <c r="Q168" s="150">
        <f t="shared" si="69"/>
        <v>0</v>
      </c>
      <c r="R168" s="150">
        <f t="shared" si="69"/>
        <v>35000</v>
      </c>
    </row>
    <row r="169" spans="2:18" x14ac:dyDescent="0.2">
      <c r="B169" s="171">
        <f t="shared" si="43"/>
        <v>49</v>
      </c>
      <c r="C169" s="130"/>
      <c r="D169" s="130"/>
      <c r="E169" s="134" t="s">
        <v>565</v>
      </c>
      <c r="F169" s="149">
        <v>650</v>
      </c>
      <c r="G169" s="199" t="s">
        <v>564</v>
      </c>
      <c r="H169" s="388">
        <f>370000-11475-5000-45000-7000-35000-10758</f>
        <v>255767</v>
      </c>
      <c r="I169" s="388"/>
      <c r="J169" s="388">
        <f t="shared" si="70"/>
        <v>255767</v>
      </c>
      <c r="K169" s="132"/>
      <c r="L169" s="526"/>
      <c r="M169" s="526"/>
      <c r="N169" s="526"/>
      <c r="O169" s="132"/>
      <c r="P169" s="150">
        <f t="shared" si="63"/>
        <v>255767</v>
      </c>
      <c r="Q169" s="150">
        <f t="shared" si="69"/>
        <v>0</v>
      </c>
      <c r="R169" s="150">
        <f t="shared" si="69"/>
        <v>255767</v>
      </c>
    </row>
    <row r="170" spans="2:18" ht="15.75" x14ac:dyDescent="0.25">
      <c r="B170" s="171">
        <f t="shared" si="43"/>
        <v>50</v>
      </c>
      <c r="C170" s="23">
        <v>6</v>
      </c>
      <c r="D170" s="127" t="s">
        <v>237</v>
      </c>
      <c r="E170" s="24"/>
      <c r="F170" s="24"/>
      <c r="G170" s="193"/>
      <c r="H170" s="411">
        <f>H172+H171</f>
        <v>7000</v>
      </c>
      <c r="I170" s="411">
        <f t="shared" ref="I170" si="71">I172+I171</f>
        <v>0</v>
      </c>
      <c r="J170" s="411">
        <f>H170+I170</f>
        <v>7000</v>
      </c>
      <c r="K170" s="88"/>
      <c r="L170" s="379">
        <v>0</v>
      </c>
      <c r="M170" s="379">
        <v>0</v>
      </c>
      <c r="N170" s="379">
        <f>L170+M170</f>
        <v>0</v>
      </c>
      <c r="O170" s="88"/>
      <c r="P170" s="373">
        <f t="shared" si="63"/>
        <v>7000</v>
      </c>
      <c r="Q170" s="373">
        <f t="shared" si="69"/>
        <v>0</v>
      </c>
      <c r="R170" s="373">
        <f t="shared" si="69"/>
        <v>7000</v>
      </c>
    </row>
    <row r="171" spans="2:18" x14ac:dyDescent="0.2">
      <c r="B171" s="171">
        <f t="shared" si="43"/>
        <v>51</v>
      </c>
      <c r="C171" s="135"/>
      <c r="D171" s="135"/>
      <c r="E171" s="524" t="s">
        <v>669</v>
      </c>
      <c r="F171" s="524">
        <v>631</v>
      </c>
      <c r="G171" s="202" t="s">
        <v>484</v>
      </c>
      <c r="H171" s="526">
        <v>2500</v>
      </c>
      <c r="I171" s="526"/>
      <c r="J171" s="526">
        <f>H171+I171</f>
        <v>2500</v>
      </c>
      <c r="K171" s="132"/>
      <c r="L171" s="526"/>
      <c r="M171" s="526"/>
      <c r="N171" s="526"/>
      <c r="O171" s="132"/>
      <c r="P171" s="528">
        <f t="shared" si="63"/>
        <v>2500</v>
      </c>
      <c r="Q171" s="528">
        <f t="shared" si="69"/>
        <v>0</v>
      </c>
      <c r="R171" s="528">
        <f t="shared" si="69"/>
        <v>2500</v>
      </c>
    </row>
    <row r="172" spans="2:18" x14ac:dyDescent="0.2">
      <c r="B172" s="171">
        <f t="shared" si="43"/>
        <v>52</v>
      </c>
      <c r="C172" s="130"/>
      <c r="D172" s="130"/>
      <c r="E172" s="524" t="s">
        <v>427</v>
      </c>
      <c r="F172" s="134">
        <v>637</v>
      </c>
      <c r="G172" s="194" t="s">
        <v>485</v>
      </c>
      <c r="H172" s="526">
        <v>4500</v>
      </c>
      <c r="I172" s="526"/>
      <c r="J172" s="526">
        <f>H172+I172</f>
        <v>4500</v>
      </c>
      <c r="K172" s="148"/>
      <c r="L172" s="526"/>
      <c r="M172" s="526"/>
      <c r="N172" s="526"/>
      <c r="O172" s="148"/>
      <c r="P172" s="528">
        <f t="shared" si="63"/>
        <v>4500</v>
      </c>
      <c r="Q172" s="528">
        <f t="shared" si="69"/>
        <v>0</v>
      </c>
      <c r="R172" s="528">
        <f t="shared" si="69"/>
        <v>4500</v>
      </c>
    </row>
    <row r="173" spans="2:18" ht="15.75" x14ac:dyDescent="0.25">
      <c r="B173" s="171">
        <f t="shared" si="43"/>
        <v>53</v>
      </c>
      <c r="C173" s="23">
        <v>7</v>
      </c>
      <c r="D173" s="127" t="s">
        <v>134</v>
      </c>
      <c r="E173" s="24"/>
      <c r="F173" s="24"/>
      <c r="G173" s="193"/>
      <c r="H173" s="414">
        <f>SUM(H174:H176)</f>
        <v>131990</v>
      </c>
      <c r="I173" s="414">
        <f t="shared" ref="I173" si="72">SUM(I174:I176)</f>
        <v>0</v>
      </c>
      <c r="J173" s="414">
        <f>H173+I173</f>
        <v>131990</v>
      </c>
      <c r="K173" s="88"/>
      <c r="L173" s="379">
        <f>SUM(L178:L179)</f>
        <v>15000</v>
      </c>
      <c r="M173" s="379">
        <f t="shared" ref="M173" si="73">SUM(M178:M179)</f>
        <v>0</v>
      </c>
      <c r="N173" s="379">
        <f>L173+M173</f>
        <v>15000</v>
      </c>
      <c r="O173" s="88"/>
      <c r="P173" s="373">
        <f t="shared" si="63"/>
        <v>146990</v>
      </c>
      <c r="Q173" s="373">
        <f t="shared" si="69"/>
        <v>0</v>
      </c>
      <c r="R173" s="373">
        <f t="shared" si="69"/>
        <v>146990</v>
      </c>
    </row>
    <row r="174" spans="2:18" x14ac:dyDescent="0.2">
      <c r="B174" s="171">
        <f t="shared" si="43"/>
        <v>54</v>
      </c>
      <c r="C174" s="130"/>
      <c r="D174" s="130"/>
      <c r="E174" s="524" t="s">
        <v>669</v>
      </c>
      <c r="F174" s="134">
        <v>632</v>
      </c>
      <c r="G174" s="194" t="s">
        <v>639</v>
      </c>
      <c r="H174" s="526">
        <f>4700+600</f>
        <v>5300</v>
      </c>
      <c r="I174" s="526"/>
      <c r="J174" s="526">
        <f>H174+I174</f>
        <v>5300</v>
      </c>
      <c r="K174" s="132"/>
      <c r="L174" s="526"/>
      <c r="M174" s="526"/>
      <c r="N174" s="526"/>
      <c r="O174" s="132"/>
      <c r="P174" s="528">
        <f t="shared" si="63"/>
        <v>5300</v>
      </c>
      <c r="Q174" s="528">
        <f t="shared" si="69"/>
        <v>0</v>
      </c>
      <c r="R174" s="528">
        <f t="shared" si="69"/>
        <v>5300</v>
      </c>
    </row>
    <row r="175" spans="2:18" x14ac:dyDescent="0.2">
      <c r="B175" s="171">
        <f t="shared" si="43"/>
        <v>55</v>
      </c>
      <c r="C175" s="130"/>
      <c r="D175" s="130"/>
      <c r="E175" s="524" t="s">
        <v>669</v>
      </c>
      <c r="F175" s="134">
        <v>633</v>
      </c>
      <c r="G175" s="194" t="s">
        <v>486</v>
      </c>
      <c r="H175" s="526">
        <f>21000-810</f>
        <v>20190</v>
      </c>
      <c r="I175" s="526"/>
      <c r="J175" s="526">
        <f t="shared" ref="J175:J176" si="74">H175+I175</f>
        <v>20190</v>
      </c>
      <c r="K175" s="132"/>
      <c r="L175" s="526"/>
      <c r="M175" s="526"/>
      <c r="N175" s="526"/>
      <c r="O175" s="132"/>
      <c r="P175" s="528">
        <f t="shared" si="63"/>
        <v>20190</v>
      </c>
      <c r="Q175" s="528">
        <f t="shared" si="69"/>
        <v>0</v>
      </c>
      <c r="R175" s="528">
        <f t="shared" si="69"/>
        <v>20190</v>
      </c>
    </row>
    <row r="176" spans="2:18" x14ac:dyDescent="0.2">
      <c r="B176" s="171">
        <f t="shared" si="43"/>
        <v>56</v>
      </c>
      <c r="C176" s="130"/>
      <c r="D176" s="130"/>
      <c r="E176" s="524" t="s">
        <v>669</v>
      </c>
      <c r="F176" s="134">
        <v>635</v>
      </c>
      <c r="G176" s="194" t="s">
        <v>487</v>
      </c>
      <c r="H176" s="526">
        <f>97000+10000-500</f>
        <v>106500</v>
      </c>
      <c r="I176" s="526"/>
      <c r="J176" s="526">
        <f t="shared" si="74"/>
        <v>106500</v>
      </c>
      <c r="K176" s="132"/>
      <c r="L176" s="526"/>
      <c r="M176" s="526"/>
      <c r="N176" s="526"/>
      <c r="O176" s="132"/>
      <c r="P176" s="528">
        <f t="shared" si="63"/>
        <v>106500</v>
      </c>
      <c r="Q176" s="528">
        <f t="shared" si="69"/>
        <v>0</v>
      </c>
      <c r="R176" s="528">
        <f t="shared" si="69"/>
        <v>106500</v>
      </c>
    </row>
    <row r="177" spans="2:18" x14ac:dyDescent="0.2">
      <c r="B177" s="171">
        <f t="shared" si="43"/>
        <v>57</v>
      </c>
      <c r="C177" s="130"/>
      <c r="D177" s="130"/>
      <c r="E177" s="134"/>
      <c r="F177" s="134"/>
      <c r="G177" s="194"/>
      <c r="H177" s="526"/>
      <c r="I177" s="526"/>
      <c r="J177" s="526"/>
      <c r="K177" s="132"/>
      <c r="L177" s="526"/>
      <c r="M177" s="526"/>
      <c r="N177" s="526"/>
      <c r="O177" s="132"/>
      <c r="P177" s="528"/>
      <c r="Q177" s="528"/>
      <c r="R177" s="528"/>
    </row>
    <row r="178" spans="2:18" x14ac:dyDescent="0.2">
      <c r="B178" s="171">
        <f t="shared" si="43"/>
        <v>58</v>
      </c>
      <c r="C178" s="130"/>
      <c r="D178" s="130"/>
      <c r="E178" s="524" t="s">
        <v>669</v>
      </c>
      <c r="F178" s="134">
        <v>711</v>
      </c>
      <c r="G178" s="194" t="s">
        <v>681</v>
      </c>
      <c r="H178" s="526"/>
      <c r="I178" s="526"/>
      <c r="J178" s="526"/>
      <c r="K178" s="132"/>
      <c r="L178" s="526">
        <f>10000-5000</f>
        <v>5000</v>
      </c>
      <c r="M178" s="526"/>
      <c r="N178" s="526">
        <f t="shared" ref="N178:N179" si="75">L178+M178</f>
        <v>5000</v>
      </c>
      <c r="O178" s="132"/>
      <c r="P178" s="528">
        <f t="shared" ref="P178:P184" si="76">H178+L178</f>
        <v>5000</v>
      </c>
      <c r="Q178" s="528">
        <f t="shared" ref="Q178:R184" si="77">I178+M178</f>
        <v>0</v>
      </c>
      <c r="R178" s="528">
        <f t="shared" si="77"/>
        <v>5000</v>
      </c>
    </row>
    <row r="179" spans="2:18" x14ac:dyDescent="0.2">
      <c r="B179" s="171">
        <f t="shared" si="43"/>
        <v>59</v>
      </c>
      <c r="C179" s="130"/>
      <c r="D179" s="159"/>
      <c r="E179" s="524" t="s">
        <v>669</v>
      </c>
      <c r="F179" s="134">
        <v>713</v>
      </c>
      <c r="G179" s="194" t="s">
        <v>680</v>
      </c>
      <c r="H179" s="526"/>
      <c r="I179" s="526"/>
      <c r="J179" s="526"/>
      <c r="K179" s="132"/>
      <c r="L179" s="382">
        <v>10000</v>
      </c>
      <c r="M179" s="382"/>
      <c r="N179" s="526">
        <f t="shared" si="75"/>
        <v>10000</v>
      </c>
      <c r="O179" s="132"/>
      <c r="P179" s="160">
        <f t="shared" si="76"/>
        <v>10000</v>
      </c>
      <c r="Q179" s="160">
        <f t="shared" si="77"/>
        <v>0</v>
      </c>
      <c r="R179" s="160">
        <f t="shared" si="77"/>
        <v>10000</v>
      </c>
    </row>
    <row r="180" spans="2:18" ht="15.75" x14ac:dyDescent="0.25">
      <c r="B180" s="171">
        <f t="shared" si="43"/>
        <v>60</v>
      </c>
      <c r="C180" s="23">
        <v>8</v>
      </c>
      <c r="D180" s="127" t="s">
        <v>135</v>
      </c>
      <c r="E180" s="24"/>
      <c r="F180" s="24"/>
      <c r="G180" s="193"/>
      <c r="H180" s="411">
        <f>SUM(H181:H183)</f>
        <v>27430</v>
      </c>
      <c r="I180" s="411">
        <f t="shared" ref="I180" si="78">SUM(I181:I183)</f>
        <v>0</v>
      </c>
      <c r="J180" s="411">
        <f>H180+I180</f>
        <v>27430</v>
      </c>
      <c r="K180" s="88"/>
      <c r="L180" s="379">
        <f>SUM(L181:L184)</f>
        <v>12000</v>
      </c>
      <c r="M180" s="379">
        <f t="shared" ref="M180" si="79">SUM(M181:M184)</f>
        <v>0</v>
      </c>
      <c r="N180" s="379">
        <f>L180+M180</f>
        <v>12000</v>
      </c>
      <c r="O180" s="88"/>
      <c r="P180" s="373">
        <f t="shared" si="76"/>
        <v>39430</v>
      </c>
      <c r="Q180" s="373">
        <f t="shared" si="77"/>
        <v>0</v>
      </c>
      <c r="R180" s="373">
        <f t="shared" si="77"/>
        <v>39430</v>
      </c>
    </row>
    <row r="181" spans="2:18" x14ac:dyDescent="0.2">
      <c r="B181" s="171">
        <f t="shared" si="43"/>
        <v>61</v>
      </c>
      <c r="C181" s="130"/>
      <c r="D181" s="130"/>
      <c r="E181" s="524" t="s">
        <v>669</v>
      </c>
      <c r="F181" s="134">
        <v>634</v>
      </c>
      <c r="G181" s="194" t="s">
        <v>530</v>
      </c>
      <c r="H181" s="526">
        <f>25000-4000</f>
        <v>21000</v>
      </c>
      <c r="I181" s="526"/>
      <c r="J181" s="526">
        <f>H181+I181</f>
        <v>21000</v>
      </c>
      <c r="K181" s="132"/>
      <c r="L181" s="526"/>
      <c r="M181" s="526"/>
      <c r="N181" s="526"/>
      <c r="O181" s="132"/>
      <c r="P181" s="528">
        <f t="shared" si="76"/>
        <v>21000</v>
      </c>
      <c r="Q181" s="528">
        <f t="shared" si="77"/>
        <v>0</v>
      </c>
      <c r="R181" s="528">
        <f t="shared" si="77"/>
        <v>21000</v>
      </c>
    </row>
    <row r="182" spans="2:18" x14ac:dyDescent="0.2">
      <c r="B182" s="171">
        <f t="shared" si="43"/>
        <v>62</v>
      </c>
      <c r="C182" s="130"/>
      <c r="D182" s="159"/>
      <c r="E182" s="524" t="s">
        <v>669</v>
      </c>
      <c r="F182" s="524">
        <v>634</v>
      </c>
      <c r="G182" s="194" t="s">
        <v>532</v>
      </c>
      <c r="H182" s="526">
        <v>5800</v>
      </c>
      <c r="I182" s="526"/>
      <c r="J182" s="526">
        <f t="shared" ref="J182:J183" si="80">H182+I182</f>
        <v>5800</v>
      </c>
      <c r="K182" s="132"/>
      <c r="L182" s="382"/>
      <c r="M182" s="382"/>
      <c r="N182" s="526"/>
      <c r="O182" s="132"/>
      <c r="P182" s="160">
        <f t="shared" si="76"/>
        <v>5800</v>
      </c>
      <c r="Q182" s="160">
        <f t="shared" si="77"/>
        <v>0</v>
      </c>
      <c r="R182" s="160">
        <f t="shared" si="77"/>
        <v>5800</v>
      </c>
    </row>
    <row r="183" spans="2:18" x14ac:dyDescent="0.2">
      <c r="B183" s="171">
        <f t="shared" si="43"/>
        <v>63</v>
      </c>
      <c r="C183" s="130"/>
      <c r="D183" s="159"/>
      <c r="E183" s="524" t="s">
        <v>669</v>
      </c>
      <c r="F183" s="134">
        <v>637</v>
      </c>
      <c r="G183" s="194" t="s">
        <v>531</v>
      </c>
      <c r="H183" s="526">
        <v>630</v>
      </c>
      <c r="I183" s="526"/>
      <c r="J183" s="526">
        <f t="shared" si="80"/>
        <v>630</v>
      </c>
      <c r="K183" s="132"/>
      <c r="L183" s="382"/>
      <c r="M183" s="382"/>
      <c r="N183" s="526"/>
      <c r="O183" s="132"/>
      <c r="P183" s="160">
        <f t="shared" si="76"/>
        <v>630</v>
      </c>
      <c r="Q183" s="160">
        <f t="shared" si="77"/>
        <v>0</v>
      </c>
      <c r="R183" s="160">
        <f t="shared" si="77"/>
        <v>630</v>
      </c>
    </row>
    <row r="184" spans="2:18" ht="13.5" thickBot="1" x14ac:dyDescent="0.25">
      <c r="B184" s="350">
        <f>B183+1</f>
        <v>64</v>
      </c>
      <c r="C184" s="351"/>
      <c r="D184" s="370"/>
      <c r="E184" s="211" t="s">
        <v>669</v>
      </c>
      <c r="F184" s="211">
        <v>714</v>
      </c>
      <c r="G184" s="356" t="s">
        <v>522</v>
      </c>
      <c r="H184" s="385"/>
      <c r="I184" s="385"/>
      <c r="J184" s="385"/>
      <c r="K184" s="141"/>
      <c r="L184" s="389">
        <f>12000</f>
        <v>12000</v>
      </c>
      <c r="M184" s="389"/>
      <c r="N184" s="385">
        <f t="shared" ref="N184" si="81">L184+M184</f>
        <v>12000</v>
      </c>
      <c r="O184" s="141"/>
      <c r="P184" s="308">
        <f t="shared" si="76"/>
        <v>12000</v>
      </c>
      <c r="Q184" s="308">
        <f t="shared" si="77"/>
        <v>0</v>
      </c>
      <c r="R184" s="308">
        <f t="shared" si="77"/>
        <v>12000</v>
      </c>
    </row>
    <row r="237" spans="2:18" ht="27.75" thickBot="1" x14ac:dyDescent="0.4">
      <c r="B237" s="246" t="s">
        <v>208</v>
      </c>
      <c r="C237" s="246"/>
      <c r="D237" s="246"/>
      <c r="E237" s="246"/>
      <c r="F237" s="246"/>
      <c r="G237" s="246"/>
      <c r="H237" s="246"/>
      <c r="I237" s="246"/>
      <c r="J237" s="246"/>
      <c r="K237" s="246"/>
      <c r="L237" s="246"/>
      <c r="M237" s="246"/>
      <c r="N237" s="246"/>
      <c r="O237" s="246"/>
      <c r="P237" s="246"/>
      <c r="Q237" s="246"/>
      <c r="R237" s="246"/>
    </row>
    <row r="238" spans="2:18" ht="13.5" customHeight="1" thickBot="1" x14ac:dyDescent="0.25">
      <c r="B238" s="913" t="s">
        <v>631</v>
      </c>
      <c r="C238" s="914"/>
      <c r="D238" s="914"/>
      <c r="E238" s="914"/>
      <c r="F238" s="914"/>
      <c r="G238" s="914"/>
      <c r="H238" s="914"/>
      <c r="I238" s="914"/>
      <c r="J238" s="914"/>
      <c r="K238" s="914"/>
      <c r="L238" s="914"/>
      <c r="M238" s="914"/>
      <c r="N238" s="915"/>
      <c r="O238" s="120"/>
      <c r="P238" s="903" t="s">
        <v>721</v>
      </c>
      <c r="Q238" s="903" t="s">
        <v>860</v>
      </c>
      <c r="R238" s="903" t="s">
        <v>721</v>
      </c>
    </row>
    <row r="239" spans="2:18" ht="18" customHeight="1" thickTop="1" x14ac:dyDescent="0.2">
      <c r="B239" s="505"/>
      <c r="C239" s="906" t="s">
        <v>477</v>
      </c>
      <c r="D239" s="906" t="s">
        <v>476</v>
      </c>
      <c r="E239" s="906" t="s">
        <v>474</v>
      </c>
      <c r="F239" s="906" t="s">
        <v>475</v>
      </c>
      <c r="G239" s="507" t="s">
        <v>3</v>
      </c>
      <c r="H239" s="908" t="s">
        <v>722</v>
      </c>
      <c r="I239" s="912" t="s">
        <v>860</v>
      </c>
      <c r="J239" s="912" t="s">
        <v>722</v>
      </c>
      <c r="L239" s="910" t="s">
        <v>723</v>
      </c>
      <c r="M239" s="910" t="s">
        <v>860</v>
      </c>
      <c r="N239" s="910" t="s">
        <v>723</v>
      </c>
      <c r="P239" s="904"/>
      <c r="Q239" s="904"/>
      <c r="R239" s="904"/>
    </row>
    <row r="240" spans="2:18" ht="43.5" customHeight="1" thickBot="1" x14ac:dyDescent="0.25">
      <c r="B240" s="509"/>
      <c r="C240" s="907"/>
      <c r="D240" s="907"/>
      <c r="E240" s="907"/>
      <c r="F240" s="907"/>
      <c r="G240" s="508"/>
      <c r="H240" s="909"/>
      <c r="I240" s="909"/>
      <c r="J240" s="909"/>
      <c r="L240" s="911"/>
      <c r="M240" s="911"/>
      <c r="N240" s="911"/>
      <c r="P240" s="905"/>
      <c r="Q240" s="905"/>
      <c r="R240" s="905"/>
    </row>
    <row r="241" spans="2:18" ht="19.5" thickTop="1" thickBot="1" x14ac:dyDescent="0.25">
      <c r="B241" s="171">
        <v>1</v>
      </c>
      <c r="C241" s="125" t="s">
        <v>209</v>
      </c>
      <c r="D241" s="111"/>
      <c r="E241" s="111"/>
      <c r="F241" s="111"/>
      <c r="G241" s="201"/>
      <c r="H241" s="415">
        <f>H242+H246+H256+H266+H276+H287+H298+H308</f>
        <v>471589</v>
      </c>
      <c r="I241" s="415">
        <f t="shared" ref="I241" si="82">I242+I246+I256+I266+I276+I287+I298+I308</f>
        <v>0</v>
      </c>
      <c r="J241" s="415">
        <f>H241+I241</f>
        <v>471589</v>
      </c>
      <c r="K241" s="113"/>
      <c r="L241" s="405">
        <f>L242+L246+L256+L266+L276+L287+L298+L308</f>
        <v>126369</v>
      </c>
      <c r="M241" s="405">
        <f t="shared" ref="M241" si="83">M242+M246+M256+M266+M276+M287+M298+M308</f>
        <v>0</v>
      </c>
      <c r="N241" s="405">
        <f>L241+M241</f>
        <v>126369</v>
      </c>
      <c r="O241" s="113"/>
      <c r="P241" s="372">
        <f t="shared" ref="P241:P272" si="84">H241+L241</f>
        <v>597958</v>
      </c>
      <c r="Q241" s="372">
        <f t="shared" ref="Q241:R256" si="85">I241+M241</f>
        <v>0</v>
      </c>
      <c r="R241" s="372">
        <f t="shared" si="85"/>
        <v>597958</v>
      </c>
    </row>
    <row r="242" spans="2:18" ht="16.5" thickTop="1" x14ac:dyDescent="0.25">
      <c r="B242" s="171">
        <f>B241+1</f>
        <v>2</v>
      </c>
      <c r="C242" s="23">
        <v>1</v>
      </c>
      <c r="D242" s="127" t="s">
        <v>102</v>
      </c>
      <c r="E242" s="24"/>
      <c r="F242" s="24"/>
      <c r="G242" s="193"/>
      <c r="H242" s="410">
        <f>SUM(H243:H245)</f>
        <v>25250</v>
      </c>
      <c r="I242" s="410">
        <f t="shared" ref="I242" si="86">SUM(I243:I245)</f>
        <v>0</v>
      </c>
      <c r="J242" s="410">
        <f>H242+I242</f>
        <v>25250</v>
      </c>
      <c r="K242" s="88"/>
      <c r="L242" s="772">
        <v>0</v>
      </c>
      <c r="M242" s="772">
        <v>0</v>
      </c>
      <c r="N242" s="772">
        <f>L242+M242</f>
        <v>0</v>
      </c>
      <c r="O242" s="88"/>
      <c r="P242" s="373">
        <f t="shared" si="84"/>
        <v>25250</v>
      </c>
      <c r="Q242" s="373">
        <f t="shared" si="85"/>
        <v>0</v>
      </c>
      <c r="R242" s="373">
        <f t="shared" si="85"/>
        <v>25250</v>
      </c>
    </row>
    <row r="243" spans="2:18" x14ac:dyDescent="0.2">
      <c r="B243" s="171">
        <f t="shared" ref="B243:B306" si="87">B242+1</f>
        <v>3</v>
      </c>
      <c r="C243" s="130"/>
      <c r="D243" s="131"/>
      <c r="E243" s="131" t="s">
        <v>670</v>
      </c>
      <c r="F243" s="131" t="s">
        <v>212</v>
      </c>
      <c r="G243" s="194" t="s">
        <v>259</v>
      </c>
      <c r="H243" s="526">
        <v>3600</v>
      </c>
      <c r="I243" s="526"/>
      <c r="J243" s="526">
        <f>H243+I243</f>
        <v>3600</v>
      </c>
      <c r="K243" s="132"/>
      <c r="L243" s="434"/>
      <c r="M243" s="434"/>
      <c r="N243" s="434"/>
      <c r="O243" s="132"/>
      <c r="P243" s="137">
        <f t="shared" si="84"/>
        <v>3600</v>
      </c>
      <c r="Q243" s="137">
        <f t="shared" si="85"/>
        <v>0</v>
      </c>
      <c r="R243" s="137">
        <f t="shared" si="85"/>
        <v>3600</v>
      </c>
    </row>
    <row r="244" spans="2:18" x14ac:dyDescent="0.2">
      <c r="B244" s="171">
        <f t="shared" si="87"/>
        <v>4</v>
      </c>
      <c r="C244" s="130"/>
      <c r="D244" s="131"/>
      <c r="E244" s="131" t="s">
        <v>670</v>
      </c>
      <c r="F244" s="131" t="s">
        <v>200</v>
      </c>
      <c r="G244" s="194" t="s">
        <v>529</v>
      </c>
      <c r="H244" s="526">
        <v>3300</v>
      </c>
      <c r="I244" s="526"/>
      <c r="J244" s="526">
        <f t="shared" ref="J244:J245" si="88">H244+I244</f>
        <v>3300</v>
      </c>
      <c r="K244" s="132"/>
      <c r="L244" s="434"/>
      <c r="M244" s="434"/>
      <c r="N244" s="434"/>
      <c r="O244" s="132"/>
      <c r="P244" s="137">
        <f t="shared" si="84"/>
        <v>3300</v>
      </c>
      <c r="Q244" s="137">
        <f t="shared" si="85"/>
        <v>0</v>
      </c>
      <c r="R244" s="137">
        <f t="shared" si="85"/>
        <v>3300</v>
      </c>
    </row>
    <row r="245" spans="2:18" x14ac:dyDescent="0.2">
      <c r="B245" s="171">
        <f t="shared" si="87"/>
        <v>5</v>
      </c>
      <c r="C245" s="130"/>
      <c r="D245" s="131"/>
      <c r="E245" s="131" t="s">
        <v>670</v>
      </c>
      <c r="F245" s="131" t="s">
        <v>216</v>
      </c>
      <c r="G245" s="194" t="s">
        <v>562</v>
      </c>
      <c r="H245" s="526">
        <v>18350</v>
      </c>
      <c r="I245" s="526"/>
      <c r="J245" s="526">
        <f t="shared" si="88"/>
        <v>18350</v>
      </c>
      <c r="K245" s="132"/>
      <c r="L245" s="434"/>
      <c r="M245" s="434"/>
      <c r="N245" s="434"/>
      <c r="O245" s="132"/>
      <c r="P245" s="137">
        <f t="shared" si="84"/>
        <v>18350</v>
      </c>
      <c r="Q245" s="137">
        <f t="shared" si="85"/>
        <v>0</v>
      </c>
      <c r="R245" s="137">
        <f t="shared" si="85"/>
        <v>18350</v>
      </c>
    </row>
    <row r="246" spans="2:18" ht="15.75" x14ac:dyDescent="0.25">
      <c r="B246" s="171">
        <f t="shared" si="87"/>
        <v>6</v>
      </c>
      <c r="C246" s="21">
        <v>2</v>
      </c>
      <c r="D246" s="126" t="s">
        <v>103</v>
      </c>
      <c r="E246" s="22"/>
      <c r="F246" s="22"/>
      <c r="G246" s="195"/>
      <c r="H246" s="411">
        <f>H247+H248+H249+H255</f>
        <v>87265</v>
      </c>
      <c r="I246" s="411">
        <f t="shared" ref="I246:J246" si="89">I247+I248+I249+I255</f>
        <v>0</v>
      </c>
      <c r="J246" s="411">
        <f t="shared" si="89"/>
        <v>87265</v>
      </c>
      <c r="K246" s="112"/>
      <c r="L246" s="774">
        <v>0</v>
      </c>
      <c r="M246" s="774">
        <v>0</v>
      </c>
      <c r="N246" s="774">
        <f>L246+M246</f>
        <v>0</v>
      </c>
      <c r="O246" s="112"/>
      <c r="P246" s="374">
        <f t="shared" si="84"/>
        <v>87265</v>
      </c>
      <c r="Q246" s="374">
        <f t="shared" si="85"/>
        <v>0</v>
      </c>
      <c r="R246" s="374">
        <f t="shared" si="85"/>
        <v>87265</v>
      </c>
    </row>
    <row r="247" spans="2:18" x14ac:dyDescent="0.2">
      <c r="B247" s="171">
        <f t="shared" si="87"/>
        <v>7</v>
      </c>
      <c r="C247" s="130"/>
      <c r="D247" s="130"/>
      <c r="E247" s="134" t="s">
        <v>272</v>
      </c>
      <c r="F247" s="149">
        <v>610</v>
      </c>
      <c r="G247" s="199" t="s">
        <v>257</v>
      </c>
      <c r="H247" s="388">
        <f>48000+3800+2265-1000</f>
        <v>53065</v>
      </c>
      <c r="I247" s="388"/>
      <c r="J247" s="388">
        <f>H247+I247</f>
        <v>53065</v>
      </c>
      <c r="K247" s="132"/>
      <c r="L247" s="399"/>
      <c r="M247" s="399"/>
      <c r="N247" s="399"/>
      <c r="O247" s="132"/>
      <c r="P247" s="150">
        <f t="shared" si="84"/>
        <v>53065</v>
      </c>
      <c r="Q247" s="150">
        <f t="shared" si="85"/>
        <v>0</v>
      </c>
      <c r="R247" s="150">
        <f t="shared" si="85"/>
        <v>53065</v>
      </c>
    </row>
    <row r="248" spans="2:18" x14ac:dyDescent="0.2">
      <c r="B248" s="171">
        <f t="shared" si="87"/>
        <v>8</v>
      </c>
      <c r="C248" s="130"/>
      <c r="D248" s="130"/>
      <c r="E248" s="134" t="s">
        <v>272</v>
      </c>
      <c r="F248" s="149">
        <v>620</v>
      </c>
      <c r="G248" s="199" t="s">
        <v>259</v>
      </c>
      <c r="H248" s="388">
        <f>18000+2300</f>
        <v>20300</v>
      </c>
      <c r="I248" s="388"/>
      <c r="J248" s="388">
        <f t="shared" ref="J248:J255" si="90">H248+I248</f>
        <v>20300</v>
      </c>
      <c r="K248" s="132"/>
      <c r="L248" s="399"/>
      <c r="M248" s="399"/>
      <c r="N248" s="399"/>
      <c r="O248" s="132"/>
      <c r="P248" s="150">
        <f t="shared" si="84"/>
        <v>20300</v>
      </c>
      <c r="Q248" s="150">
        <f t="shared" si="85"/>
        <v>0</v>
      </c>
      <c r="R248" s="150">
        <f t="shared" si="85"/>
        <v>20300</v>
      </c>
    </row>
    <row r="249" spans="2:18" x14ac:dyDescent="0.2">
      <c r="B249" s="171">
        <f t="shared" si="87"/>
        <v>9</v>
      </c>
      <c r="C249" s="130"/>
      <c r="D249" s="130"/>
      <c r="E249" s="134" t="s">
        <v>272</v>
      </c>
      <c r="F249" s="149">
        <v>630</v>
      </c>
      <c r="G249" s="199" t="s">
        <v>445</v>
      </c>
      <c r="H249" s="388">
        <f>SUM(H250:H254)</f>
        <v>13700</v>
      </c>
      <c r="I249" s="388">
        <f t="shared" ref="I249" si="91">SUM(I250:I254)</f>
        <v>0</v>
      </c>
      <c r="J249" s="388">
        <f t="shared" si="90"/>
        <v>13700</v>
      </c>
      <c r="K249" s="132"/>
      <c r="L249" s="399"/>
      <c r="M249" s="399"/>
      <c r="N249" s="399"/>
      <c r="O249" s="132"/>
      <c r="P249" s="150">
        <f t="shared" si="84"/>
        <v>13700</v>
      </c>
      <c r="Q249" s="150">
        <f t="shared" si="85"/>
        <v>0</v>
      </c>
      <c r="R249" s="150">
        <f t="shared" si="85"/>
        <v>13700</v>
      </c>
    </row>
    <row r="250" spans="2:18" x14ac:dyDescent="0.2">
      <c r="B250" s="171">
        <f t="shared" si="87"/>
        <v>10</v>
      </c>
      <c r="C250" s="130"/>
      <c r="D250" s="130"/>
      <c r="E250" s="134"/>
      <c r="F250" s="134">
        <v>631</v>
      </c>
      <c r="G250" s="194" t="s">
        <v>291</v>
      </c>
      <c r="H250" s="526">
        <f>400+100</f>
        <v>500</v>
      </c>
      <c r="I250" s="526"/>
      <c r="J250" s="526">
        <f t="shared" si="90"/>
        <v>500</v>
      </c>
      <c r="K250" s="132"/>
      <c r="L250" s="399"/>
      <c r="M250" s="399"/>
      <c r="N250" s="399"/>
      <c r="O250" s="132"/>
      <c r="P250" s="528">
        <f t="shared" si="84"/>
        <v>500</v>
      </c>
      <c r="Q250" s="528">
        <f t="shared" si="85"/>
        <v>0</v>
      </c>
      <c r="R250" s="528">
        <f t="shared" si="85"/>
        <v>500</v>
      </c>
    </row>
    <row r="251" spans="2:18" x14ac:dyDescent="0.2">
      <c r="B251" s="171">
        <f t="shared" si="87"/>
        <v>11</v>
      </c>
      <c r="C251" s="130"/>
      <c r="D251" s="130"/>
      <c r="E251" s="134"/>
      <c r="F251" s="134">
        <v>632</v>
      </c>
      <c r="G251" s="194" t="s">
        <v>274</v>
      </c>
      <c r="H251" s="526">
        <f>1500+100+200</f>
        <v>1800</v>
      </c>
      <c r="I251" s="526"/>
      <c r="J251" s="526">
        <f t="shared" si="90"/>
        <v>1800</v>
      </c>
      <c r="K251" s="132"/>
      <c r="L251" s="399"/>
      <c r="M251" s="399"/>
      <c r="N251" s="399"/>
      <c r="O251" s="132"/>
      <c r="P251" s="528">
        <f t="shared" si="84"/>
        <v>1800</v>
      </c>
      <c r="Q251" s="528">
        <f t="shared" si="85"/>
        <v>0</v>
      </c>
      <c r="R251" s="528">
        <f t="shared" si="85"/>
        <v>1800</v>
      </c>
    </row>
    <row r="252" spans="2:18" x14ac:dyDescent="0.2">
      <c r="B252" s="171">
        <f t="shared" si="87"/>
        <v>12</v>
      </c>
      <c r="C252" s="130"/>
      <c r="D252" s="130"/>
      <c r="E252" s="134"/>
      <c r="F252" s="134">
        <v>633</v>
      </c>
      <c r="G252" s="194" t="s">
        <v>247</v>
      </c>
      <c r="H252" s="526">
        <f>2600+200+1000</f>
        <v>3800</v>
      </c>
      <c r="I252" s="526"/>
      <c r="J252" s="526">
        <f t="shared" si="90"/>
        <v>3800</v>
      </c>
      <c r="K252" s="132"/>
      <c r="L252" s="399"/>
      <c r="M252" s="399"/>
      <c r="N252" s="399"/>
      <c r="O252" s="132"/>
      <c r="P252" s="528">
        <f t="shared" si="84"/>
        <v>3800</v>
      </c>
      <c r="Q252" s="528">
        <f t="shared" si="85"/>
        <v>0</v>
      </c>
      <c r="R252" s="528">
        <f t="shared" si="85"/>
        <v>3800</v>
      </c>
    </row>
    <row r="253" spans="2:18" x14ac:dyDescent="0.2">
      <c r="B253" s="171">
        <f t="shared" si="87"/>
        <v>13</v>
      </c>
      <c r="C253" s="130"/>
      <c r="D253" s="130"/>
      <c r="E253" s="134"/>
      <c r="F253" s="134">
        <v>635</v>
      </c>
      <c r="G253" s="194" t="s">
        <v>261</v>
      </c>
      <c r="H253" s="526">
        <v>100</v>
      </c>
      <c r="I253" s="526"/>
      <c r="J253" s="526">
        <f t="shared" si="90"/>
        <v>100</v>
      </c>
      <c r="K253" s="132"/>
      <c r="L253" s="399"/>
      <c r="M253" s="399"/>
      <c r="N253" s="399"/>
      <c r="O253" s="132"/>
      <c r="P253" s="528">
        <f t="shared" si="84"/>
        <v>100</v>
      </c>
      <c r="Q253" s="528">
        <f t="shared" si="85"/>
        <v>0</v>
      </c>
      <c r="R253" s="528">
        <f t="shared" si="85"/>
        <v>100</v>
      </c>
    </row>
    <row r="254" spans="2:18" x14ac:dyDescent="0.2">
      <c r="B254" s="171">
        <f t="shared" si="87"/>
        <v>14</v>
      </c>
      <c r="C254" s="130"/>
      <c r="D254" s="130"/>
      <c r="E254" s="134"/>
      <c r="F254" s="134">
        <v>637</v>
      </c>
      <c r="G254" s="194" t="s">
        <v>248</v>
      </c>
      <c r="H254" s="526">
        <f>6200+1500-200</f>
        <v>7500</v>
      </c>
      <c r="I254" s="526"/>
      <c r="J254" s="526">
        <f t="shared" si="90"/>
        <v>7500</v>
      </c>
      <c r="K254" s="132"/>
      <c r="L254" s="399"/>
      <c r="M254" s="399"/>
      <c r="N254" s="399"/>
      <c r="O254" s="132"/>
      <c r="P254" s="528">
        <f t="shared" si="84"/>
        <v>7500</v>
      </c>
      <c r="Q254" s="528">
        <f t="shared" si="85"/>
        <v>0</v>
      </c>
      <c r="R254" s="528">
        <f t="shared" si="85"/>
        <v>7500</v>
      </c>
    </row>
    <row r="255" spans="2:18" x14ac:dyDescent="0.2">
      <c r="B255" s="171">
        <f t="shared" si="87"/>
        <v>15</v>
      </c>
      <c r="C255" s="130"/>
      <c r="D255" s="159"/>
      <c r="E255" s="134" t="s">
        <v>272</v>
      </c>
      <c r="F255" s="149">
        <v>640</v>
      </c>
      <c r="G255" s="199" t="s">
        <v>267</v>
      </c>
      <c r="H255" s="388">
        <v>200</v>
      </c>
      <c r="I255" s="388"/>
      <c r="J255" s="388">
        <f t="shared" si="90"/>
        <v>200</v>
      </c>
      <c r="K255" s="132"/>
      <c r="L255" s="430"/>
      <c r="M255" s="430"/>
      <c r="N255" s="430"/>
      <c r="O255" s="132"/>
      <c r="P255" s="150">
        <f t="shared" si="84"/>
        <v>200</v>
      </c>
      <c r="Q255" s="150">
        <f t="shared" si="85"/>
        <v>0</v>
      </c>
      <c r="R255" s="150">
        <f t="shared" si="85"/>
        <v>200</v>
      </c>
    </row>
    <row r="256" spans="2:18" ht="15.75" x14ac:dyDescent="0.25">
      <c r="B256" s="171">
        <f t="shared" si="87"/>
        <v>16</v>
      </c>
      <c r="C256" s="23">
        <v>3</v>
      </c>
      <c r="D256" s="127" t="s">
        <v>137</v>
      </c>
      <c r="E256" s="24"/>
      <c r="F256" s="24"/>
      <c r="G256" s="193"/>
      <c r="H256" s="411">
        <f>H257+H258+H259+H265</f>
        <v>163125</v>
      </c>
      <c r="I256" s="411">
        <f>I257+I258+I259+I265</f>
        <v>0</v>
      </c>
      <c r="J256" s="411">
        <f>H256+I256</f>
        <v>163125</v>
      </c>
      <c r="K256" s="88"/>
      <c r="L256" s="772">
        <v>0</v>
      </c>
      <c r="M256" s="772">
        <v>0</v>
      </c>
      <c r="N256" s="772">
        <f>L256+M256</f>
        <v>0</v>
      </c>
      <c r="O256" s="88"/>
      <c r="P256" s="373">
        <f t="shared" si="84"/>
        <v>163125</v>
      </c>
      <c r="Q256" s="373">
        <f t="shared" si="85"/>
        <v>0</v>
      </c>
      <c r="R256" s="373">
        <f t="shared" si="85"/>
        <v>163125</v>
      </c>
    </row>
    <row r="257" spans="2:18" x14ac:dyDescent="0.2">
      <c r="B257" s="171">
        <f t="shared" si="87"/>
        <v>17</v>
      </c>
      <c r="C257" s="135"/>
      <c r="D257" s="135"/>
      <c r="E257" s="134" t="s">
        <v>669</v>
      </c>
      <c r="F257" s="149">
        <v>610</v>
      </c>
      <c r="G257" s="199" t="s">
        <v>257</v>
      </c>
      <c r="H257" s="388">
        <v>111145</v>
      </c>
      <c r="I257" s="388"/>
      <c r="J257" s="388">
        <f>H257+I257</f>
        <v>111145</v>
      </c>
      <c r="K257" s="132"/>
      <c r="L257" s="399"/>
      <c r="M257" s="399"/>
      <c r="N257" s="399"/>
      <c r="O257" s="132"/>
      <c r="P257" s="150">
        <f t="shared" si="84"/>
        <v>111145</v>
      </c>
      <c r="Q257" s="150">
        <f t="shared" ref="Q257:R272" si="92">I257+M257</f>
        <v>0</v>
      </c>
      <c r="R257" s="150">
        <f t="shared" si="92"/>
        <v>111145</v>
      </c>
    </row>
    <row r="258" spans="2:18" x14ac:dyDescent="0.2">
      <c r="B258" s="171">
        <f t="shared" si="87"/>
        <v>18</v>
      </c>
      <c r="C258" s="130"/>
      <c r="D258" s="130"/>
      <c r="E258" s="134" t="s">
        <v>669</v>
      </c>
      <c r="F258" s="149">
        <v>620</v>
      </c>
      <c r="G258" s="199" t="s">
        <v>259</v>
      </c>
      <c r="H258" s="388">
        <v>38510</v>
      </c>
      <c r="I258" s="388"/>
      <c r="J258" s="388">
        <f t="shared" ref="J258:J265" si="93">H258+I258</f>
        <v>38510</v>
      </c>
      <c r="K258" s="132"/>
      <c r="L258" s="399"/>
      <c r="M258" s="399"/>
      <c r="N258" s="399"/>
      <c r="O258" s="132"/>
      <c r="P258" s="150">
        <f t="shared" si="84"/>
        <v>38510</v>
      </c>
      <c r="Q258" s="150">
        <f t="shared" si="92"/>
        <v>0</v>
      </c>
      <c r="R258" s="150">
        <f t="shared" si="92"/>
        <v>38510</v>
      </c>
    </row>
    <row r="259" spans="2:18" x14ac:dyDescent="0.2">
      <c r="B259" s="171">
        <f t="shared" si="87"/>
        <v>19</v>
      </c>
      <c r="C259" s="130"/>
      <c r="D259" s="130"/>
      <c r="E259" s="134" t="s">
        <v>669</v>
      </c>
      <c r="F259" s="149">
        <v>630</v>
      </c>
      <c r="G259" s="199" t="s">
        <v>445</v>
      </c>
      <c r="H259" s="388">
        <f>SUM(H260:H264)</f>
        <v>13170</v>
      </c>
      <c r="I259" s="388">
        <f t="shared" ref="I259" si="94">SUM(I260:I264)</f>
        <v>0</v>
      </c>
      <c r="J259" s="388">
        <f t="shared" si="93"/>
        <v>13170</v>
      </c>
      <c r="K259" s="132"/>
      <c r="L259" s="399"/>
      <c r="M259" s="399"/>
      <c r="N259" s="399"/>
      <c r="O259" s="132"/>
      <c r="P259" s="150">
        <f t="shared" si="84"/>
        <v>13170</v>
      </c>
      <c r="Q259" s="150">
        <f t="shared" si="92"/>
        <v>0</v>
      </c>
      <c r="R259" s="150">
        <f t="shared" si="92"/>
        <v>13170</v>
      </c>
    </row>
    <row r="260" spans="2:18" x14ac:dyDescent="0.2">
      <c r="B260" s="171">
        <f t="shared" si="87"/>
        <v>20</v>
      </c>
      <c r="C260" s="130"/>
      <c r="D260" s="130"/>
      <c r="E260" s="134"/>
      <c r="F260" s="134">
        <v>631</v>
      </c>
      <c r="G260" s="194" t="s">
        <v>291</v>
      </c>
      <c r="H260" s="526">
        <f>100-100</f>
        <v>0</v>
      </c>
      <c r="I260" s="526"/>
      <c r="J260" s="526">
        <f t="shared" si="93"/>
        <v>0</v>
      </c>
      <c r="K260" s="132"/>
      <c r="L260" s="399"/>
      <c r="M260" s="399"/>
      <c r="N260" s="399"/>
      <c r="O260" s="132"/>
      <c r="P260" s="528">
        <f t="shared" si="84"/>
        <v>0</v>
      </c>
      <c r="Q260" s="528">
        <f t="shared" si="92"/>
        <v>0</v>
      </c>
      <c r="R260" s="528">
        <f t="shared" si="92"/>
        <v>0</v>
      </c>
    </row>
    <row r="261" spans="2:18" x14ac:dyDescent="0.2">
      <c r="B261" s="171">
        <f t="shared" si="87"/>
        <v>21</v>
      </c>
      <c r="C261" s="130"/>
      <c r="D261" s="130"/>
      <c r="E261" s="134"/>
      <c r="F261" s="134">
        <v>632</v>
      </c>
      <c r="G261" s="194" t="s">
        <v>274</v>
      </c>
      <c r="H261" s="526">
        <v>1500</v>
      </c>
      <c r="I261" s="526"/>
      <c r="J261" s="526">
        <f t="shared" si="93"/>
        <v>1500</v>
      </c>
      <c r="K261" s="132"/>
      <c r="L261" s="399"/>
      <c r="M261" s="399"/>
      <c r="N261" s="399"/>
      <c r="O261" s="132"/>
      <c r="P261" s="528">
        <f t="shared" si="84"/>
        <v>1500</v>
      </c>
      <c r="Q261" s="528">
        <f t="shared" si="92"/>
        <v>0</v>
      </c>
      <c r="R261" s="528">
        <f t="shared" si="92"/>
        <v>1500</v>
      </c>
    </row>
    <row r="262" spans="2:18" x14ac:dyDescent="0.2">
      <c r="B262" s="171">
        <f t="shared" si="87"/>
        <v>22</v>
      </c>
      <c r="C262" s="130"/>
      <c r="D262" s="130"/>
      <c r="E262" s="134"/>
      <c r="F262" s="134">
        <v>633</v>
      </c>
      <c r="G262" s="194" t="s">
        <v>417</v>
      </c>
      <c r="H262" s="526">
        <v>1900</v>
      </c>
      <c r="I262" s="526"/>
      <c r="J262" s="526">
        <f t="shared" si="93"/>
        <v>1900</v>
      </c>
      <c r="K262" s="132"/>
      <c r="L262" s="399"/>
      <c r="M262" s="399"/>
      <c r="N262" s="399"/>
      <c r="O262" s="132"/>
      <c r="P262" s="528">
        <f t="shared" si="84"/>
        <v>1900</v>
      </c>
      <c r="Q262" s="528">
        <f t="shared" si="92"/>
        <v>0</v>
      </c>
      <c r="R262" s="528">
        <f t="shared" si="92"/>
        <v>1900</v>
      </c>
    </row>
    <row r="263" spans="2:18" x14ac:dyDescent="0.2">
      <c r="B263" s="171">
        <f t="shared" si="87"/>
        <v>23</v>
      </c>
      <c r="C263" s="130"/>
      <c r="D263" s="130"/>
      <c r="E263" s="134"/>
      <c r="F263" s="134">
        <v>633</v>
      </c>
      <c r="G263" s="194" t="s">
        <v>247</v>
      </c>
      <c r="H263" s="526">
        <f>2470+200</f>
        <v>2670</v>
      </c>
      <c r="I263" s="526"/>
      <c r="J263" s="526">
        <f t="shared" si="93"/>
        <v>2670</v>
      </c>
      <c r="K263" s="132"/>
      <c r="L263" s="399"/>
      <c r="M263" s="399"/>
      <c r="N263" s="399"/>
      <c r="O263" s="132"/>
      <c r="P263" s="528">
        <f t="shared" si="84"/>
        <v>2670</v>
      </c>
      <c r="Q263" s="528">
        <f t="shared" si="92"/>
        <v>0</v>
      </c>
      <c r="R263" s="528">
        <f t="shared" si="92"/>
        <v>2670</v>
      </c>
    </row>
    <row r="264" spans="2:18" x14ac:dyDescent="0.2">
      <c r="B264" s="171">
        <f t="shared" si="87"/>
        <v>24</v>
      </c>
      <c r="C264" s="130"/>
      <c r="D264" s="130"/>
      <c r="E264" s="134"/>
      <c r="F264" s="134">
        <v>637</v>
      </c>
      <c r="G264" s="194" t="s">
        <v>248</v>
      </c>
      <c r="H264" s="526">
        <f>7300-100-100</f>
        <v>7100</v>
      </c>
      <c r="I264" s="526"/>
      <c r="J264" s="526">
        <f t="shared" si="93"/>
        <v>7100</v>
      </c>
      <c r="K264" s="132"/>
      <c r="L264" s="399"/>
      <c r="M264" s="399"/>
      <c r="N264" s="399"/>
      <c r="O264" s="132"/>
      <c r="P264" s="528">
        <f t="shared" si="84"/>
        <v>7100</v>
      </c>
      <c r="Q264" s="528">
        <f t="shared" si="92"/>
        <v>0</v>
      </c>
      <c r="R264" s="528">
        <f t="shared" si="92"/>
        <v>7100</v>
      </c>
    </row>
    <row r="265" spans="2:18" x14ac:dyDescent="0.2">
      <c r="B265" s="171">
        <f t="shared" si="87"/>
        <v>25</v>
      </c>
      <c r="C265" s="130"/>
      <c r="D265" s="524"/>
      <c r="E265" s="159"/>
      <c r="F265" s="210">
        <v>642</v>
      </c>
      <c r="G265" s="199" t="s">
        <v>605</v>
      </c>
      <c r="H265" s="388">
        <f>200+100</f>
        <v>300</v>
      </c>
      <c r="I265" s="388"/>
      <c r="J265" s="388">
        <f t="shared" si="93"/>
        <v>300</v>
      </c>
      <c r="K265" s="145"/>
      <c r="L265" s="462"/>
      <c r="M265" s="462"/>
      <c r="N265" s="462"/>
      <c r="O265" s="145"/>
      <c r="P265" s="483">
        <f t="shared" si="84"/>
        <v>300</v>
      </c>
      <c r="Q265" s="483">
        <f t="shared" si="92"/>
        <v>0</v>
      </c>
      <c r="R265" s="483">
        <f t="shared" si="92"/>
        <v>300</v>
      </c>
    </row>
    <row r="266" spans="2:18" ht="15.75" x14ac:dyDescent="0.25">
      <c r="B266" s="171">
        <f t="shared" si="87"/>
        <v>26</v>
      </c>
      <c r="C266" s="23">
        <v>4</v>
      </c>
      <c r="D266" s="127" t="s">
        <v>104</v>
      </c>
      <c r="E266" s="24"/>
      <c r="F266" s="24"/>
      <c r="G266" s="193"/>
      <c r="H266" s="411">
        <f>H267</f>
        <v>38300</v>
      </c>
      <c r="I266" s="411">
        <f t="shared" ref="I266" si="95">I267</f>
        <v>0</v>
      </c>
      <c r="J266" s="411">
        <f>H266+I266</f>
        <v>38300</v>
      </c>
      <c r="K266" s="88"/>
      <c r="L266" s="772">
        <v>0</v>
      </c>
      <c r="M266" s="772">
        <v>0</v>
      </c>
      <c r="N266" s="772">
        <f>L266+M266</f>
        <v>0</v>
      </c>
      <c r="O266" s="88"/>
      <c r="P266" s="373">
        <f t="shared" si="84"/>
        <v>38300</v>
      </c>
      <c r="Q266" s="373">
        <f t="shared" si="92"/>
        <v>0</v>
      </c>
      <c r="R266" s="373">
        <f t="shared" si="92"/>
        <v>38300</v>
      </c>
    </row>
    <row r="267" spans="2:18" x14ac:dyDescent="0.2">
      <c r="B267" s="171">
        <f t="shared" si="87"/>
        <v>27</v>
      </c>
      <c r="C267" s="135"/>
      <c r="D267" s="135"/>
      <c r="E267" s="225" t="s">
        <v>241</v>
      </c>
      <c r="F267" s="225"/>
      <c r="G267" s="224" t="s">
        <v>444</v>
      </c>
      <c r="H267" s="387">
        <f>H268+H269+H270+H275</f>
        <v>38300</v>
      </c>
      <c r="I267" s="387">
        <f t="shared" ref="I267" si="96">I268+I269+I270+I275</f>
        <v>0</v>
      </c>
      <c r="J267" s="387">
        <f>H267+I267</f>
        <v>38300</v>
      </c>
      <c r="K267" s="132"/>
      <c r="L267" s="399"/>
      <c r="M267" s="399"/>
      <c r="N267" s="399"/>
      <c r="O267" s="132"/>
      <c r="P267" s="150">
        <f t="shared" si="84"/>
        <v>38300</v>
      </c>
      <c r="Q267" s="150">
        <f t="shared" si="92"/>
        <v>0</v>
      </c>
      <c r="R267" s="150">
        <f t="shared" si="92"/>
        <v>38300</v>
      </c>
    </row>
    <row r="268" spans="2:18" x14ac:dyDescent="0.2">
      <c r="B268" s="171">
        <f t="shared" si="87"/>
        <v>28</v>
      </c>
      <c r="C268" s="130"/>
      <c r="D268" s="130"/>
      <c r="E268" s="134"/>
      <c r="F268" s="149">
        <v>610</v>
      </c>
      <c r="G268" s="199" t="s">
        <v>257</v>
      </c>
      <c r="H268" s="388">
        <v>18400</v>
      </c>
      <c r="I268" s="388"/>
      <c r="J268" s="388">
        <f>H268+I268</f>
        <v>18400</v>
      </c>
      <c r="K268" s="132"/>
      <c r="L268" s="399"/>
      <c r="M268" s="399"/>
      <c r="N268" s="399"/>
      <c r="O268" s="132"/>
      <c r="P268" s="150">
        <f t="shared" si="84"/>
        <v>18400</v>
      </c>
      <c r="Q268" s="150">
        <f t="shared" si="92"/>
        <v>0</v>
      </c>
      <c r="R268" s="150">
        <f t="shared" si="92"/>
        <v>18400</v>
      </c>
    </row>
    <row r="269" spans="2:18" x14ac:dyDescent="0.2">
      <c r="B269" s="171">
        <f t="shared" si="87"/>
        <v>29</v>
      </c>
      <c r="C269" s="130"/>
      <c r="D269" s="130"/>
      <c r="E269" s="134"/>
      <c r="F269" s="149">
        <v>620</v>
      </c>
      <c r="G269" s="199" t="s">
        <v>259</v>
      </c>
      <c r="H269" s="388">
        <v>6465</v>
      </c>
      <c r="I269" s="388"/>
      <c r="J269" s="388">
        <f t="shared" ref="J269:J275" si="97">H269+I269</f>
        <v>6465</v>
      </c>
      <c r="K269" s="132"/>
      <c r="L269" s="399"/>
      <c r="M269" s="399"/>
      <c r="N269" s="399"/>
      <c r="O269" s="132"/>
      <c r="P269" s="150">
        <f t="shared" si="84"/>
        <v>6465</v>
      </c>
      <c r="Q269" s="150">
        <f t="shared" si="92"/>
        <v>0</v>
      </c>
      <c r="R269" s="150">
        <f t="shared" si="92"/>
        <v>6465</v>
      </c>
    </row>
    <row r="270" spans="2:18" x14ac:dyDescent="0.2">
      <c r="B270" s="171">
        <f t="shared" si="87"/>
        <v>30</v>
      </c>
      <c r="C270" s="130"/>
      <c r="D270" s="130"/>
      <c r="E270" s="134"/>
      <c r="F270" s="149">
        <v>630</v>
      </c>
      <c r="G270" s="199" t="s">
        <v>445</v>
      </c>
      <c r="H270" s="388">
        <f>SUM(H271:H274)</f>
        <v>13385</v>
      </c>
      <c r="I270" s="388">
        <f t="shared" ref="I270" si="98">SUM(I271:I274)</f>
        <v>0</v>
      </c>
      <c r="J270" s="388">
        <f t="shared" si="97"/>
        <v>13385</v>
      </c>
      <c r="K270" s="132"/>
      <c r="L270" s="526"/>
      <c r="M270" s="526"/>
      <c r="N270" s="526"/>
      <c r="O270" s="132"/>
      <c r="P270" s="150">
        <f t="shared" si="84"/>
        <v>13385</v>
      </c>
      <c r="Q270" s="150">
        <f t="shared" si="92"/>
        <v>0</v>
      </c>
      <c r="R270" s="150">
        <f t="shared" si="92"/>
        <v>13385</v>
      </c>
    </row>
    <row r="271" spans="2:18" x14ac:dyDescent="0.2">
      <c r="B271" s="171">
        <f t="shared" si="87"/>
        <v>31</v>
      </c>
      <c r="C271" s="130"/>
      <c r="D271" s="130"/>
      <c r="E271" s="134"/>
      <c r="F271" s="134">
        <v>632</v>
      </c>
      <c r="G271" s="194" t="s">
        <v>246</v>
      </c>
      <c r="H271" s="526">
        <v>7940</v>
      </c>
      <c r="I271" s="526"/>
      <c r="J271" s="526">
        <f t="shared" si="97"/>
        <v>7940</v>
      </c>
      <c r="K271" s="132"/>
      <c r="L271" s="526"/>
      <c r="M271" s="526"/>
      <c r="N271" s="526"/>
      <c r="O271" s="132"/>
      <c r="P271" s="528">
        <f t="shared" si="84"/>
        <v>7940</v>
      </c>
      <c r="Q271" s="528">
        <f t="shared" si="92"/>
        <v>0</v>
      </c>
      <c r="R271" s="528">
        <f t="shared" si="92"/>
        <v>7940</v>
      </c>
    </row>
    <row r="272" spans="2:18" x14ac:dyDescent="0.2">
      <c r="B272" s="171">
        <f t="shared" si="87"/>
        <v>32</v>
      </c>
      <c r="C272" s="130"/>
      <c r="D272" s="130"/>
      <c r="E272" s="134"/>
      <c r="F272" s="134">
        <v>633</v>
      </c>
      <c r="G272" s="194" t="s">
        <v>247</v>
      </c>
      <c r="H272" s="526">
        <v>1725</v>
      </c>
      <c r="I272" s="526"/>
      <c r="J272" s="526">
        <f t="shared" si="97"/>
        <v>1725</v>
      </c>
      <c r="K272" s="132"/>
      <c r="L272" s="526"/>
      <c r="M272" s="526"/>
      <c r="N272" s="526"/>
      <c r="O272" s="132"/>
      <c r="P272" s="528">
        <f t="shared" si="84"/>
        <v>1725</v>
      </c>
      <c r="Q272" s="528">
        <f t="shared" si="92"/>
        <v>0</v>
      </c>
      <c r="R272" s="528">
        <f t="shared" si="92"/>
        <v>1725</v>
      </c>
    </row>
    <row r="273" spans="2:18" x14ac:dyDescent="0.2">
      <c r="B273" s="171">
        <f t="shared" si="87"/>
        <v>33</v>
      </c>
      <c r="C273" s="130"/>
      <c r="D273" s="130"/>
      <c r="E273" s="134"/>
      <c r="F273" s="134">
        <v>635</v>
      </c>
      <c r="G273" s="194" t="s">
        <v>261</v>
      </c>
      <c r="H273" s="526">
        <f>200+300</f>
        <v>500</v>
      </c>
      <c r="I273" s="526"/>
      <c r="J273" s="526">
        <f t="shared" si="97"/>
        <v>500</v>
      </c>
      <c r="K273" s="132"/>
      <c r="L273" s="526"/>
      <c r="M273" s="526"/>
      <c r="N273" s="526"/>
      <c r="O273" s="132"/>
      <c r="P273" s="528">
        <f t="shared" ref="P273:P308" si="99">H273+L273</f>
        <v>500</v>
      </c>
      <c r="Q273" s="528">
        <f t="shared" ref="Q273:R288" si="100">I273+M273</f>
        <v>0</v>
      </c>
      <c r="R273" s="528">
        <f t="shared" si="100"/>
        <v>500</v>
      </c>
    </row>
    <row r="274" spans="2:18" x14ac:dyDescent="0.2">
      <c r="B274" s="171">
        <f t="shared" si="87"/>
        <v>34</v>
      </c>
      <c r="C274" s="130"/>
      <c r="D274" s="130"/>
      <c r="E274" s="134"/>
      <c r="F274" s="134">
        <v>637</v>
      </c>
      <c r="G274" s="194" t="s">
        <v>248</v>
      </c>
      <c r="H274" s="526">
        <v>3220</v>
      </c>
      <c r="I274" s="526"/>
      <c r="J274" s="526">
        <f t="shared" si="97"/>
        <v>3220</v>
      </c>
      <c r="K274" s="132"/>
      <c r="L274" s="526"/>
      <c r="M274" s="526"/>
      <c r="N274" s="526"/>
      <c r="O274" s="132"/>
      <c r="P274" s="528">
        <f t="shared" si="99"/>
        <v>3220</v>
      </c>
      <c r="Q274" s="528">
        <f t="shared" si="100"/>
        <v>0</v>
      </c>
      <c r="R274" s="528">
        <f t="shared" si="100"/>
        <v>3220</v>
      </c>
    </row>
    <row r="275" spans="2:18" x14ac:dyDescent="0.2">
      <c r="B275" s="171">
        <f t="shared" si="87"/>
        <v>35</v>
      </c>
      <c r="C275" s="130"/>
      <c r="D275" s="524"/>
      <c r="E275" s="524"/>
      <c r="F275" s="154">
        <v>640</v>
      </c>
      <c r="G275" s="199" t="s">
        <v>301</v>
      </c>
      <c r="H275" s="388">
        <v>50</v>
      </c>
      <c r="I275" s="388"/>
      <c r="J275" s="388">
        <f t="shared" si="97"/>
        <v>50</v>
      </c>
      <c r="K275" s="132"/>
      <c r="L275" s="382"/>
      <c r="M275" s="382"/>
      <c r="N275" s="382"/>
      <c r="O275" s="132"/>
      <c r="P275" s="483">
        <f t="shared" si="99"/>
        <v>50</v>
      </c>
      <c r="Q275" s="483">
        <f t="shared" si="100"/>
        <v>0</v>
      </c>
      <c r="R275" s="483">
        <f t="shared" si="100"/>
        <v>50</v>
      </c>
    </row>
    <row r="276" spans="2:18" ht="15.75" x14ac:dyDescent="0.25">
      <c r="B276" s="171">
        <f t="shared" si="87"/>
        <v>36</v>
      </c>
      <c r="C276" s="23">
        <v>5</v>
      </c>
      <c r="D276" s="127" t="s">
        <v>138</v>
      </c>
      <c r="E276" s="24"/>
      <c r="F276" s="24"/>
      <c r="G276" s="193"/>
      <c r="H276" s="411">
        <f>H277</f>
        <v>28900</v>
      </c>
      <c r="I276" s="411">
        <f t="shared" ref="I276" si="101">I277</f>
        <v>0</v>
      </c>
      <c r="J276" s="411">
        <f>H276+I276</f>
        <v>28900</v>
      </c>
      <c r="K276" s="88"/>
      <c r="L276" s="379">
        <f>SUM(L277:L286)</f>
        <v>5000</v>
      </c>
      <c r="M276" s="379">
        <f t="shared" ref="M276" si="102">SUM(M277:M286)</f>
        <v>0</v>
      </c>
      <c r="N276" s="379">
        <f>L276+M276</f>
        <v>5000</v>
      </c>
      <c r="O276" s="88"/>
      <c r="P276" s="373">
        <f t="shared" si="99"/>
        <v>33900</v>
      </c>
      <c r="Q276" s="373">
        <f t="shared" si="100"/>
        <v>0</v>
      </c>
      <c r="R276" s="373">
        <f t="shared" si="100"/>
        <v>33900</v>
      </c>
    </row>
    <row r="277" spans="2:18" x14ac:dyDescent="0.2">
      <c r="B277" s="171">
        <f t="shared" si="87"/>
        <v>37</v>
      </c>
      <c r="C277" s="130"/>
      <c r="D277" s="130"/>
      <c r="E277" s="225" t="s">
        <v>241</v>
      </c>
      <c r="F277" s="225"/>
      <c r="G277" s="226" t="s">
        <v>443</v>
      </c>
      <c r="H277" s="387">
        <f>H278+H279+H280</f>
        <v>28900</v>
      </c>
      <c r="I277" s="387">
        <f t="shared" ref="I277" si="103">I278+I279+I280</f>
        <v>0</v>
      </c>
      <c r="J277" s="387">
        <f>H277+I277</f>
        <v>28900</v>
      </c>
      <c r="K277" s="132"/>
      <c r="L277" s="526"/>
      <c r="M277" s="526"/>
      <c r="N277" s="526"/>
      <c r="O277" s="132"/>
      <c r="P277" s="150">
        <f t="shared" si="99"/>
        <v>28900</v>
      </c>
      <c r="Q277" s="150">
        <f t="shared" si="100"/>
        <v>0</v>
      </c>
      <c r="R277" s="150">
        <f t="shared" si="100"/>
        <v>28900</v>
      </c>
    </row>
    <row r="278" spans="2:18" x14ac:dyDescent="0.2">
      <c r="B278" s="171">
        <f t="shared" si="87"/>
        <v>38</v>
      </c>
      <c r="C278" s="143"/>
      <c r="D278" s="143"/>
      <c r="E278" s="134"/>
      <c r="F278" s="149">
        <v>610</v>
      </c>
      <c r="G278" s="199" t="s">
        <v>257</v>
      </c>
      <c r="H278" s="388">
        <v>6600</v>
      </c>
      <c r="I278" s="388"/>
      <c r="J278" s="388">
        <f>H278+I278</f>
        <v>6600</v>
      </c>
      <c r="K278" s="145"/>
      <c r="L278" s="388"/>
      <c r="M278" s="388"/>
      <c r="N278" s="526"/>
      <c r="O278" s="145"/>
      <c r="P278" s="150">
        <f t="shared" si="99"/>
        <v>6600</v>
      </c>
      <c r="Q278" s="150">
        <f t="shared" si="100"/>
        <v>0</v>
      </c>
      <c r="R278" s="150">
        <f t="shared" si="100"/>
        <v>6600</v>
      </c>
    </row>
    <row r="279" spans="2:18" x14ac:dyDescent="0.2">
      <c r="B279" s="171">
        <f t="shared" si="87"/>
        <v>39</v>
      </c>
      <c r="C279" s="130"/>
      <c r="D279" s="130"/>
      <c r="E279" s="134"/>
      <c r="F279" s="149">
        <v>620</v>
      </c>
      <c r="G279" s="199" t="s">
        <v>259</v>
      </c>
      <c r="H279" s="388">
        <v>2950</v>
      </c>
      <c r="I279" s="388"/>
      <c r="J279" s="388">
        <f t="shared" ref="J279:J286" si="104">H279+I279</f>
        <v>2950</v>
      </c>
      <c r="K279" s="132"/>
      <c r="L279" s="526"/>
      <c r="M279" s="526"/>
      <c r="N279" s="526"/>
      <c r="O279" s="132"/>
      <c r="P279" s="150">
        <f t="shared" si="99"/>
        <v>2950</v>
      </c>
      <c r="Q279" s="150">
        <f t="shared" si="100"/>
        <v>0</v>
      </c>
      <c r="R279" s="150">
        <f t="shared" si="100"/>
        <v>2950</v>
      </c>
    </row>
    <row r="280" spans="2:18" x14ac:dyDescent="0.2">
      <c r="B280" s="171">
        <f t="shared" si="87"/>
        <v>40</v>
      </c>
      <c r="C280" s="130"/>
      <c r="D280" s="130"/>
      <c r="E280" s="524"/>
      <c r="F280" s="210">
        <v>630</v>
      </c>
      <c r="G280" s="199" t="s">
        <v>445</v>
      </c>
      <c r="H280" s="388">
        <f>SUM(H281:H285)</f>
        <v>19350</v>
      </c>
      <c r="I280" s="388">
        <f t="shared" ref="I280" si="105">SUM(I281:I285)</f>
        <v>0</v>
      </c>
      <c r="J280" s="388">
        <f t="shared" si="104"/>
        <v>19350</v>
      </c>
      <c r="K280" s="132"/>
      <c r="L280" s="526"/>
      <c r="M280" s="526"/>
      <c r="N280" s="526"/>
      <c r="O280" s="132"/>
      <c r="P280" s="150">
        <f t="shared" si="99"/>
        <v>19350</v>
      </c>
      <c r="Q280" s="150">
        <f t="shared" si="100"/>
        <v>0</v>
      </c>
      <c r="R280" s="150">
        <f t="shared" si="100"/>
        <v>19350</v>
      </c>
    </row>
    <row r="281" spans="2:18" x14ac:dyDescent="0.2">
      <c r="B281" s="171">
        <f t="shared" si="87"/>
        <v>41</v>
      </c>
      <c r="C281" s="130"/>
      <c r="D281" s="130"/>
      <c r="E281" s="134"/>
      <c r="F281" s="134">
        <v>632</v>
      </c>
      <c r="G281" s="194" t="s">
        <v>246</v>
      </c>
      <c r="H281" s="382">
        <v>5900</v>
      </c>
      <c r="I281" s="382"/>
      <c r="J281" s="526">
        <f t="shared" si="104"/>
        <v>5900</v>
      </c>
      <c r="K281" s="132"/>
      <c r="L281" s="526"/>
      <c r="M281" s="526"/>
      <c r="N281" s="526"/>
      <c r="O281" s="132"/>
      <c r="P281" s="528">
        <f t="shared" si="99"/>
        <v>5900</v>
      </c>
      <c r="Q281" s="528">
        <f t="shared" si="100"/>
        <v>0</v>
      </c>
      <c r="R281" s="528">
        <f t="shared" si="100"/>
        <v>5900</v>
      </c>
    </row>
    <row r="282" spans="2:18" x14ac:dyDescent="0.2">
      <c r="B282" s="171">
        <f t="shared" si="87"/>
        <v>42</v>
      </c>
      <c r="C282" s="130"/>
      <c r="D282" s="130"/>
      <c r="E282" s="134"/>
      <c r="F282" s="134">
        <v>633</v>
      </c>
      <c r="G282" s="194" t="s">
        <v>247</v>
      </c>
      <c r="H282" s="526">
        <f>500+700</f>
        <v>1200</v>
      </c>
      <c r="I282" s="526"/>
      <c r="J282" s="526">
        <f t="shared" si="104"/>
        <v>1200</v>
      </c>
      <c r="K282" s="132"/>
      <c r="L282" s="526"/>
      <c r="M282" s="526"/>
      <c r="N282" s="526"/>
      <c r="O282" s="132"/>
      <c r="P282" s="528">
        <f t="shared" si="99"/>
        <v>1200</v>
      </c>
      <c r="Q282" s="528">
        <f t="shared" si="100"/>
        <v>0</v>
      </c>
      <c r="R282" s="528">
        <f t="shared" si="100"/>
        <v>1200</v>
      </c>
    </row>
    <row r="283" spans="2:18" x14ac:dyDescent="0.2">
      <c r="B283" s="171">
        <f t="shared" si="87"/>
        <v>43</v>
      </c>
      <c r="C283" s="130"/>
      <c r="D283" s="130"/>
      <c r="E283" s="134"/>
      <c r="F283" s="134">
        <v>636</v>
      </c>
      <c r="G283" s="194" t="s">
        <v>346</v>
      </c>
      <c r="H283" s="526">
        <v>1650</v>
      </c>
      <c r="I283" s="526"/>
      <c r="J283" s="526">
        <f t="shared" si="104"/>
        <v>1650</v>
      </c>
      <c r="K283" s="132"/>
      <c r="L283" s="526"/>
      <c r="M283" s="526"/>
      <c r="N283" s="526"/>
      <c r="O283" s="132"/>
      <c r="P283" s="528">
        <f t="shared" si="99"/>
        <v>1650</v>
      </c>
      <c r="Q283" s="528">
        <f t="shared" si="100"/>
        <v>0</v>
      </c>
      <c r="R283" s="528">
        <f t="shared" si="100"/>
        <v>1650</v>
      </c>
    </row>
    <row r="284" spans="2:18" x14ac:dyDescent="0.2">
      <c r="B284" s="171">
        <f t="shared" si="87"/>
        <v>44</v>
      </c>
      <c r="C284" s="130"/>
      <c r="D284" s="130"/>
      <c r="E284" s="134"/>
      <c r="F284" s="134">
        <v>635</v>
      </c>
      <c r="G284" s="194" t="s">
        <v>261</v>
      </c>
      <c r="H284" s="526">
        <f>50+200</f>
        <v>250</v>
      </c>
      <c r="I284" s="526"/>
      <c r="J284" s="526">
        <f t="shared" si="104"/>
        <v>250</v>
      </c>
      <c r="K284" s="132"/>
      <c r="L284" s="526"/>
      <c r="M284" s="526"/>
      <c r="N284" s="526"/>
      <c r="O284" s="132"/>
      <c r="P284" s="528">
        <f t="shared" si="99"/>
        <v>250</v>
      </c>
      <c r="Q284" s="528">
        <f t="shared" si="100"/>
        <v>0</v>
      </c>
      <c r="R284" s="528">
        <f t="shared" si="100"/>
        <v>250</v>
      </c>
    </row>
    <row r="285" spans="2:18" x14ac:dyDescent="0.2">
      <c r="B285" s="171">
        <f t="shared" si="87"/>
        <v>45</v>
      </c>
      <c r="C285" s="130"/>
      <c r="D285" s="130"/>
      <c r="E285" s="134"/>
      <c r="F285" s="134">
        <v>637</v>
      </c>
      <c r="G285" s="194" t="s">
        <v>248</v>
      </c>
      <c r="H285" s="526">
        <v>10350</v>
      </c>
      <c r="I285" s="526"/>
      <c r="J285" s="526">
        <f t="shared" si="104"/>
        <v>10350</v>
      </c>
      <c r="K285" s="132"/>
      <c r="L285" s="526"/>
      <c r="M285" s="526"/>
      <c r="N285" s="526"/>
      <c r="O285" s="132"/>
      <c r="P285" s="528">
        <f t="shared" si="99"/>
        <v>10350</v>
      </c>
      <c r="Q285" s="528">
        <f t="shared" si="100"/>
        <v>0</v>
      </c>
      <c r="R285" s="528">
        <f t="shared" si="100"/>
        <v>10350</v>
      </c>
    </row>
    <row r="286" spans="2:18" x14ac:dyDescent="0.2">
      <c r="B286" s="171">
        <f t="shared" si="87"/>
        <v>46</v>
      </c>
      <c r="C286" s="130"/>
      <c r="D286" s="130"/>
      <c r="E286" s="134"/>
      <c r="F286" s="134">
        <v>718</v>
      </c>
      <c r="G286" s="194" t="s">
        <v>640</v>
      </c>
      <c r="H286" s="526"/>
      <c r="I286" s="526"/>
      <c r="J286" s="526">
        <f t="shared" si="104"/>
        <v>0</v>
      </c>
      <c r="K286" s="132"/>
      <c r="L286" s="526">
        <v>5000</v>
      </c>
      <c r="M286" s="526"/>
      <c r="N286" s="526">
        <f t="shared" ref="N286" si="106">L286+M286</f>
        <v>5000</v>
      </c>
      <c r="O286" s="132"/>
      <c r="P286" s="528">
        <f t="shared" si="99"/>
        <v>5000</v>
      </c>
      <c r="Q286" s="528">
        <f t="shared" si="100"/>
        <v>0</v>
      </c>
      <c r="R286" s="528">
        <f t="shared" si="100"/>
        <v>5000</v>
      </c>
    </row>
    <row r="287" spans="2:18" ht="15.75" x14ac:dyDescent="0.25">
      <c r="B287" s="171">
        <f t="shared" si="87"/>
        <v>47</v>
      </c>
      <c r="C287" s="23">
        <v>6</v>
      </c>
      <c r="D287" s="127" t="s">
        <v>163</v>
      </c>
      <c r="E287" s="24"/>
      <c r="F287" s="24"/>
      <c r="G287" s="193"/>
      <c r="H287" s="411">
        <f>SUM(H288:H296)</f>
        <v>125674</v>
      </c>
      <c r="I287" s="411">
        <f t="shared" ref="I287" si="107">SUM(I288:I296)</f>
        <v>0</v>
      </c>
      <c r="J287" s="411">
        <f>H287+I287</f>
        <v>125674</v>
      </c>
      <c r="K287" s="88"/>
      <c r="L287" s="379">
        <f>SUM(L288:L297)</f>
        <v>106369</v>
      </c>
      <c r="M287" s="379">
        <f t="shared" ref="M287" si="108">SUM(M288:M297)</f>
        <v>0</v>
      </c>
      <c r="N287" s="379">
        <f>L287+M287</f>
        <v>106369</v>
      </c>
      <c r="O287" s="88"/>
      <c r="P287" s="373">
        <f t="shared" si="99"/>
        <v>232043</v>
      </c>
      <c r="Q287" s="373">
        <f t="shared" si="100"/>
        <v>0</v>
      </c>
      <c r="R287" s="373">
        <f t="shared" si="100"/>
        <v>232043</v>
      </c>
    </row>
    <row r="288" spans="2:18" x14ac:dyDescent="0.2">
      <c r="B288" s="171">
        <f t="shared" si="87"/>
        <v>48</v>
      </c>
      <c r="C288" s="130"/>
      <c r="D288" s="130"/>
      <c r="E288" s="524" t="s">
        <v>276</v>
      </c>
      <c r="F288" s="134">
        <v>632</v>
      </c>
      <c r="G288" s="194" t="s">
        <v>488</v>
      </c>
      <c r="H288" s="526">
        <v>27000</v>
      </c>
      <c r="I288" s="526"/>
      <c r="J288" s="526">
        <f>H288+I288</f>
        <v>27000</v>
      </c>
      <c r="K288" s="132"/>
      <c r="L288" s="526"/>
      <c r="M288" s="526"/>
      <c r="N288" s="526"/>
      <c r="O288" s="132"/>
      <c r="P288" s="528">
        <f t="shared" si="99"/>
        <v>27000</v>
      </c>
      <c r="Q288" s="528">
        <f t="shared" si="100"/>
        <v>0</v>
      </c>
      <c r="R288" s="528">
        <f t="shared" si="100"/>
        <v>27000</v>
      </c>
    </row>
    <row r="289" spans="2:18" x14ac:dyDescent="0.2">
      <c r="B289" s="171">
        <f t="shared" si="87"/>
        <v>49</v>
      </c>
      <c r="C289" s="130"/>
      <c r="D289" s="130"/>
      <c r="E289" s="524" t="s">
        <v>276</v>
      </c>
      <c r="F289" s="134">
        <v>637</v>
      </c>
      <c r="G289" s="194" t="s">
        <v>489</v>
      </c>
      <c r="H289" s="526">
        <v>91800</v>
      </c>
      <c r="I289" s="526"/>
      <c r="J289" s="526">
        <f t="shared" ref="J289:J295" si="109">H289+I289</f>
        <v>91800</v>
      </c>
      <c r="K289" s="132"/>
      <c r="L289" s="526"/>
      <c r="M289" s="526"/>
      <c r="N289" s="526"/>
      <c r="O289" s="132"/>
      <c r="P289" s="528">
        <f t="shared" si="99"/>
        <v>91800</v>
      </c>
      <c r="Q289" s="528">
        <f t="shared" ref="Q289:R304" si="110">I289+M289</f>
        <v>0</v>
      </c>
      <c r="R289" s="528">
        <f t="shared" si="110"/>
        <v>91800</v>
      </c>
    </row>
    <row r="290" spans="2:18" x14ac:dyDescent="0.2">
      <c r="B290" s="171">
        <f t="shared" si="87"/>
        <v>50</v>
      </c>
      <c r="C290" s="130"/>
      <c r="D290" s="130"/>
      <c r="E290" s="524" t="s">
        <v>276</v>
      </c>
      <c r="F290" s="134">
        <v>637</v>
      </c>
      <c r="G290" s="194" t="s">
        <v>641</v>
      </c>
      <c r="H290" s="526">
        <v>6694</v>
      </c>
      <c r="I290" s="526"/>
      <c r="J290" s="526">
        <f t="shared" si="109"/>
        <v>6694</v>
      </c>
      <c r="K290" s="132"/>
      <c r="L290" s="526"/>
      <c r="M290" s="526"/>
      <c r="N290" s="526"/>
      <c r="O290" s="132"/>
      <c r="P290" s="528">
        <f t="shared" si="99"/>
        <v>6694</v>
      </c>
      <c r="Q290" s="528">
        <f t="shared" si="110"/>
        <v>0</v>
      </c>
      <c r="R290" s="528">
        <f t="shared" si="110"/>
        <v>6694</v>
      </c>
    </row>
    <row r="291" spans="2:18" x14ac:dyDescent="0.2">
      <c r="B291" s="171">
        <f t="shared" si="87"/>
        <v>51</v>
      </c>
      <c r="C291" s="130"/>
      <c r="D291" s="130"/>
      <c r="E291" s="524" t="s">
        <v>276</v>
      </c>
      <c r="F291" s="134">
        <v>637</v>
      </c>
      <c r="G291" s="194" t="s">
        <v>303</v>
      </c>
      <c r="H291" s="526">
        <v>180</v>
      </c>
      <c r="I291" s="526"/>
      <c r="J291" s="526">
        <f t="shared" si="109"/>
        <v>180</v>
      </c>
      <c r="K291" s="132"/>
      <c r="L291" s="526"/>
      <c r="M291" s="526"/>
      <c r="N291" s="526"/>
      <c r="O291" s="132"/>
      <c r="P291" s="528">
        <f t="shared" si="99"/>
        <v>180</v>
      </c>
      <c r="Q291" s="528">
        <f t="shared" si="110"/>
        <v>0</v>
      </c>
      <c r="R291" s="528">
        <f t="shared" si="110"/>
        <v>180</v>
      </c>
    </row>
    <row r="292" spans="2:18" x14ac:dyDescent="0.2">
      <c r="B292" s="171">
        <f t="shared" si="87"/>
        <v>52</v>
      </c>
      <c r="C292" s="130"/>
      <c r="D292" s="159"/>
      <c r="E292" s="524" t="s">
        <v>276</v>
      </c>
      <c r="F292" s="524">
        <v>716</v>
      </c>
      <c r="G292" s="194" t="s">
        <v>694</v>
      </c>
      <c r="H292" s="526"/>
      <c r="I292" s="526"/>
      <c r="J292" s="526">
        <f t="shared" si="109"/>
        <v>0</v>
      </c>
      <c r="K292" s="132"/>
      <c r="L292" s="382">
        <v>3500</v>
      </c>
      <c r="M292" s="382"/>
      <c r="N292" s="382">
        <f>L292+M292</f>
        <v>3500</v>
      </c>
      <c r="O292" s="132"/>
      <c r="P292" s="160">
        <f t="shared" si="99"/>
        <v>3500</v>
      </c>
      <c r="Q292" s="160">
        <f t="shared" si="110"/>
        <v>0</v>
      </c>
      <c r="R292" s="160">
        <f t="shared" si="110"/>
        <v>3500</v>
      </c>
    </row>
    <row r="293" spans="2:18" ht="24" x14ac:dyDescent="0.2">
      <c r="B293" s="672">
        <f t="shared" si="87"/>
        <v>53</v>
      </c>
      <c r="C293" s="454"/>
      <c r="D293" s="464"/>
      <c r="E293" s="458" t="s">
        <v>276</v>
      </c>
      <c r="F293" s="458">
        <v>717</v>
      </c>
      <c r="G293" s="495" t="s">
        <v>844</v>
      </c>
      <c r="H293" s="531"/>
      <c r="I293" s="531"/>
      <c r="J293" s="526">
        <f t="shared" si="109"/>
        <v>0</v>
      </c>
      <c r="K293" s="448"/>
      <c r="L293" s="465">
        <v>46500</v>
      </c>
      <c r="M293" s="465"/>
      <c r="N293" s="382">
        <f t="shared" ref="N293:N295" si="111">L293+M293</f>
        <v>46500</v>
      </c>
      <c r="O293" s="448"/>
      <c r="P293" s="775">
        <f t="shared" si="99"/>
        <v>46500</v>
      </c>
      <c r="Q293" s="775">
        <f t="shared" si="110"/>
        <v>0</v>
      </c>
      <c r="R293" s="775">
        <f t="shared" si="110"/>
        <v>46500</v>
      </c>
    </row>
    <row r="294" spans="2:18" x14ac:dyDescent="0.2">
      <c r="B294" s="171">
        <f t="shared" si="87"/>
        <v>54</v>
      </c>
      <c r="C294" s="130"/>
      <c r="D294" s="159"/>
      <c r="E294" s="524" t="s">
        <v>276</v>
      </c>
      <c r="F294" s="720">
        <v>716</v>
      </c>
      <c r="G294" s="707" t="s">
        <v>817</v>
      </c>
      <c r="H294" s="526"/>
      <c r="I294" s="526"/>
      <c r="J294" s="526">
        <f t="shared" si="109"/>
        <v>0</v>
      </c>
      <c r="K294" s="132"/>
      <c r="L294" s="382">
        <f>2000+988</f>
        <v>2988</v>
      </c>
      <c r="M294" s="382"/>
      <c r="N294" s="382">
        <f t="shared" si="111"/>
        <v>2988</v>
      </c>
      <c r="O294" s="132"/>
      <c r="P294" s="160">
        <f t="shared" si="99"/>
        <v>2988</v>
      </c>
      <c r="Q294" s="160">
        <f t="shared" si="110"/>
        <v>0</v>
      </c>
      <c r="R294" s="160">
        <f t="shared" si="110"/>
        <v>2988</v>
      </c>
    </row>
    <row r="295" spans="2:18" x14ac:dyDescent="0.2">
      <c r="B295" s="171">
        <f t="shared" si="87"/>
        <v>55</v>
      </c>
      <c r="C295" s="130"/>
      <c r="D295" s="159"/>
      <c r="E295" s="524" t="s">
        <v>276</v>
      </c>
      <c r="F295" s="524">
        <v>717</v>
      </c>
      <c r="G295" s="194" t="s">
        <v>766</v>
      </c>
      <c r="H295" s="526"/>
      <c r="I295" s="526"/>
      <c r="J295" s="526">
        <f t="shared" si="109"/>
        <v>0</v>
      </c>
      <c r="K295" s="132"/>
      <c r="L295" s="382">
        <f>45000-5631</f>
        <v>39369</v>
      </c>
      <c r="M295" s="382"/>
      <c r="N295" s="382">
        <f t="shared" si="111"/>
        <v>39369</v>
      </c>
      <c r="O295" s="132"/>
      <c r="P295" s="160">
        <f t="shared" si="99"/>
        <v>39369</v>
      </c>
      <c r="Q295" s="160">
        <f t="shared" si="110"/>
        <v>0</v>
      </c>
      <c r="R295" s="160">
        <f t="shared" si="110"/>
        <v>39369</v>
      </c>
    </row>
    <row r="296" spans="2:18" x14ac:dyDescent="0.2">
      <c r="B296" s="171">
        <f t="shared" si="87"/>
        <v>56</v>
      </c>
      <c r="C296" s="130"/>
      <c r="D296" s="159"/>
      <c r="E296" s="524" t="s">
        <v>276</v>
      </c>
      <c r="F296" s="720">
        <v>717</v>
      </c>
      <c r="G296" s="707" t="s">
        <v>767</v>
      </c>
      <c r="H296" s="708"/>
      <c r="I296" s="708"/>
      <c r="J296" s="708"/>
      <c r="K296" s="709"/>
      <c r="L296" s="710">
        <f>5000-988</f>
        <v>4012</v>
      </c>
      <c r="M296" s="710"/>
      <c r="N296" s="710">
        <f>L296+M296</f>
        <v>4012</v>
      </c>
      <c r="O296" s="709"/>
      <c r="P296" s="711">
        <f t="shared" si="99"/>
        <v>4012</v>
      </c>
      <c r="Q296" s="711">
        <f t="shared" si="110"/>
        <v>0</v>
      </c>
      <c r="R296" s="711">
        <f t="shared" si="110"/>
        <v>4012</v>
      </c>
    </row>
    <row r="297" spans="2:18" x14ac:dyDescent="0.2">
      <c r="B297" s="171">
        <f t="shared" si="87"/>
        <v>57</v>
      </c>
      <c r="C297" s="130"/>
      <c r="D297" s="159"/>
      <c r="E297" s="524" t="s">
        <v>276</v>
      </c>
      <c r="F297" s="693">
        <v>717</v>
      </c>
      <c r="G297" s="715" t="s">
        <v>808</v>
      </c>
      <c r="H297" s="716"/>
      <c r="I297" s="716"/>
      <c r="J297" s="716"/>
      <c r="K297" s="717"/>
      <c r="L297" s="718">
        <v>10000</v>
      </c>
      <c r="M297" s="718"/>
      <c r="N297" s="718">
        <f>L297+M297</f>
        <v>10000</v>
      </c>
      <c r="O297" s="717"/>
      <c r="P297" s="719">
        <f t="shared" si="99"/>
        <v>10000</v>
      </c>
      <c r="Q297" s="719">
        <f t="shared" si="110"/>
        <v>0</v>
      </c>
      <c r="R297" s="719">
        <f t="shared" si="110"/>
        <v>10000</v>
      </c>
    </row>
    <row r="298" spans="2:18" ht="15.75" x14ac:dyDescent="0.25">
      <c r="B298" s="171">
        <f t="shared" si="87"/>
        <v>58</v>
      </c>
      <c r="C298" s="23">
        <v>7</v>
      </c>
      <c r="D298" s="127" t="s">
        <v>561</v>
      </c>
      <c r="E298" s="24"/>
      <c r="F298" s="24"/>
      <c r="G298" s="193"/>
      <c r="H298" s="411">
        <f>H299</f>
        <v>3075</v>
      </c>
      <c r="I298" s="411">
        <f t="shared" ref="I298" si="112">I299</f>
        <v>0</v>
      </c>
      <c r="J298" s="411">
        <f>H298+I298</f>
        <v>3075</v>
      </c>
      <c r="K298" s="88"/>
      <c r="L298" s="772">
        <f>L307</f>
        <v>15000</v>
      </c>
      <c r="M298" s="772">
        <f t="shared" ref="M298" si="113">M307</f>
        <v>0</v>
      </c>
      <c r="N298" s="772">
        <f>L298+M298</f>
        <v>15000</v>
      </c>
      <c r="O298" s="88"/>
      <c r="P298" s="373">
        <f t="shared" si="99"/>
        <v>18075</v>
      </c>
      <c r="Q298" s="373">
        <f t="shared" si="110"/>
        <v>0</v>
      </c>
      <c r="R298" s="373">
        <f t="shared" si="110"/>
        <v>18075</v>
      </c>
    </row>
    <row r="299" spans="2:18" x14ac:dyDescent="0.2">
      <c r="B299" s="171">
        <f t="shared" si="87"/>
        <v>59</v>
      </c>
      <c r="C299" s="130"/>
      <c r="D299" s="130"/>
      <c r="E299" s="227" t="s">
        <v>426</v>
      </c>
      <c r="F299" s="225"/>
      <c r="G299" s="224" t="s">
        <v>443</v>
      </c>
      <c r="H299" s="387">
        <f>H300+H301+H302</f>
        <v>3075</v>
      </c>
      <c r="I299" s="387">
        <f t="shared" ref="I299" si="114">I300+I301+I302</f>
        <v>0</v>
      </c>
      <c r="J299" s="387">
        <f>H299+I299</f>
        <v>3075</v>
      </c>
      <c r="K299" s="132"/>
      <c r="L299" s="526"/>
      <c r="M299" s="526"/>
      <c r="N299" s="526"/>
      <c r="O299" s="132"/>
      <c r="P299" s="150">
        <f t="shared" si="99"/>
        <v>3075</v>
      </c>
      <c r="Q299" s="150">
        <f t="shared" si="110"/>
        <v>0</v>
      </c>
      <c r="R299" s="150">
        <f t="shared" si="110"/>
        <v>3075</v>
      </c>
    </row>
    <row r="300" spans="2:18" x14ac:dyDescent="0.2">
      <c r="B300" s="171">
        <f t="shared" si="87"/>
        <v>60</v>
      </c>
      <c r="C300" s="130"/>
      <c r="D300" s="130"/>
      <c r="E300" s="524"/>
      <c r="F300" s="149">
        <v>610</v>
      </c>
      <c r="G300" s="199" t="s">
        <v>257</v>
      </c>
      <c r="H300" s="388">
        <v>700</v>
      </c>
      <c r="I300" s="388"/>
      <c r="J300" s="388">
        <f>H300+I300</f>
        <v>700</v>
      </c>
      <c r="K300" s="132"/>
      <c r="L300" s="526"/>
      <c r="M300" s="526"/>
      <c r="N300" s="526"/>
      <c r="O300" s="132"/>
      <c r="P300" s="150">
        <f t="shared" si="99"/>
        <v>700</v>
      </c>
      <c r="Q300" s="150">
        <f t="shared" si="110"/>
        <v>0</v>
      </c>
      <c r="R300" s="150">
        <f t="shared" si="110"/>
        <v>700</v>
      </c>
    </row>
    <row r="301" spans="2:18" x14ac:dyDescent="0.2">
      <c r="B301" s="171">
        <f t="shared" si="87"/>
        <v>61</v>
      </c>
      <c r="C301" s="130"/>
      <c r="D301" s="130"/>
      <c r="E301" s="524"/>
      <c r="F301" s="149">
        <v>620</v>
      </c>
      <c r="G301" s="199" t="s">
        <v>259</v>
      </c>
      <c r="H301" s="388">
        <v>245</v>
      </c>
      <c r="I301" s="388"/>
      <c r="J301" s="388">
        <f t="shared" ref="J301:J306" si="115">H301+I301</f>
        <v>245</v>
      </c>
      <c r="K301" s="132"/>
      <c r="L301" s="526"/>
      <c r="M301" s="526"/>
      <c r="N301" s="526"/>
      <c r="O301" s="132"/>
      <c r="P301" s="150">
        <f t="shared" si="99"/>
        <v>245</v>
      </c>
      <c r="Q301" s="150">
        <f t="shared" si="110"/>
        <v>0</v>
      </c>
      <c r="R301" s="150">
        <f t="shared" si="110"/>
        <v>245</v>
      </c>
    </row>
    <row r="302" spans="2:18" x14ac:dyDescent="0.2">
      <c r="B302" s="171">
        <f t="shared" si="87"/>
        <v>62</v>
      </c>
      <c r="C302" s="130"/>
      <c r="D302" s="130"/>
      <c r="E302" s="524"/>
      <c r="F302" s="149">
        <v>630</v>
      </c>
      <c r="G302" s="199" t="s">
        <v>445</v>
      </c>
      <c r="H302" s="388">
        <f>SUM(H303:H306)</f>
        <v>2130</v>
      </c>
      <c r="I302" s="388">
        <f t="shared" ref="I302" si="116">SUM(I303:I306)</f>
        <v>0</v>
      </c>
      <c r="J302" s="388">
        <f t="shared" si="115"/>
        <v>2130</v>
      </c>
      <c r="K302" s="132"/>
      <c r="L302" s="526"/>
      <c r="M302" s="526"/>
      <c r="N302" s="526"/>
      <c r="O302" s="132"/>
      <c r="P302" s="150">
        <f t="shared" si="99"/>
        <v>2130</v>
      </c>
      <c r="Q302" s="150">
        <f t="shared" si="110"/>
        <v>0</v>
      </c>
      <c r="R302" s="150">
        <f t="shared" si="110"/>
        <v>2130</v>
      </c>
    </row>
    <row r="303" spans="2:18" x14ac:dyDescent="0.2">
      <c r="B303" s="171">
        <f t="shared" si="87"/>
        <v>63</v>
      </c>
      <c r="C303" s="130"/>
      <c r="D303" s="130"/>
      <c r="E303" s="524"/>
      <c r="F303" s="134">
        <v>633</v>
      </c>
      <c r="G303" s="194" t="s">
        <v>247</v>
      </c>
      <c r="H303" s="526">
        <v>800</v>
      </c>
      <c r="I303" s="526"/>
      <c r="J303" s="526">
        <f t="shared" si="115"/>
        <v>800</v>
      </c>
      <c r="K303" s="132"/>
      <c r="L303" s="526"/>
      <c r="M303" s="526"/>
      <c r="N303" s="526"/>
      <c r="O303" s="132"/>
      <c r="P303" s="528">
        <f t="shared" si="99"/>
        <v>800</v>
      </c>
      <c r="Q303" s="528">
        <f t="shared" si="110"/>
        <v>0</v>
      </c>
      <c r="R303" s="528">
        <f t="shared" si="110"/>
        <v>800</v>
      </c>
    </row>
    <row r="304" spans="2:18" x14ac:dyDescent="0.2">
      <c r="B304" s="171">
        <f t="shared" si="87"/>
        <v>64</v>
      </c>
      <c r="C304" s="130"/>
      <c r="D304" s="130"/>
      <c r="E304" s="524"/>
      <c r="F304" s="134">
        <v>634</v>
      </c>
      <c r="G304" s="194" t="s">
        <v>260</v>
      </c>
      <c r="H304" s="526">
        <v>450</v>
      </c>
      <c r="I304" s="526"/>
      <c r="J304" s="526">
        <f t="shared" si="115"/>
        <v>450</v>
      </c>
      <c r="K304" s="132"/>
      <c r="L304" s="526"/>
      <c r="M304" s="526"/>
      <c r="N304" s="526"/>
      <c r="O304" s="132"/>
      <c r="P304" s="528">
        <f t="shared" si="99"/>
        <v>450</v>
      </c>
      <c r="Q304" s="528">
        <f t="shared" si="110"/>
        <v>0</v>
      </c>
      <c r="R304" s="528">
        <f t="shared" si="110"/>
        <v>450</v>
      </c>
    </row>
    <row r="305" spans="2:18" x14ac:dyDescent="0.2">
      <c r="B305" s="171">
        <f t="shared" si="87"/>
        <v>65</v>
      </c>
      <c r="C305" s="130"/>
      <c r="D305" s="130"/>
      <c r="E305" s="524"/>
      <c r="F305" s="134">
        <v>635</v>
      </c>
      <c r="G305" s="194" t="s">
        <v>261</v>
      </c>
      <c r="H305" s="526">
        <f>350+350</f>
        <v>700</v>
      </c>
      <c r="I305" s="526"/>
      <c r="J305" s="526">
        <f t="shared" si="115"/>
        <v>700</v>
      </c>
      <c r="K305" s="132"/>
      <c r="L305" s="526"/>
      <c r="M305" s="526"/>
      <c r="N305" s="526"/>
      <c r="O305" s="132"/>
      <c r="P305" s="528">
        <f t="shared" si="99"/>
        <v>700</v>
      </c>
      <c r="Q305" s="528">
        <f t="shared" ref="Q305:R308" si="117">I305+M305</f>
        <v>0</v>
      </c>
      <c r="R305" s="528">
        <f t="shared" si="117"/>
        <v>700</v>
      </c>
    </row>
    <row r="306" spans="2:18" x14ac:dyDescent="0.2">
      <c r="B306" s="171">
        <f t="shared" si="87"/>
        <v>66</v>
      </c>
      <c r="C306" s="524"/>
      <c r="D306" s="524"/>
      <c r="E306" s="524"/>
      <c r="F306" s="524">
        <v>637</v>
      </c>
      <c r="G306" s="202" t="s">
        <v>248</v>
      </c>
      <c r="H306" s="526">
        <f>330-150</f>
        <v>180</v>
      </c>
      <c r="I306" s="526"/>
      <c r="J306" s="526">
        <f t="shared" si="115"/>
        <v>180</v>
      </c>
      <c r="K306" s="132"/>
      <c r="L306" s="526"/>
      <c r="M306" s="526"/>
      <c r="N306" s="526"/>
      <c r="O306" s="132"/>
      <c r="P306" s="528">
        <f t="shared" si="99"/>
        <v>180</v>
      </c>
      <c r="Q306" s="528">
        <f t="shared" si="117"/>
        <v>0</v>
      </c>
      <c r="R306" s="528">
        <f t="shared" si="117"/>
        <v>180</v>
      </c>
    </row>
    <row r="307" spans="2:18" x14ac:dyDescent="0.2">
      <c r="B307" s="171">
        <f t="shared" ref="B307" si="118">B306+1</f>
        <v>67</v>
      </c>
      <c r="C307" s="651"/>
      <c r="D307" s="524"/>
      <c r="E307" s="524"/>
      <c r="F307" s="688">
        <v>717</v>
      </c>
      <c r="G307" s="721" t="s">
        <v>768</v>
      </c>
      <c r="H307" s="380"/>
      <c r="I307" s="380"/>
      <c r="J307" s="380"/>
      <c r="K307" s="722"/>
      <c r="L307" s="380">
        <v>15000</v>
      </c>
      <c r="M307" s="380"/>
      <c r="N307" s="380">
        <f>L307+M307</f>
        <v>15000</v>
      </c>
      <c r="O307" s="722"/>
      <c r="P307" s="723">
        <f t="shared" si="99"/>
        <v>15000</v>
      </c>
      <c r="Q307" s="723">
        <f t="shared" si="117"/>
        <v>0</v>
      </c>
      <c r="R307" s="723">
        <f t="shared" si="117"/>
        <v>15000</v>
      </c>
    </row>
    <row r="308" spans="2:18" ht="16.5" thickBot="1" x14ac:dyDescent="0.3">
      <c r="B308" s="171">
        <v>69</v>
      </c>
      <c r="C308" s="276">
        <v>8</v>
      </c>
      <c r="D308" s="277" t="s">
        <v>547</v>
      </c>
      <c r="E308" s="278"/>
      <c r="F308" s="278"/>
      <c r="G308" s="279"/>
      <c r="H308" s="416">
        <v>0</v>
      </c>
      <c r="I308" s="416">
        <v>0</v>
      </c>
      <c r="J308" s="416">
        <v>0</v>
      </c>
      <c r="K308" s="121"/>
      <c r="L308" s="773">
        <v>0</v>
      </c>
      <c r="M308" s="773">
        <v>0</v>
      </c>
      <c r="N308" s="773">
        <f>L308+M308</f>
        <v>0</v>
      </c>
      <c r="O308" s="282"/>
      <c r="P308" s="376">
        <f t="shared" si="99"/>
        <v>0</v>
      </c>
      <c r="Q308" s="376">
        <f t="shared" si="117"/>
        <v>0</v>
      </c>
      <c r="R308" s="376">
        <f t="shared" si="117"/>
        <v>0</v>
      </c>
    </row>
    <row r="355" spans="2:18" ht="10.5" customHeight="1" x14ac:dyDescent="0.2"/>
    <row r="356" spans="2:18" ht="27.75" thickBot="1" x14ac:dyDescent="0.4">
      <c r="B356" s="246" t="s">
        <v>139</v>
      </c>
      <c r="C356" s="246"/>
      <c r="D356" s="246"/>
      <c r="E356" s="246"/>
      <c r="F356" s="246"/>
      <c r="G356" s="246"/>
      <c r="H356" s="246"/>
      <c r="I356" s="246"/>
      <c r="J356" s="246"/>
      <c r="K356" s="246"/>
      <c r="L356" s="246"/>
      <c r="M356" s="246"/>
      <c r="N356" s="246"/>
      <c r="O356" s="246"/>
      <c r="P356" s="246"/>
      <c r="Q356" s="246"/>
      <c r="R356" s="246"/>
    </row>
    <row r="357" spans="2:18" ht="13.5" customHeight="1" thickBot="1" x14ac:dyDescent="0.25">
      <c r="B357" s="913" t="s">
        <v>631</v>
      </c>
      <c r="C357" s="914"/>
      <c r="D357" s="914"/>
      <c r="E357" s="914"/>
      <c r="F357" s="914"/>
      <c r="G357" s="914"/>
      <c r="H357" s="914"/>
      <c r="I357" s="914"/>
      <c r="J357" s="914"/>
      <c r="K357" s="914"/>
      <c r="L357" s="914"/>
      <c r="M357" s="914"/>
      <c r="N357" s="915"/>
      <c r="O357" s="120"/>
      <c r="P357" s="903" t="s">
        <v>721</v>
      </c>
      <c r="Q357" s="903" t="s">
        <v>860</v>
      </c>
      <c r="R357" s="903" t="s">
        <v>721</v>
      </c>
    </row>
    <row r="358" spans="2:18" ht="13.5" customHeight="1" thickTop="1" x14ac:dyDescent="0.2">
      <c r="B358" s="505"/>
      <c r="C358" s="906" t="s">
        <v>477</v>
      </c>
      <c r="D358" s="906" t="s">
        <v>476</v>
      </c>
      <c r="E358" s="906" t="s">
        <v>474</v>
      </c>
      <c r="F358" s="906" t="s">
        <v>475</v>
      </c>
      <c r="G358" s="507" t="s">
        <v>3</v>
      </c>
      <c r="H358" s="908" t="s">
        <v>722</v>
      </c>
      <c r="I358" s="912" t="s">
        <v>860</v>
      </c>
      <c r="J358" s="912" t="s">
        <v>722</v>
      </c>
      <c r="L358" s="910" t="s">
        <v>723</v>
      </c>
      <c r="M358" s="910" t="s">
        <v>860</v>
      </c>
      <c r="N358" s="910" t="s">
        <v>723</v>
      </c>
      <c r="P358" s="904"/>
      <c r="Q358" s="904"/>
      <c r="R358" s="904"/>
    </row>
    <row r="359" spans="2:18" ht="57.75" customHeight="1" thickBot="1" x14ac:dyDescent="0.25">
      <c r="B359" s="509"/>
      <c r="C359" s="907"/>
      <c r="D359" s="907"/>
      <c r="E359" s="907"/>
      <c r="F359" s="907"/>
      <c r="G359" s="508"/>
      <c r="H359" s="909"/>
      <c r="I359" s="909"/>
      <c r="J359" s="909"/>
      <c r="L359" s="911"/>
      <c r="M359" s="911"/>
      <c r="N359" s="911"/>
      <c r="P359" s="905"/>
      <c r="Q359" s="905"/>
      <c r="R359" s="905"/>
    </row>
    <row r="360" spans="2:18" ht="19.5" thickTop="1" thickBot="1" x14ac:dyDescent="0.25">
      <c r="B360" s="171">
        <v>1</v>
      </c>
      <c r="C360" s="125" t="s">
        <v>210</v>
      </c>
      <c r="D360" s="111"/>
      <c r="E360" s="111"/>
      <c r="F360" s="111"/>
      <c r="G360" s="192"/>
      <c r="H360" s="409">
        <f>H361+H374+H389+H392+H394</f>
        <v>1638060</v>
      </c>
      <c r="I360" s="409">
        <f>I361+I374+I389+I392+I394</f>
        <v>0</v>
      </c>
      <c r="J360" s="409">
        <f t="shared" ref="J360:J401" si="119">I360+H360</f>
        <v>1638060</v>
      </c>
      <c r="K360" s="113"/>
      <c r="L360" s="378">
        <f>L361+L374+L389+L392+L394</f>
        <v>112463</v>
      </c>
      <c r="M360" s="378">
        <f>M361+M374+M389+M392+M394</f>
        <v>0</v>
      </c>
      <c r="N360" s="378">
        <f>M360+L360</f>
        <v>112463</v>
      </c>
      <c r="O360" s="113"/>
      <c r="P360" s="392">
        <f t="shared" ref="P360:P385" si="120">H360+L360</f>
        <v>1750523</v>
      </c>
      <c r="Q360" s="392">
        <f t="shared" ref="Q360:R376" si="121">I360+M360</f>
        <v>0</v>
      </c>
      <c r="R360" s="392">
        <f t="shared" si="121"/>
        <v>1750523</v>
      </c>
    </row>
    <row r="361" spans="2:18" ht="16.5" thickTop="1" x14ac:dyDescent="0.25">
      <c r="B361" s="171">
        <f>B360+1</f>
        <v>2</v>
      </c>
      <c r="C361" s="23">
        <v>1</v>
      </c>
      <c r="D361" s="127" t="s">
        <v>140</v>
      </c>
      <c r="E361" s="24"/>
      <c r="F361" s="24"/>
      <c r="G361" s="193"/>
      <c r="H361" s="410">
        <f>H362+H363+H364+H372</f>
        <v>887200</v>
      </c>
      <c r="I361" s="423">
        <f>I362+I363+I364+I372</f>
        <v>0</v>
      </c>
      <c r="J361" s="423">
        <f t="shared" si="119"/>
        <v>887200</v>
      </c>
      <c r="K361" s="88"/>
      <c r="L361" s="395">
        <f>SUM(L362:L373)</f>
        <v>12800</v>
      </c>
      <c r="M361" s="806">
        <f>M373</f>
        <v>0</v>
      </c>
      <c r="N361" s="806">
        <f>M361+L361</f>
        <v>12800</v>
      </c>
      <c r="O361" s="88"/>
      <c r="P361" s="390">
        <f t="shared" si="120"/>
        <v>900000</v>
      </c>
      <c r="Q361" s="390">
        <f t="shared" si="121"/>
        <v>0</v>
      </c>
      <c r="R361" s="390">
        <f t="shared" si="121"/>
        <v>900000</v>
      </c>
    </row>
    <row r="362" spans="2:18" x14ac:dyDescent="0.2">
      <c r="B362" s="171">
        <f t="shared" ref="B362:B401" si="122">B361+1</f>
        <v>3</v>
      </c>
      <c r="C362" s="143"/>
      <c r="D362" s="144"/>
      <c r="E362" s="131" t="s">
        <v>307</v>
      </c>
      <c r="F362" s="144" t="s">
        <v>211</v>
      </c>
      <c r="G362" s="199" t="s">
        <v>257</v>
      </c>
      <c r="H362" s="388">
        <f>556300-4000-15200</f>
        <v>537100</v>
      </c>
      <c r="I362" s="388"/>
      <c r="J362" s="388">
        <f t="shared" si="119"/>
        <v>537100</v>
      </c>
      <c r="K362" s="145"/>
      <c r="L362" s="388"/>
      <c r="M362" s="388"/>
      <c r="N362" s="388"/>
      <c r="O362" s="145"/>
      <c r="P362" s="166">
        <f t="shared" si="120"/>
        <v>537100</v>
      </c>
      <c r="Q362" s="166">
        <f t="shared" si="121"/>
        <v>0</v>
      </c>
      <c r="R362" s="166">
        <f t="shared" si="121"/>
        <v>537100</v>
      </c>
    </row>
    <row r="363" spans="2:18" x14ac:dyDescent="0.2">
      <c r="B363" s="171">
        <f t="shared" si="122"/>
        <v>4</v>
      </c>
      <c r="C363" s="143"/>
      <c r="D363" s="144"/>
      <c r="E363" s="131" t="s">
        <v>307</v>
      </c>
      <c r="F363" s="144" t="s">
        <v>212</v>
      </c>
      <c r="G363" s="199" t="s">
        <v>305</v>
      </c>
      <c r="H363" s="388">
        <f>201700-7100</f>
        <v>194600</v>
      </c>
      <c r="I363" s="388"/>
      <c r="J363" s="388">
        <f t="shared" si="119"/>
        <v>194600</v>
      </c>
      <c r="K363" s="145"/>
      <c r="L363" s="396"/>
      <c r="M363" s="396"/>
      <c r="N363" s="396"/>
      <c r="O363" s="145"/>
      <c r="P363" s="166">
        <f t="shared" si="120"/>
        <v>194600</v>
      </c>
      <c r="Q363" s="166">
        <f t="shared" si="121"/>
        <v>0</v>
      </c>
      <c r="R363" s="166">
        <f t="shared" si="121"/>
        <v>194600</v>
      </c>
    </row>
    <row r="364" spans="2:18" x14ac:dyDescent="0.2">
      <c r="B364" s="171">
        <f t="shared" si="122"/>
        <v>5</v>
      </c>
      <c r="C364" s="143"/>
      <c r="D364" s="144"/>
      <c r="E364" s="131" t="s">
        <v>307</v>
      </c>
      <c r="F364" s="144" t="s">
        <v>218</v>
      </c>
      <c r="G364" s="199" t="s">
        <v>249</v>
      </c>
      <c r="H364" s="388">
        <f>SUM(H365:H371)</f>
        <v>136534</v>
      </c>
      <c r="I364" s="388">
        <f>SUM(I365:I371)</f>
        <v>0</v>
      </c>
      <c r="J364" s="388">
        <f t="shared" si="119"/>
        <v>136534</v>
      </c>
      <c r="K364" s="145"/>
      <c r="L364" s="396"/>
      <c r="M364" s="396"/>
      <c r="N364" s="396"/>
      <c r="O364" s="145"/>
      <c r="P364" s="166">
        <f t="shared" si="120"/>
        <v>136534</v>
      </c>
      <c r="Q364" s="166">
        <f t="shared" si="121"/>
        <v>0</v>
      </c>
      <c r="R364" s="166">
        <f t="shared" si="121"/>
        <v>136534</v>
      </c>
    </row>
    <row r="365" spans="2:18" x14ac:dyDescent="0.2">
      <c r="B365" s="171">
        <f t="shared" si="122"/>
        <v>6</v>
      </c>
      <c r="C365" s="130"/>
      <c r="D365" s="131"/>
      <c r="E365" s="131"/>
      <c r="F365" s="131" t="s">
        <v>213</v>
      </c>
      <c r="G365" s="194" t="s">
        <v>306</v>
      </c>
      <c r="H365" s="526">
        <f>970+2000+3500</f>
        <v>6470</v>
      </c>
      <c r="I365" s="526"/>
      <c r="J365" s="526">
        <f t="shared" si="119"/>
        <v>6470</v>
      </c>
      <c r="K365" s="132"/>
      <c r="L365" s="527"/>
      <c r="M365" s="527"/>
      <c r="N365" s="527"/>
      <c r="O365" s="132"/>
      <c r="P365" s="167">
        <f t="shared" si="120"/>
        <v>6470</v>
      </c>
      <c r="Q365" s="167">
        <f t="shared" si="121"/>
        <v>0</v>
      </c>
      <c r="R365" s="167">
        <f t="shared" si="121"/>
        <v>6470</v>
      </c>
    </row>
    <row r="366" spans="2:18" x14ac:dyDescent="0.2">
      <c r="B366" s="171">
        <f t="shared" si="122"/>
        <v>7</v>
      </c>
      <c r="C366" s="130"/>
      <c r="D366" s="131"/>
      <c r="E366" s="131"/>
      <c r="F366" s="131" t="s">
        <v>199</v>
      </c>
      <c r="G366" s="194" t="s">
        <v>246</v>
      </c>
      <c r="H366" s="526">
        <v>25000</v>
      </c>
      <c r="I366" s="526"/>
      <c r="J366" s="526">
        <f t="shared" si="119"/>
        <v>25000</v>
      </c>
      <c r="K366" s="132"/>
      <c r="L366" s="527"/>
      <c r="M366" s="527"/>
      <c r="N366" s="527"/>
      <c r="O366" s="132"/>
      <c r="P366" s="167">
        <f t="shared" si="120"/>
        <v>25000</v>
      </c>
      <c r="Q366" s="167">
        <f t="shared" si="121"/>
        <v>0</v>
      </c>
      <c r="R366" s="167">
        <f t="shared" si="121"/>
        <v>25000</v>
      </c>
    </row>
    <row r="367" spans="2:18" x14ac:dyDescent="0.2">
      <c r="B367" s="171">
        <f t="shared" si="122"/>
        <v>8</v>
      </c>
      <c r="C367" s="130"/>
      <c r="D367" s="131"/>
      <c r="E367" s="131"/>
      <c r="F367" s="131" t="s">
        <v>200</v>
      </c>
      <c r="G367" s="194" t="s">
        <v>247</v>
      </c>
      <c r="H367" s="526">
        <f>37149-4000-3500</f>
        <v>29649</v>
      </c>
      <c r="I367" s="526"/>
      <c r="J367" s="526">
        <f t="shared" si="119"/>
        <v>29649</v>
      </c>
      <c r="K367" s="132"/>
      <c r="L367" s="527"/>
      <c r="M367" s="527"/>
      <c r="N367" s="527"/>
      <c r="O367" s="132"/>
      <c r="P367" s="167">
        <f t="shared" si="120"/>
        <v>29649</v>
      </c>
      <c r="Q367" s="167">
        <f t="shared" si="121"/>
        <v>0</v>
      </c>
      <c r="R367" s="167">
        <f t="shared" si="121"/>
        <v>29649</v>
      </c>
    </row>
    <row r="368" spans="2:18" x14ac:dyDescent="0.2">
      <c r="B368" s="171">
        <f t="shared" si="122"/>
        <v>9</v>
      </c>
      <c r="C368" s="130"/>
      <c r="D368" s="131"/>
      <c r="E368" s="131"/>
      <c r="F368" s="131" t="s">
        <v>201</v>
      </c>
      <c r="G368" s="194" t="s">
        <v>260</v>
      </c>
      <c r="H368" s="526">
        <v>31980</v>
      </c>
      <c r="I368" s="526"/>
      <c r="J368" s="526">
        <f t="shared" si="119"/>
        <v>31980</v>
      </c>
      <c r="K368" s="132"/>
      <c r="L368" s="527"/>
      <c r="M368" s="527"/>
      <c r="N368" s="527"/>
      <c r="O368" s="132"/>
      <c r="P368" s="167">
        <f t="shared" si="120"/>
        <v>31980</v>
      </c>
      <c r="Q368" s="167">
        <f t="shared" si="121"/>
        <v>0</v>
      </c>
      <c r="R368" s="167">
        <f t="shared" si="121"/>
        <v>31980</v>
      </c>
    </row>
    <row r="369" spans="2:18" x14ac:dyDescent="0.2">
      <c r="B369" s="171">
        <f t="shared" si="122"/>
        <v>10</v>
      </c>
      <c r="C369" s="130"/>
      <c r="D369" s="131"/>
      <c r="E369" s="131"/>
      <c r="F369" s="131" t="s">
        <v>214</v>
      </c>
      <c r="G369" s="194" t="s">
        <v>261</v>
      </c>
      <c r="H369" s="526">
        <v>1800</v>
      </c>
      <c r="I369" s="526"/>
      <c r="J369" s="526">
        <f t="shared" si="119"/>
        <v>1800</v>
      </c>
      <c r="K369" s="132"/>
      <c r="L369" s="527"/>
      <c r="M369" s="527"/>
      <c r="N369" s="527"/>
      <c r="O369" s="132"/>
      <c r="P369" s="167">
        <f t="shared" si="120"/>
        <v>1800</v>
      </c>
      <c r="Q369" s="167">
        <f t="shared" si="121"/>
        <v>0</v>
      </c>
      <c r="R369" s="167">
        <f t="shared" si="121"/>
        <v>1800</v>
      </c>
    </row>
    <row r="370" spans="2:18" x14ac:dyDescent="0.2">
      <c r="B370" s="171">
        <f t="shared" si="122"/>
        <v>11</v>
      </c>
      <c r="C370" s="130"/>
      <c r="D370" s="131"/>
      <c r="E370" s="131"/>
      <c r="F370" s="131" t="s">
        <v>216</v>
      </c>
      <c r="G370" s="194" t="s">
        <v>248</v>
      </c>
      <c r="H370" s="526">
        <f>43635-5000</f>
        <v>38635</v>
      </c>
      <c r="I370" s="526"/>
      <c r="J370" s="526">
        <f t="shared" si="119"/>
        <v>38635</v>
      </c>
      <c r="K370" s="132"/>
      <c r="L370" s="527"/>
      <c r="M370" s="527"/>
      <c r="N370" s="527"/>
      <c r="O370" s="132"/>
      <c r="P370" s="167">
        <f t="shared" si="120"/>
        <v>38635</v>
      </c>
      <c r="Q370" s="167">
        <f t="shared" si="121"/>
        <v>0</v>
      </c>
      <c r="R370" s="167">
        <f t="shared" si="121"/>
        <v>38635</v>
      </c>
    </row>
    <row r="371" spans="2:18" x14ac:dyDescent="0.2">
      <c r="B371" s="171">
        <f t="shared" si="122"/>
        <v>12</v>
      </c>
      <c r="C371" s="130"/>
      <c r="D371" s="169"/>
      <c r="E371" s="131" t="s">
        <v>834</v>
      </c>
      <c r="F371" s="131" t="s">
        <v>216</v>
      </c>
      <c r="G371" s="194" t="s">
        <v>658</v>
      </c>
      <c r="H371" s="526">
        <f>500+2000+500</f>
        <v>3000</v>
      </c>
      <c r="I371" s="526"/>
      <c r="J371" s="526">
        <f t="shared" si="119"/>
        <v>3000</v>
      </c>
      <c r="K371" s="132"/>
      <c r="L371" s="527"/>
      <c r="M371" s="527"/>
      <c r="N371" s="527"/>
      <c r="O371" s="132"/>
      <c r="P371" s="167">
        <f t="shared" si="120"/>
        <v>3000</v>
      </c>
      <c r="Q371" s="167">
        <f t="shared" si="121"/>
        <v>0</v>
      </c>
      <c r="R371" s="167">
        <f t="shared" si="121"/>
        <v>3000</v>
      </c>
    </row>
    <row r="372" spans="2:18" x14ac:dyDescent="0.2">
      <c r="B372" s="171">
        <f t="shared" si="122"/>
        <v>13</v>
      </c>
      <c r="C372" s="130"/>
      <c r="D372" s="169"/>
      <c r="E372" s="290"/>
      <c r="F372" s="284" t="s">
        <v>217</v>
      </c>
      <c r="G372" s="199" t="s">
        <v>267</v>
      </c>
      <c r="H372" s="388">
        <f>966+3500+14500</f>
        <v>18966</v>
      </c>
      <c r="I372" s="388"/>
      <c r="J372" s="388">
        <f t="shared" si="119"/>
        <v>18966</v>
      </c>
      <c r="K372" s="132"/>
      <c r="L372" s="527"/>
      <c r="M372" s="527"/>
      <c r="N372" s="527"/>
      <c r="O372" s="132"/>
      <c r="P372" s="166">
        <f t="shared" si="120"/>
        <v>18966</v>
      </c>
      <c r="Q372" s="166">
        <f t="shared" si="121"/>
        <v>0</v>
      </c>
      <c r="R372" s="166">
        <f t="shared" si="121"/>
        <v>18966</v>
      </c>
    </row>
    <row r="373" spans="2:18" ht="13.5" customHeight="1" x14ac:dyDescent="0.2">
      <c r="B373" s="618">
        <f t="shared" si="122"/>
        <v>14</v>
      </c>
      <c r="C373" s="179"/>
      <c r="D373" s="250"/>
      <c r="E373" s="658"/>
      <c r="F373" s="657" t="s">
        <v>870</v>
      </c>
      <c r="G373" s="761" t="s">
        <v>871</v>
      </c>
      <c r="H373" s="396"/>
      <c r="I373" s="396"/>
      <c r="J373" s="396"/>
      <c r="K373" s="132"/>
      <c r="L373" s="396">
        <v>12800</v>
      </c>
      <c r="M373" s="396"/>
      <c r="N373" s="396">
        <f>L373+M373</f>
        <v>12800</v>
      </c>
      <c r="O373" s="132"/>
      <c r="P373" s="166">
        <f t="shared" ref="P373" si="123">H373+L373</f>
        <v>12800</v>
      </c>
      <c r="Q373" s="166">
        <f t="shared" ref="Q373" si="124">I373+M373</f>
        <v>0</v>
      </c>
      <c r="R373" s="166">
        <f t="shared" ref="R373" si="125">J373+N373</f>
        <v>12800</v>
      </c>
    </row>
    <row r="374" spans="2:18" ht="15.75" x14ac:dyDescent="0.25">
      <c r="B374" s="622">
        <f t="shared" si="122"/>
        <v>15</v>
      </c>
      <c r="C374" s="21">
        <v>2</v>
      </c>
      <c r="D374" s="126" t="s">
        <v>99</v>
      </c>
      <c r="E374" s="22"/>
      <c r="F374" s="22"/>
      <c r="G374" s="195"/>
      <c r="H374" s="411">
        <f>H375+H378</f>
        <v>717360</v>
      </c>
      <c r="I374" s="413">
        <f>I375+I378</f>
        <v>0</v>
      </c>
      <c r="J374" s="413">
        <f t="shared" si="119"/>
        <v>717360</v>
      </c>
      <c r="K374" s="876"/>
      <c r="L374" s="397">
        <f>SUM(L375:L388)</f>
        <v>73583</v>
      </c>
      <c r="M374" s="381">
        <f>SUM(M375:M387)</f>
        <v>0</v>
      </c>
      <c r="N374" s="381">
        <f>M374+L374</f>
        <v>73583</v>
      </c>
      <c r="O374" s="876"/>
      <c r="P374" s="391">
        <f t="shared" si="120"/>
        <v>790943</v>
      </c>
      <c r="Q374" s="391">
        <f t="shared" si="121"/>
        <v>0</v>
      </c>
      <c r="R374" s="391">
        <f t="shared" si="121"/>
        <v>790943</v>
      </c>
    </row>
    <row r="375" spans="2:18" x14ac:dyDescent="0.2">
      <c r="B375" s="171">
        <f t="shared" si="122"/>
        <v>16</v>
      </c>
      <c r="C375" s="130"/>
      <c r="D375" s="130"/>
      <c r="E375" s="134" t="s">
        <v>239</v>
      </c>
      <c r="F375" s="134">
        <v>630</v>
      </c>
      <c r="G375" s="199" t="s">
        <v>249</v>
      </c>
      <c r="H375" s="388">
        <f>H376+H377</f>
        <v>649700</v>
      </c>
      <c r="I375" s="388">
        <f>I376+I377</f>
        <v>0</v>
      </c>
      <c r="J375" s="388">
        <f t="shared" si="119"/>
        <v>649700</v>
      </c>
      <c r="K375" s="132"/>
      <c r="L375" s="526"/>
      <c r="M375" s="526"/>
      <c r="N375" s="526"/>
      <c r="O375" s="132"/>
      <c r="P375" s="530">
        <f t="shared" si="120"/>
        <v>649700</v>
      </c>
      <c r="Q375" s="530">
        <f t="shared" si="121"/>
        <v>0</v>
      </c>
      <c r="R375" s="530">
        <f t="shared" si="121"/>
        <v>649700</v>
      </c>
    </row>
    <row r="376" spans="2:18" x14ac:dyDescent="0.2">
      <c r="B376" s="171">
        <f t="shared" si="122"/>
        <v>17</v>
      </c>
      <c r="C376" s="130"/>
      <c r="D376" s="130"/>
      <c r="E376" s="134"/>
      <c r="F376" s="134">
        <v>632</v>
      </c>
      <c r="G376" s="194" t="s">
        <v>238</v>
      </c>
      <c r="H376" s="526">
        <f>95400+96000+256000+35000</f>
        <v>482400</v>
      </c>
      <c r="I376" s="526"/>
      <c r="J376" s="526">
        <f t="shared" si="119"/>
        <v>482400</v>
      </c>
      <c r="K376" s="132"/>
      <c r="L376" s="526"/>
      <c r="M376" s="526"/>
      <c r="N376" s="526"/>
      <c r="O376" s="132"/>
      <c r="P376" s="168">
        <f t="shared" si="120"/>
        <v>482400</v>
      </c>
      <c r="Q376" s="168">
        <f t="shared" si="121"/>
        <v>0</v>
      </c>
      <c r="R376" s="168">
        <f t="shared" si="121"/>
        <v>482400</v>
      </c>
    </row>
    <row r="377" spans="2:18" x14ac:dyDescent="0.2">
      <c r="B377" s="171">
        <f t="shared" si="122"/>
        <v>18</v>
      </c>
      <c r="C377" s="130"/>
      <c r="D377" s="130"/>
      <c r="E377" s="134"/>
      <c r="F377" s="134">
        <v>635</v>
      </c>
      <c r="G377" s="194" t="s">
        <v>490</v>
      </c>
      <c r="H377" s="398">
        <f>84400+78000+4900</f>
        <v>167300</v>
      </c>
      <c r="I377" s="398"/>
      <c r="J377" s="398">
        <f t="shared" si="119"/>
        <v>167300</v>
      </c>
      <c r="K377" s="132"/>
      <c r="L377" s="526"/>
      <c r="M377" s="526"/>
      <c r="N377" s="526"/>
      <c r="O377" s="132"/>
      <c r="P377" s="168">
        <f t="shared" si="120"/>
        <v>167300</v>
      </c>
      <c r="Q377" s="168">
        <f t="shared" ref="Q377:R385" si="126">I377+M377</f>
        <v>0</v>
      </c>
      <c r="R377" s="168">
        <f t="shared" si="126"/>
        <v>167300</v>
      </c>
    </row>
    <row r="378" spans="2:18" x14ac:dyDescent="0.2">
      <c r="B378" s="171">
        <f t="shared" si="122"/>
        <v>19</v>
      </c>
      <c r="C378" s="130"/>
      <c r="D378" s="130"/>
      <c r="E378" s="134" t="s">
        <v>239</v>
      </c>
      <c r="F378" s="156"/>
      <c r="G378" s="224" t="s">
        <v>696</v>
      </c>
      <c r="H378" s="394">
        <f>H379+H380+H381</f>
        <v>67660</v>
      </c>
      <c r="I378" s="394">
        <f>I379+I380+I381</f>
        <v>0</v>
      </c>
      <c r="J378" s="394">
        <f t="shared" si="119"/>
        <v>67660</v>
      </c>
      <c r="K378" s="132"/>
      <c r="L378" s="526"/>
      <c r="M378" s="526"/>
      <c r="N378" s="526"/>
      <c r="O378" s="132"/>
      <c r="P378" s="530">
        <f t="shared" si="120"/>
        <v>67660</v>
      </c>
      <c r="Q378" s="530">
        <f t="shared" si="126"/>
        <v>0</v>
      </c>
      <c r="R378" s="530">
        <f t="shared" si="126"/>
        <v>67660</v>
      </c>
    </row>
    <row r="379" spans="2:18" x14ac:dyDescent="0.2">
      <c r="B379" s="171">
        <f t="shared" si="122"/>
        <v>20</v>
      </c>
      <c r="C379" s="130"/>
      <c r="D379" s="130"/>
      <c r="E379" s="134"/>
      <c r="F379" s="154">
        <v>610</v>
      </c>
      <c r="G379" s="199" t="s">
        <v>257</v>
      </c>
      <c r="H379" s="388">
        <f>14200+1500</f>
        <v>15700</v>
      </c>
      <c r="I379" s="388"/>
      <c r="J379" s="388">
        <f t="shared" si="119"/>
        <v>15700</v>
      </c>
      <c r="K379" s="132"/>
      <c r="L379" s="526"/>
      <c r="M379" s="526"/>
      <c r="N379" s="526"/>
      <c r="O379" s="132"/>
      <c r="P379" s="530">
        <f t="shared" si="120"/>
        <v>15700</v>
      </c>
      <c r="Q379" s="530">
        <f t="shared" si="126"/>
        <v>0</v>
      </c>
      <c r="R379" s="530">
        <f t="shared" si="126"/>
        <v>15700</v>
      </c>
    </row>
    <row r="380" spans="2:18" x14ac:dyDescent="0.2">
      <c r="B380" s="171">
        <f t="shared" si="122"/>
        <v>21</v>
      </c>
      <c r="C380" s="130"/>
      <c r="D380" s="130"/>
      <c r="E380" s="134"/>
      <c r="F380" s="154">
        <v>620</v>
      </c>
      <c r="G380" s="199" t="s">
        <v>259</v>
      </c>
      <c r="H380" s="388">
        <f>10640-900</f>
        <v>9740</v>
      </c>
      <c r="I380" s="388"/>
      <c r="J380" s="388">
        <f t="shared" si="119"/>
        <v>9740</v>
      </c>
      <c r="K380" s="132"/>
      <c r="L380" s="526"/>
      <c r="M380" s="526"/>
      <c r="N380" s="526"/>
      <c r="O380" s="132"/>
      <c r="P380" s="530">
        <f t="shared" si="120"/>
        <v>9740</v>
      </c>
      <c r="Q380" s="530">
        <f t="shared" si="126"/>
        <v>0</v>
      </c>
      <c r="R380" s="530">
        <f t="shared" si="126"/>
        <v>9740</v>
      </c>
    </row>
    <row r="381" spans="2:18" x14ac:dyDescent="0.2">
      <c r="B381" s="171">
        <f t="shared" si="122"/>
        <v>22</v>
      </c>
      <c r="C381" s="130"/>
      <c r="D381" s="130"/>
      <c r="E381" s="134"/>
      <c r="F381" s="154">
        <v>630</v>
      </c>
      <c r="G381" s="199" t="s">
        <v>249</v>
      </c>
      <c r="H381" s="388">
        <f>SUM(H382:H385)</f>
        <v>42220</v>
      </c>
      <c r="I381" s="388">
        <f>SUM(I382:I385)</f>
        <v>0</v>
      </c>
      <c r="J381" s="388">
        <f t="shared" si="119"/>
        <v>42220</v>
      </c>
      <c r="K381" s="132"/>
      <c r="L381" s="526"/>
      <c r="M381" s="526"/>
      <c r="N381" s="526"/>
      <c r="O381" s="132"/>
      <c r="P381" s="530">
        <f t="shared" si="120"/>
        <v>42220</v>
      </c>
      <c r="Q381" s="530">
        <f t="shared" si="126"/>
        <v>0</v>
      </c>
      <c r="R381" s="530">
        <f t="shared" si="126"/>
        <v>42220</v>
      </c>
    </row>
    <row r="382" spans="2:18" x14ac:dyDescent="0.2">
      <c r="B382" s="171">
        <f t="shared" si="122"/>
        <v>23</v>
      </c>
      <c r="C382" s="130"/>
      <c r="D382" s="130"/>
      <c r="E382" s="134"/>
      <c r="F382" s="157">
        <v>633</v>
      </c>
      <c r="G382" s="194" t="s">
        <v>247</v>
      </c>
      <c r="H382" s="526">
        <f>5400+200+5000+2000</f>
        <v>12600</v>
      </c>
      <c r="I382" s="526"/>
      <c r="J382" s="526">
        <f t="shared" si="119"/>
        <v>12600</v>
      </c>
      <c r="K382" s="132"/>
      <c r="L382" s="526"/>
      <c r="M382" s="526"/>
      <c r="N382" s="526"/>
      <c r="O382" s="132"/>
      <c r="P382" s="168">
        <f t="shared" si="120"/>
        <v>12600</v>
      </c>
      <c r="Q382" s="168">
        <f t="shared" si="126"/>
        <v>0</v>
      </c>
      <c r="R382" s="168">
        <f t="shared" si="126"/>
        <v>12600</v>
      </c>
    </row>
    <row r="383" spans="2:18" x14ac:dyDescent="0.2">
      <c r="B383" s="171">
        <f t="shared" si="122"/>
        <v>24</v>
      </c>
      <c r="C383" s="130"/>
      <c r="D383" s="130"/>
      <c r="E383" s="134"/>
      <c r="F383" s="134">
        <v>634</v>
      </c>
      <c r="G383" s="194" t="s">
        <v>260</v>
      </c>
      <c r="H383" s="526">
        <f>4500+900</f>
        <v>5400</v>
      </c>
      <c r="I383" s="526"/>
      <c r="J383" s="526">
        <f t="shared" si="119"/>
        <v>5400</v>
      </c>
      <c r="K383" s="132"/>
      <c r="L383" s="526"/>
      <c r="M383" s="526"/>
      <c r="N383" s="526"/>
      <c r="O383" s="132"/>
      <c r="P383" s="168">
        <f t="shared" si="120"/>
        <v>5400</v>
      </c>
      <c r="Q383" s="168">
        <f t="shared" si="126"/>
        <v>0</v>
      </c>
      <c r="R383" s="168">
        <f t="shared" si="126"/>
        <v>5400</v>
      </c>
    </row>
    <row r="384" spans="2:18" x14ac:dyDescent="0.2">
      <c r="B384" s="171">
        <f t="shared" si="122"/>
        <v>25</v>
      </c>
      <c r="C384" s="130"/>
      <c r="D384" s="130"/>
      <c r="E384" s="134"/>
      <c r="F384" s="134">
        <v>635</v>
      </c>
      <c r="G384" s="194" t="s">
        <v>261</v>
      </c>
      <c r="H384" s="526">
        <v>9000</v>
      </c>
      <c r="I384" s="526"/>
      <c r="J384" s="526">
        <f t="shared" si="119"/>
        <v>9000</v>
      </c>
      <c r="K384" s="132"/>
      <c r="L384" s="526"/>
      <c r="M384" s="526"/>
      <c r="N384" s="526"/>
      <c r="O384" s="132"/>
      <c r="P384" s="168">
        <f t="shared" si="120"/>
        <v>9000</v>
      </c>
      <c r="Q384" s="168">
        <f t="shared" si="126"/>
        <v>0</v>
      </c>
      <c r="R384" s="168">
        <f t="shared" si="126"/>
        <v>9000</v>
      </c>
    </row>
    <row r="385" spans="2:18" x14ac:dyDescent="0.2">
      <c r="B385" s="171">
        <f t="shared" si="122"/>
        <v>26</v>
      </c>
      <c r="C385" s="130"/>
      <c r="D385" s="130"/>
      <c r="E385" s="134"/>
      <c r="F385" s="134">
        <v>637</v>
      </c>
      <c r="G385" s="194" t="s">
        <v>248</v>
      </c>
      <c r="H385" s="526">
        <f>100+9000+1000+900+220+16200-5000-4000-3000-200</f>
        <v>15220</v>
      </c>
      <c r="I385" s="526"/>
      <c r="J385" s="526">
        <f t="shared" si="119"/>
        <v>15220</v>
      </c>
      <c r="K385" s="132"/>
      <c r="L385" s="526"/>
      <c r="M385" s="526"/>
      <c r="N385" s="526"/>
      <c r="O385" s="132"/>
      <c r="P385" s="168">
        <f t="shared" si="120"/>
        <v>15220</v>
      </c>
      <c r="Q385" s="168">
        <f t="shared" si="126"/>
        <v>0</v>
      </c>
      <c r="R385" s="168">
        <f t="shared" si="126"/>
        <v>15220</v>
      </c>
    </row>
    <row r="386" spans="2:18" x14ac:dyDescent="0.2">
      <c r="B386" s="171">
        <f t="shared" si="122"/>
        <v>27</v>
      </c>
      <c r="C386" s="130"/>
      <c r="D386" s="130"/>
      <c r="E386" s="159"/>
      <c r="F386" s="134"/>
      <c r="G386" s="194"/>
      <c r="H386" s="526"/>
      <c r="I386" s="526"/>
      <c r="J386" s="526">
        <f t="shared" si="119"/>
        <v>0</v>
      </c>
      <c r="K386" s="132"/>
      <c r="L386" s="526"/>
      <c r="M386" s="526"/>
      <c r="N386" s="526"/>
      <c r="O386" s="132"/>
      <c r="P386" s="168"/>
      <c r="Q386" s="168"/>
      <c r="R386" s="168"/>
    </row>
    <row r="387" spans="2:18" x14ac:dyDescent="0.2">
      <c r="B387" s="171">
        <f t="shared" si="122"/>
        <v>28</v>
      </c>
      <c r="C387" s="130"/>
      <c r="D387" s="130"/>
      <c r="E387" s="134" t="s">
        <v>239</v>
      </c>
      <c r="F387" s="134">
        <v>714</v>
      </c>
      <c r="G387" s="366" t="s">
        <v>684</v>
      </c>
      <c r="H387" s="526"/>
      <c r="I387" s="526"/>
      <c r="J387" s="526">
        <f t="shared" si="119"/>
        <v>0</v>
      </c>
      <c r="K387" s="132"/>
      <c r="L387" s="482">
        <f>70000+18000-16480</f>
        <v>71520</v>
      </c>
      <c r="M387" s="482"/>
      <c r="N387" s="482">
        <f>M387+L387</f>
        <v>71520</v>
      </c>
      <c r="O387" s="132"/>
      <c r="P387" s="168">
        <f>H387+L387</f>
        <v>71520</v>
      </c>
      <c r="Q387" s="168">
        <f t="shared" ref="Q387:R387" si="127">I387+M387</f>
        <v>0</v>
      </c>
      <c r="R387" s="168">
        <f t="shared" si="127"/>
        <v>71520</v>
      </c>
    </row>
    <row r="388" spans="2:18" x14ac:dyDescent="0.2">
      <c r="B388" s="171">
        <f t="shared" si="122"/>
        <v>29</v>
      </c>
      <c r="C388" s="130"/>
      <c r="D388" s="159"/>
      <c r="E388" s="524" t="s">
        <v>239</v>
      </c>
      <c r="F388" s="524">
        <v>716</v>
      </c>
      <c r="G388" s="366" t="s">
        <v>845</v>
      </c>
      <c r="H388" s="526"/>
      <c r="I388" s="526"/>
      <c r="J388" s="526"/>
      <c r="K388" s="132"/>
      <c r="L388" s="482">
        <v>2063</v>
      </c>
      <c r="M388" s="482"/>
      <c r="N388" s="482">
        <f>M388+L388</f>
        <v>2063</v>
      </c>
      <c r="O388" s="132"/>
      <c r="P388" s="213">
        <f>L388</f>
        <v>2063</v>
      </c>
      <c r="Q388" s="213">
        <f t="shared" ref="Q388:R388" si="128">M388</f>
        <v>0</v>
      </c>
      <c r="R388" s="213">
        <f t="shared" si="128"/>
        <v>2063</v>
      </c>
    </row>
    <row r="389" spans="2:18" ht="15.75" x14ac:dyDescent="0.25">
      <c r="B389" s="171">
        <f t="shared" si="122"/>
        <v>30</v>
      </c>
      <c r="C389" s="23">
        <v>3</v>
      </c>
      <c r="D389" s="127" t="s">
        <v>141</v>
      </c>
      <c r="E389" s="24"/>
      <c r="F389" s="24"/>
      <c r="G389" s="193"/>
      <c r="H389" s="411">
        <f>H390</f>
        <v>5000</v>
      </c>
      <c r="I389" s="413">
        <f>I390</f>
        <v>0</v>
      </c>
      <c r="J389" s="413">
        <f t="shared" si="119"/>
        <v>5000</v>
      </c>
      <c r="K389" s="88"/>
      <c r="L389" s="397">
        <f>L390+L391</f>
        <v>26080</v>
      </c>
      <c r="M389" s="381">
        <f>M390+M391</f>
        <v>0</v>
      </c>
      <c r="N389" s="381">
        <f>M389+L389</f>
        <v>26080</v>
      </c>
      <c r="O389" s="88"/>
      <c r="P389" s="390">
        <f t="shared" ref="P389:P401" si="129">H389+L389</f>
        <v>31080</v>
      </c>
      <c r="Q389" s="390">
        <f t="shared" ref="Q389:R401" si="130">I389+M389</f>
        <v>0</v>
      </c>
      <c r="R389" s="390">
        <f t="shared" si="130"/>
        <v>31080</v>
      </c>
    </row>
    <row r="390" spans="2:18" x14ac:dyDescent="0.2">
      <c r="B390" s="171">
        <f t="shared" si="122"/>
        <v>31</v>
      </c>
      <c r="C390" s="130"/>
      <c r="D390" s="130"/>
      <c r="E390" s="134" t="s">
        <v>241</v>
      </c>
      <c r="F390" s="134">
        <v>635</v>
      </c>
      <c r="G390" s="194" t="s">
        <v>535</v>
      </c>
      <c r="H390" s="526">
        <v>5000</v>
      </c>
      <c r="I390" s="526"/>
      <c r="J390" s="526">
        <f t="shared" si="119"/>
        <v>5000</v>
      </c>
      <c r="K390" s="132"/>
      <c r="L390" s="526"/>
      <c r="M390" s="526"/>
      <c r="N390" s="526"/>
      <c r="O390" s="132"/>
      <c r="P390" s="168">
        <f t="shared" si="129"/>
        <v>5000</v>
      </c>
      <c r="Q390" s="168">
        <f t="shared" si="130"/>
        <v>0</v>
      </c>
      <c r="R390" s="168">
        <f t="shared" si="130"/>
        <v>5000</v>
      </c>
    </row>
    <row r="391" spans="2:18" x14ac:dyDescent="0.2">
      <c r="B391" s="171">
        <f t="shared" si="122"/>
        <v>32</v>
      </c>
      <c r="C391" s="130"/>
      <c r="D391" s="159"/>
      <c r="E391" s="134" t="s">
        <v>241</v>
      </c>
      <c r="F391" s="524">
        <v>713</v>
      </c>
      <c r="G391" s="770" t="s">
        <v>830</v>
      </c>
      <c r="H391" s="526"/>
      <c r="I391" s="526"/>
      <c r="J391" s="526">
        <f t="shared" si="119"/>
        <v>0</v>
      </c>
      <c r="K391" s="132"/>
      <c r="L391" s="526">
        <f>5000+15000+6080</f>
        <v>26080</v>
      </c>
      <c r="M391" s="526"/>
      <c r="N391" s="526">
        <f>M391+L391</f>
        <v>26080</v>
      </c>
      <c r="O391" s="132"/>
      <c r="P391" s="213">
        <f t="shared" si="129"/>
        <v>26080</v>
      </c>
      <c r="Q391" s="213">
        <f t="shared" si="130"/>
        <v>0</v>
      </c>
      <c r="R391" s="213">
        <f t="shared" si="130"/>
        <v>26080</v>
      </c>
    </row>
    <row r="392" spans="2:18" ht="15.75" x14ac:dyDescent="0.25">
      <c r="B392" s="171">
        <f t="shared" si="122"/>
        <v>33</v>
      </c>
      <c r="C392" s="23">
        <v>4</v>
      </c>
      <c r="D392" s="127" t="s">
        <v>473</v>
      </c>
      <c r="E392" s="24"/>
      <c r="F392" s="24"/>
      <c r="G392" s="193"/>
      <c r="H392" s="411">
        <f>H393</f>
        <v>7000</v>
      </c>
      <c r="I392" s="413">
        <f>I393</f>
        <v>0</v>
      </c>
      <c r="J392" s="413">
        <f t="shared" si="119"/>
        <v>7000</v>
      </c>
      <c r="K392" s="88"/>
      <c r="L392" s="397">
        <f>L393</f>
        <v>0</v>
      </c>
      <c r="M392" s="381">
        <f>M393</f>
        <v>0</v>
      </c>
      <c r="N392" s="381">
        <f>M392+L392</f>
        <v>0</v>
      </c>
      <c r="O392" s="88"/>
      <c r="P392" s="390">
        <f t="shared" si="129"/>
        <v>7000</v>
      </c>
      <c r="Q392" s="390">
        <f t="shared" si="130"/>
        <v>0</v>
      </c>
      <c r="R392" s="390">
        <f t="shared" si="130"/>
        <v>7000</v>
      </c>
    </row>
    <row r="393" spans="2:18" x14ac:dyDescent="0.2">
      <c r="B393" s="171">
        <f t="shared" si="122"/>
        <v>34</v>
      </c>
      <c r="C393" s="135"/>
      <c r="D393" s="135"/>
      <c r="E393" s="524" t="s">
        <v>277</v>
      </c>
      <c r="F393" s="524">
        <v>637</v>
      </c>
      <c r="G393" s="202" t="s">
        <v>278</v>
      </c>
      <c r="H393" s="526">
        <v>7000</v>
      </c>
      <c r="I393" s="526"/>
      <c r="J393" s="526">
        <f t="shared" si="119"/>
        <v>7000</v>
      </c>
      <c r="K393" s="132"/>
      <c r="L393" s="526"/>
      <c r="M393" s="526"/>
      <c r="N393" s="526"/>
      <c r="O393" s="132"/>
      <c r="P393" s="168">
        <f t="shared" si="129"/>
        <v>7000</v>
      </c>
      <c r="Q393" s="168">
        <f t="shared" si="130"/>
        <v>0</v>
      </c>
      <c r="R393" s="168">
        <f t="shared" si="130"/>
        <v>7000</v>
      </c>
    </row>
    <row r="394" spans="2:18" ht="15.75" x14ac:dyDescent="0.25">
      <c r="B394" s="171">
        <f t="shared" si="122"/>
        <v>35</v>
      </c>
      <c r="C394" s="23">
        <v>5</v>
      </c>
      <c r="D394" s="127" t="s">
        <v>97</v>
      </c>
      <c r="E394" s="24"/>
      <c r="F394" s="24"/>
      <c r="G394" s="193"/>
      <c r="H394" s="411">
        <f>SUM(H395:H401)</f>
        <v>21500</v>
      </c>
      <c r="I394" s="413">
        <f>SUM(I395:I401)</f>
        <v>0</v>
      </c>
      <c r="J394" s="413">
        <f t="shared" si="119"/>
        <v>21500</v>
      </c>
      <c r="K394" s="88"/>
      <c r="L394" s="397">
        <v>0</v>
      </c>
      <c r="M394" s="381">
        <v>0</v>
      </c>
      <c r="N394" s="381">
        <f>M394+L394</f>
        <v>0</v>
      </c>
      <c r="O394" s="88"/>
      <c r="P394" s="390">
        <f t="shared" si="129"/>
        <v>21500</v>
      </c>
      <c r="Q394" s="390">
        <f t="shared" si="130"/>
        <v>0</v>
      </c>
      <c r="R394" s="390">
        <f t="shared" si="130"/>
        <v>21500</v>
      </c>
    </row>
    <row r="395" spans="2:18" x14ac:dyDescent="0.2">
      <c r="B395" s="171">
        <f t="shared" si="122"/>
        <v>36</v>
      </c>
      <c r="C395" s="130"/>
      <c r="D395" s="130"/>
      <c r="E395" s="524" t="s">
        <v>273</v>
      </c>
      <c r="F395" s="524">
        <v>640</v>
      </c>
      <c r="G395" s="202" t="s">
        <v>740</v>
      </c>
      <c r="H395" s="526">
        <v>5000</v>
      </c>
      <c r="I395" s="526"/>
      <c r="J395" s="526">
        <f t="shared" si="119"/>
        <v>5000</v>
      </c>
      <c r="K395" s="132"/>
      <c r="L395" s="526"/>
      <c r="M395" s="526"/>
      <c r="N395" s="526"/>
      <c r="O395" s="132"/>
      <c r="P395" s="168">
        <f t="shared" si="129"/>
        <v>5000</v>
      </c>
      <c r="Q395" s="168">
        <f t="shared" si="130"/>
        <v>0</v>
      </c>
      <c r="R395" s="168">
        <f t="shared" si="130"/>
        <v>5000</v>
      </c>
    </row>
    <row r="396" spans="2:18" x14ac:dyDescent="0.2">
      <c r="B396" s="171">
        <f t="shared" si="122"/>
        <v>37</v>
      </c>
      <c r="C396" s="130"/>
      <c r="D396" s="130"/>
      <c r="E396" s="524" t="s">
        <v>273</v>
      </c>
      <c r="F396" s="524">
        <v>640</v>
      </c>
      <c r="G396" s="202" t="s">
        <v>741</v>
      </c>
      <c r="H396" s="526">
        <v>4000</v>
      </c>
      <c r="I396" s="526"/>
      <c r="J396" s="526">
        <f t="shared" si="119"/>
        <v>4000</v>
      </c>
      <c r="K396" s="132"/>
      <c r="L396" s="526"/>
      <c r="M396" s="526"/>
      <c r="N396" s="526"/>
      <c r="O396" s="132"/>
      <c r="P396" s="168">
        <f t="shared" si="129"/>
        <v>4000</v>
      </c>
      <c r="Q396" s="168">
        <f t="shared" si="130"/>
        <v>0</v>
      </c>
      <c r="R396" s="168">
        <f t="shared" si="130"/>
        <v>4000</v>
      </c>
    </row>
    <row r="397" spans="2:18" x14ac:dyDescent="0.2">
      <c r="B397" s="171">
        <f t="shared" si="122"/>
        <v>38</v>
      </c>
      <c r="C397" s="130"/>
      <c r="D397" s="130"/>
      <c r="E397" s="524" t="s">
        <v>273</v>
      </c>
      <c r="F397" s="524">
        <v>640</v>
      </c>
      <c r="G397" s="202" t="s">
        <v>742</v>
      </c>
      <c r="H397" s="526">
        <v>1000</v>
      </c>
      <c r="I397" s="526"/>
      <c r="J397" s="526">
        <f t="shared" si="119"/>
        <v>1000</v>
      </c>
      <c r="K397" s="132"/>
      <c r="L397" s="526"/>
      <c r="M397" s="526"/>
      <c r="N397" s="526"/>
      <c r="O397" s="132"/>
      <c r="P397" s="168">
        <f t="shared" si="129"/>
        <v>1000</v>
      </c>
      <c r="Q397" s="168">
        <f t="shared" si="130"/>
        <v>0</v>
      </c>
      <c r="R397" s="168">
        <f t="shared" si="130"/>
        <v>1000</v>
      </c>
    </row>
    <row r="398" spans="2:18" x14ac:dyDescent="0.2">
      <c r="B398" s="171">
        <f t="shared" si="122"/>
        <v>39</v>
      </c>
      <c r="C398" s="130"/>
      <c r="D398" s="130"/>
      <c r="E398" s="524" t="s">
        <v>273</v>
      </c>
      <c r="F398" s="134">
        <v>620</v>
      </c>
      <c r="G398" s="194" t="s">
        <v>259</v>
      </c>
      <c r="H398" s="526">
        <v>1200</v>
      </c>
      <c r="I398" s="526"/>
      <c r="J398" s="526">
        <f t="shared" si="119"/>
        <v>1200</v>
      </c>
      <c r="K398" s="132"/>
      <c r="L398" s="526"/>
      <c r="M398" s="526"/>
      <c r="N398" s="526"/>
      <c r="O398" s="132"/>
      <c r="P398" s="168">
        <f t="shared" si="129"/>
        <v>1200</v>
      </c>
      <c r="Q398" s="168">
        <f t="shared" si="130"/>
        <v>0</v>
      </c>
      <c r="R398" s="168">
        <f t="shared" si="130"/>
        <v>1200</v>
      </c>
    </row>
    <row r="399" spans="2:18" x14ac:dyDescent="0.2">
      <c r="B399" s="171">
        <f t="shared" si="122"/>
        <v>40</v>
      </c>
      <c r="C399" s="130"/>
      <c r="D399" s="130"/>
      <c r="E399" s="524" t="s">
        <v>273</v>
      </c>
      <c r="F399" s="134">
        <v>634</v>
      </c>
      <c r="G399" s="194" t="s">
        <v>303</v>
      </c>
      <c r="H399" s="526">
        <v>500</v>
      </c>
      <c r="I399" s="526"/>
      <c r="J399" s="526">
        <f t="shared" si="119"/>
        <v>500</v>
      </c>
      <c r="K399" s="132"/>
      <c r="L399" s="526"/>
      <c r="M399" s="526"/>
      <c r="N399" s="526"/>
      <c r="O399" s="132"/>
      <c r="P399" s="168">
        <f t="shared" si="129"/>
        <v>500</v>
      </c>
      <c r="Q399" s="168">
        <f t="shared" si="130"/>
        <v>0</v>
      </c>
      <c r="R399" s="168">
        <f t="shared" si="130"/>
        <v>500</v>
      </c>
    </row>
    <row r="400" spans="2:18" x14ac:dyDescent="0.2">
      <c r="B400" s="171">
        <f t="shared" si="122"/>
        <v>41</v>
      </c>
      <c r="C400" s="130"/>
      <c r="D400" s="130"/>
      <c r="E400" s="524" t="s">
        <v>273</v>
      </c>
      <c r="F400" s="134">
        <v>637</v>
      </c>
      <c r="G400" s="194" t="s">
        <v>422</v>
      </c>
      <c r="H400" s="526">
        <v>8000</v>
      </c>
      <c r="I400" s="526"/>
      <c r="J400" s="526">
        <f t="shared" si="119"/>
        <v>8000</v>
      </c>
      <c r="K400" s="132"/>
      <c r="L400" s="526"/>
      <c r="M400" s="526"/>
      <c r="N400" s="526"/>
      <c r="O400" s="132"/>
      <c r="P400" s="168">
        <f t="shared" si="129"/>
        <v>8000</v>
      </c>
      <c r="Q400" s="168">
        <f t="shared" si="130"/>
        <v>0</v>
      </c>
      <c r="R400" s="168">
        <f t="shared" si="130"/>
        <v>8000</v>
      </c>
    </row>
    <row r="401" spans="2:18" ht="13.5" thickBot="1" x14ac:dyDescent="0.25">
      <c r="B401" s="207">
        <f t="shared" si="122"/>
        <v>42</v>
      </c>
      <c r="C401" s="139"/>
      <c r="D401" s="139"/>
      <c r="E401" s="211" t="s">
        <v>273</v>
      </c>
      <c r="F401" s="140">
        <v>637</v>
      </c>
      <c r="G401" s="200" t="s">
        <v>303</v>
      </c>
      <c r="H401" s="385">
        <v>1800</v>
      </c>
      <c r="I401" s="385"/>
      <c r="J401" s="385">
        <f t="shared" si="119"/>
        <v>1800</v>
      </c>
      <c r="K401" s="141"/>
      <c r="L401" s="385"/>
      <c r="M401" s="385"/>
      <c r="N401" s="385"/>
      <c r="O401" s="141"/>
      <c r="P401" s="214">
        <f t="shared" si="129"/>
        <v>1800</v>
      </c>
      <c r="Q401" s="214">
        <f t="shared" si="130"/>
        <v>0</v>
      </c>
      <c r="R401" s="214">
        <f t="shared" si="130"/>
        <v>1800</v>
      </c>
    </row>
    <row r="411" spans="2:18" ht="27.75" thickBot="1" x14ac:dyDescent="0.4">
      <c r="B411" s="246" t="s">
        <v>221</v>
      </c>
      <c r="C411" s="246"/>
      <c r="D411" s="246"/>
      <c r="E411" s="246"/>
      <c r="F411" s="246"/>
      <c r="G411" s="246"/>
      <c r="H411" s="453"/>
      <c r="I411" s="453"/>
      <c r="J411" s="453"/>
      <c r="K411" s="246"/>
      <c r="L411" s="246"/>
      <c r="M411" s="246"/>
      <c r="N411" s="246"/>
      <c r="O411" s="246"/>
      <c r="P411" s="246"/>
      <c r="Q411" s="246"/>
      <c r="R411" s="246"/>
    </row>
    <row r="412" spans="2:18" ht="13.5" customHeight="1" thickBot="1" x14ac:dyDescent="0.25">
      <c r="B412" s="913" t="s">
        <v>631</v>
      </c>
      <c r="C412" s="914"/>
      <c r="D412" s="914"/>
      <c r="E412" s="914"/>
      <c r="F412" s="914"/>
      <c r="G412" s="914"/>
      <c r="H412" s="914"/>
      <c r="I412" s="914"/>
      <c r="J412" s="914"/>
      <c r="K412" s="914"/>
      <c r="L412" s="914"/>
      <c r="M412" s="914"/>
      <c r="N412" s="915"/>
      <c r="O412" s="120"/>
      <c r="P412" s="903" t="s">
        <v>721</v>
      </c>
      <c r="Q412" s="903" t="s">
        <v>860</v>
      </c>
      <c r="R412" s="903" t="s">
        <v>721</v>
      </c>
    </row>
    <row r="413" spans="2:18" ht="20.25" customHeight="1" thickTop="1" x14ac:dyDescent="0.2">
      <c r="B413" s="505"/>
      <c r="C413" s="906" t="s">
        <v>477</v>
      </c>
      <c r="D413" s="906" t="s">
        <v>476</v>
      </c>
      <c r="E413" s="906" t="s">
        <v>474</v>
      </c>
      <c r="F413" s="906" t="s">
        <v>475</v>
      </c>
      <c r="G413" s="507" t="s">
        <v>3</v>
      </c>
      <c r="H413" s="908" t="s">
        <v>722</v>
      </c>
      <c r="I413" s="912" t="s">
        <v>860</v>
      </c>
      <c r="J413" s="912" t="s">
        <v>722</v>
      </c>
      <c r="L413" s="910" t="s">
        <v>723</v>
      </c>
      <c r="M413" s="910" t="s">
        <v>860</v>
      </c>
      <c r="N413" s="910" t="s">
        <v>723</v>
      </c>
      <c r="P413" s="904"/>
      <c r="Q413" s="904"/>
      <c r="R413" s="904"/>
    </row>
    <row r="414" spans="2:18" ht="38.25" customHeight="1" thickBot="1" x14ac:dyDescent="0.25">
      <c r="B414" s="509"/>
      <c r="C414" s="907"/>
      <c r="D414" s="907"/>
      <c r="E414" s="907"/>
      <c r="F414" s="907"/>
      <c r="G414" s="508"/>
      <c r="H414" s="909"/>
      <c r="I414" s="909"/>
      <c r="J414" s="909"/>
      <c r="L414" s="911"/>
      <c r="M414" s="911"/>
      <c r="N414" s="911"/>
      <c r="P414" s="905"/>
      <c r="Q414" s="905"/>
      <c r="R414" s="905"/>
    </row>
    <row r="415" spans="2:18" ht="19.5" thickTop="1" thickBot="1" x14ac:dyDescent="0.25">
      <c r="B415" s="136">
        <v>1</v>
      </c>
      <c r="C415" s="125" t="s">
        <v>222</v>
      </c>
      <c r="D415" s="111"/>
      <c r="E415" s="111"/>
      <c r="F415" s="111"/>
      <c r="G415" s="111"/>
      <c r="H415" s="409">
        <f>H416+H420+H436</f>
        <v>3369096</v>
      </c>
      <c r="I415" s="409">
        <f>I416+I420+I436</f>
        <v>0</v>
      </c>
      <c r="J415" s="409">
        <f t="shared" ref="J415:J432" si="131">I415+H415</f>
        <v>3369096</v>
      </c>
      <c r="K415" s="113"/>
      <c r="L415" s="405">
        <f>L416+L420+L436</f>
        <v>1314301</v>
      </c>
      <c r="M415" s="405">
        <f>M416+M420+M436</f>
        <v>0</v>
      </c>
      <c r="N415" s="405">
        <f>M415+L415</f>
        <v>1314301</v>
      </c>
      <c r="O415" s="113"/>
      <c r="P415" s="392">
        <f t="shared" ref="P415:P423" si="132">H415+L415</f>
        <v>4683397</v>
      </c>
      <c r="Q415" s="392">
        <f t="shared" ref="Q415:R423" si="133">I415+M415</f>
        <v>0</v>
      </c>
      <c r="R415" s="392">
        <f t="shared" si="133"/>
        <v>4683397</v>
      </c>
    </row>
    <row r="416" spans="2:18" ht="16.5" thickTop="1" x14ac:dyDescent="0.25">
      <c r="B416" s="136">
        <f>B415+1</f>
        <v>2</v>
      </c>
      <c r="C416" s="23">
        <v>1</v>
      </c>
      <c r="D416" s="127" t="s">
        <v>161</v>
      </c>
      <c r="E416" s="24"/>
      <c r="F416" s="24"/>
      <c r="G416" s="352"/>
      <c r="H416" s="410">
        <f>H417+H418+H419</f>
        <v>2606146</v>
      </c>
      <c r="I416" s="423">
        <f>I417+I418+I419</f>
        <v>0</v>
      </c>
      <c r="J416" s="423">
        <f t="shared" si="131"/>
        <v>2606146</v>
      </c>
      <c r="K416" s="88"/>
      <c r="L416" s="393"/>
      <c r="M416" s="393"/>
      <c r="N416" s="393"/>
      <c r="O416" s="88"/>
      <c r="P416" s="373">
        <f t="shared" si="132"/>
        <v>2606146</v>
      </c>
      <c r="Q416" s="373">
        <f t="shared" si="133"/>
        <v>0</v>
      </c>
      <c r="R416" s="373">
        <f t="shared" si="133"/>
        <v>2606146</v>
      </c>
    </row>
    <row r="417" spans="2:18" x14ac:dyDescent="0.2">
      <c r="B417" s="136">
        <f t="shared" ref="B417:B483" si="134">B416+1</f>
        <v>3</v>
      </c>
      <c r="C417" s="130"/>
      <c r="D417" s="131"/>
      <c r="E417" s="131" t="s">
        <v>235</v>
      </c>
      <c r="F417" s="131" t="s">
        <v>216</v>
      </c>
      <c r="G417" s="353" t="s">
        <v>642</v>
      </c>
      <c r="H417" s="526">
        <f>460000-4600-4000-4900-43600-40751-8500-8000-20603</f>
        <v>325046</v>
      </c>
      <c r="I417" s="526"/>
      <c r="J417" s="526">
        <f t="shared" si="131"/>
        <v>325046</v>
      </c>
      <c r="K417" s="132"/>
      <c r="L417" s="527"/>
      <c r="M417" s="527"/>
      <c r="N417" s="527"/>
      <c r="O417" s="132"/>
      <c r="P417" s="137">
        <f t="shared" si="132"/>
        <v>325046</v>
      </c>
      <c r="Q417" s="137">
        <f t="shared" si="133"/>
        <v>0</v>
      </c>
      <c r="R417" s="137">
        <f t="shared" si="133"/>
        <v>325046</v>
      </c>
    </row>
    <row r="418" spans="2:18" x14ac:dyDescent="0.2">
      <c r="B418" s="136">
        <f t="shared" si="134"/>
        <v>4</v>
      </c>
      <c r="C418" s="130"/>
      <c r="D418" s="131"/>
      <c r="E418" s="131" t="s">
        <v>235</v>
      </c>
      <c r="F418" s="131" t="s">
        <v>216</v>
      </c>
      <c r="G418" s="353" t="s">
        <v>643</v>
      </c>
      <c r="H418" s="526">
        <f>2100000+186100-2000-27000</f>
        <v>2257100</v>
      </c>
      <c r="I418" s="526"/>
      <c r="J418" s="526">
        <f t="shared" si="131"/>
        <v>2257100</v>
      </c>
      <c r="K418" s="132"/>
      <c r="L418" s="527"/>
      <c r="M418" s="527"/>
      <c r="N418" s="527"/>
      <c r="O418" s="132"/>
      <c r="P418" s="137">
        <f t="shared" si="132"/>
        <v>2257100</v>
      </c>
      <c r="Q418" s="137">
        <f t="shared" si="133"/>
        <v>0</v>
      </c>
      <c r="R418" s="137">
        <f t="shared" si="133"/>
        <v>2257100</v>
      </c>
    </row>
    <row r="419" spans="2:18" x14ac:dyDescent="0.2">
      <c r="B419" s="136">
        <f t="shared" si="134"/>
        <v>5</v>
      </c>
      <c r="C419" s="130"/>
      <c r="D419" s="178"/>
      <c r="E419" s="131" t="s">
        <v>235</v>
      </c>
      <c r="F419" s="131" t="s">
        <v>216</v>
      </c>
      <c r="G419" s="353" t="s">
        <v>698</v>
      </c>
      <c r="H419" s="526">
        <f>10000+14000</f>
        <v>24000</v>
      </c>
      <c r="I419" s="526"/>
      <c r="J419" s="526">
        <f t="shared" si="131"/>
        <v>24000</v>
      </c>
      <c r="K419" s="132"/>
      <c r="L419" s="527"/>
      <c r="M419" s="527"/>
      <c r="N419" s="527"/>
      <c r="O419" s="132"/>
      <c r="P419" s="137">
        <f t="shared" si="132"/>
        <v>24000</v>
      </c>
      <c r="Q419" s="137">
        <f t="shared" si="133"/>
        <v>0</v>
      </c>
      <c r="R419" s="137">
        <f t="shared" si="133"/>
        <v>24000</v>
      </c>
    </row>
    <row r="420" spans="2:18" ht="15.75" x14ac:dyDescent="0.25">
      <c r="B420" s="136">
        <f t="shared" si="134"/>
        <v>6</v>
      </c>
      <c r="C420" s="21">
        <v>2</v>
      </c>
      <c r="D420" s="126" t="s">
        <v>219</v>
      </c>
      <c r="E420" s="22"/>
      <c r="F420" s="22"/>
      <c r="G420" s="354"/>
      <c r="H420" s="411">
        <f>H421+H422+H423+H424+H425</f>
        <v>762950</v>
      </c>
      <c r="I420" s="413">
        <f>I425</f>
        <v>0</v>
      </c>
      <c r="J420" s="413">
        <f t="shared" si="131"/>
        <v>762950</v>
      </c>
      <c r="K420" s="112"/>
      <c r="L420" s="381">
        <f>L434+L435</f>
        <v>85920</v>
      </c>
      <c r="M420" s="381">
        <f>SUM(M421:M435)</f>
        <v>0</v>
      </c>
      <c r="N420" s="381">
        <f>M420+L420</f>
        <v>85920</v>
      </c>
      <c r="O420" s="112"/>
      <c r="P420" s="374">
        <f t="shared" si="132"/>
        <v>848870</v>
      </c>
      <c r="Q420" s="374">
        <f t="shared" si="133"/>
        <v>0</v>
      </c>
      <c r="R420" s="374">
        <f t="shared" si="133"/>
        <v>848870</v>
      </c>
    </row>
    <row r="421" spans="2:18" x14ac:dyDescent="0.2">
      <c r="B421" s="136">
        <f t="shared" si="134"/>
        <v>7</v>
      </c>
      <c r="C421" s="130"/>
      <c r="D421" s="130"/>
      <c r="E421" s="134" t="s">
        <v>235</v>
      </c>
      <c r="F421" s="134">
        <v>635</v>
      </c>
      <c r="G421" s="353" t="s">
        <v>838</v>
      </c>
      <c r="H421" s="526">
        <f>630000-50000+40000+9000</f>
        <v>629000</v>
      </c>
      <c r="I421" s="526"/>
      <c r="J421" s="526">
        <f t="shared" si="131"/>
        <v>629000</v>
      </c>
      <c r="K421" s="132"/>
      <c r="L421" s="526"/>
      <c r="M421" s="526"/>
      <c r="N421" s="526"/>
      <c r="O421" s="132"/>
      <c r="P421" s="528">
        <f t="shared" si="132"/>
        <v>629000</v>
      </c>
      <c r="Q421" s="528">
        <f t="shared" si="133"/>
        <v>0</v>
      </c>
      <c r="R421" s="528">
        <f t="shared" si="133"/>
        <v>629000</v>
      </c>
    </row>
    <row r="422" spans="2:18" x14ac:dyDescent="0.2">
      <c r="B422" s="136">
        <f t="shared" si="134"/>
        <v>8</v>
      </c>
      <c r="C422" s="130"/>
      <c r="D422" s="130"/>
      <c r="E422" s="134" t="s">
        <v>235</v>
      </c>
      <c r="F422" s="134">
        <v>635</v>
      </c>
      <c r="G422" s="353" t="s">
        <v>446</v>
      </c>
      <c r="H422" s="526">
        <f>70000-4000</f>
        <v>66000</v>
      </c>
      <c r="I422" s="526"/>
      <c r="J422" s="526">
        <f t="shared" si="131"/>
        <v>66000</v>
      </c>
      <c r="K422" s="132"/>
      <c r="L422" s="526"/>
      <c r="M422" s="526"/>
      <c r="N422" s="526"/>
      <c r="O422" s="132"/>
      <c r="P422" s="528">
        <f t="shared" si="132"/>
        <v>66000</v>
      </c>
      <c r="Q422" s="528">
        <f t="shared" si="133"/>
        <v>0</v>
      </c>
      <c r="R422" s="528">
        <f t="shared" si="133"/>
        <v>66000</v>
      </c>
    </row>
    <row r="423" spans="2:18" x14ac:dyDescent="0.2">
      <c r="B423" s="136">
        <f t="shared" si="134"/>
        <v>9</v>
      </c>
      <c r="C423" s="130"/>
      <c r="D423" s="130"/>
      <c r="E423" s="134" t="s">
        <v>235</v>
      </c>
      <c r="F423" s="134">
        <v>637</v>
      </c>
      <c r="G423" s="353" t="s">
        <v>603</v>
      </c>
      <c r="H423" s="526">
        <v>2000</v>
      </c>
      <c r="I423" s="526"/>
      <c r="J423" s="526">
        <f t="shared" si="131"/>
        <v>2000</v>
      </c>
      <c r="K423" s="132"/>
      <c r="L423" s="526"/>
      <c r="M423" s="526"/>
      <c r="N423" s="526"/>
      <c r="O423" s="132"/>
      <c r="P423" s="528">
        <f t="shared" si="132"/>
        <v>2000</v>
      </c>
      <c r="Q423" s="528">
        <f t="shared" si="133"/>
        <v>0</v>
      </c>
      <c r="R423" s="528">
        <f t="shared" si="133"/>
        <v>2000</v>
      </c>
    </row>
    <row r="424" spans="2:18" x14ac:dyDescent="0.2">
      <c r="B424" s="136">
        <f t="shared" si="134"/>
        <v>10</v>
      </c>
      <c r="C424" s="130"/>
      <c r="D424" s="159"/>
      <c r="E424" s="134" t="s">
        <v>235</v>
      </c>
      <c r="F424" s="747">
        <v>635</v>
      </c>
      <c r="G424" s="748" t="s">
        <v>800</v>
      </c>
      <c r="H424" s="749">
        <f>7500+4500</f>
        <v>12000</v>
      </c>
      <c r="I424" s="749"/>
      <c r="J424" s="749">
        <f t="shared" si="131"/>
        <v>12000</v>
      </c>
      <c r="K424" s="722"/>
      <c r="L424" s="750"/>
      <c r="M424" s="750"/>
      <c r="N424" s="750"/>
      <c r="O424" s="722"/>
      <c r="P424" s="751">
        <f>L424+H424</f>
        <v>12000</v>
      </c>
      <c r="Q424" s="751">
        <f t="shared" ref="Q424:R424" si="135">M424+I424</f>
        <v>0</v>
      </c>
      <c r="R424" s="751">
        <f t="shared" si="135"/>
        <v>12000</v>
      </c>
    </row>
    <row r="425" spans="2:18" x14ac:dyDescent="0.2">
      <c r="B425" s="136">
        <f t="shared" si="134"/>
        <v>11</v>
      </c>
      <c r="C425" s="130"/>
      <c r="D425" s="159"/>
      <c r="E425" s="134" t="s">
        <v>235</v>
      </c>
      <c r="F425" s="156"/>
      <c r="G425" s="224" t="s">
        <v>659</v>
      </c>
      <c r="H425" s="394">
        <f>H426+H427+H428</f>
        <v>53950</v>
      </c>
      <c r="I425" s="394">
        <f>I426+I427+I428</f>
        <v>0</v>
      </c>
      <c r="J425" s="394">
        <f t="shared" si="131"/>
        <v>53950</v>
      </c>
      <c r="K425" s="132"/>
      <c r="L425" s="382"/>
      <c r="M425" s="382"/>
      <c r="N425" s="382"/>
      <c r="O425" s="132"/>
      <c r="P425" s="483">
        <f t="shared" ref="P425:P432" si="136">H425+L425</f>
        <v>53950</v>
      </c>
      <c r="Q425" s="483">
        <f t="shared" ref="Q425:R432" si="137">I425+M425</f>
        <v>0</v>
      </c>
      <c r="R425" s="483">
        <f t="shared" si="137"/>
        <v>53950</v>
      </c>
    </row>
    <row r="426" spans="2:18" x14ac:dyDescent="0.2">
      <c r="B426" s="136">
        <f t="shared" si="134"/>
        <v>12</v>
      </c>
      <c r="C426" s="130"/>
      <c r="D426" s="159"/>
      <c r="E426" s="134"/>
      <c r="F426" s="154">
        <v>610</v>
      </c>
      <c r="G426" s="199" t="s">
        <v>257</v>
      </c>
      <c r="H426" s="388">
        <f>14200-3000</f>
        <v>11200</v>
      </c>
      <c r="I426" s="388"/>
      <c r="J426" s="388">
        <f t="shared" si="131"/>
        <v>11200</v>
      </c>
      <c r="K426" s="132"/>
      <c r="L426" s="382"/>
      <c r="M426" s="382"/>
      <c r="N426" s="382"/>
      <c r="O426" s="132"/>
      <c r="P426" s="483">
        <f t="shared" si="136"/>
        <v>11200</v>
      </c>
      <c r="Q426" s="483">
        <f t="shared" si="137"/>
        <v>0</v>
      </c>
      <c r="R426" s="483">
        <f t="shared" si="137"/>
        <v>11200</v>
      </c>
    </row>
    <row r="427" spans="2:18" x14ac:dyDescent="0.2">
      <c r="B427" s="136">
        <f t="shared" si="134"/>
        <v>13</v>
      </c>
      <c r="C427" s="130"/>
      <c r="D427" s="159"/>
      <c r="E427" s="134"/>
      <c r="F427" s="154">
        <v>620</v>
      </c>
      <c r="G427" s="199" t="s">
        <v>259</v>
      </c>
      <c r="H427" s="388">
        <f>9900-1050</f>
        <v>8850</v>
      </c>
      <c r="I427" s="388"/>
      <c r="J427" s="388">
        <f t="shared" si="131"/>
        <v>8850</v>
      </c>
      <c r="K427" s="132"/>
      <c r="L427" s="382"/>
      <c r="M427" s="382"/>
      <c r="N427" s="382"/>
      <c r="O427" s="132"/>
      <c r="P427" s="483">
        <f t="shared" si="136"/>
        <v>8850</v>
      </c>
      <c r="Q427" s="483">
        <f t="shared" si="137"/>
        <v>0</v>
      </c>
      <c r="R427" s="483">
        <f t="shared" si="137"/>
        <v>8850</v>
      </c>
    </row>
    <row r="428" spans="2:18" x14ac:dyDescent="0.2">
      <c r="B428" s="136">
        <f t="shared" si="134"/>
        <v>14</v>
      </c>
      <c r="C428" s="130"/>
      <c r="D428" s="159"/>
      <c r="E428" s="134"/>
      <c r="F428" s="154">
        <v>630</v>
      </c>
      <c r="G428" s="199" t="s">
        <v>249</v>
      </c>
      <c r="H428" s="388">
        <f>SUM(H429:H432)</f>
        <v>33900</v>
      </c>
      <c r="I428" s="388">
        <f>SUM(I429:I432)</f>
        <v>0</v>
      </c>
      <c r="J428" s="388">
        <f t="shared" si="131"/>
        <v>33900</v>
      </c>
      <c r="K428" s="132"/>
      <c r="L428" s="382"/>
      <c r="M428" s="382"/>
      <c r="N428" s="382"/>
      <c r="O428" s="132"/>
      <c r="P428" s="483">
        <f t="shared" si="136"/>
        <v>33900</v>
      </c>
      <c r="Q428" s="483">
        <f t="shared" si="137"/>
        <v>0</v>
      </c>
      <c r="R428" s="483">
        <f t="shared" si="137"/>
        <v>33900</v>
      </c>
    </row>
    <row r="429" spans="2:18" x14ac:dyDescent="0.2">
      <c r="B429" s="136">
        <f t="shared" si="134"/>
        <v>15</v>
      </c>
      <c r="C429" s="130"/>
      <c r="D429" s="159"/>
      <c r="E429" s="134"/>
      <c r="F429" s="157">
        <v>633</v>
      </c>
      <c r="G429" s="194" t="s">
        <v>247</v>
      </c>
      <c r="H429" s="526">
        <v>12300</v>
      </c>
      <c r="I429" s="526"/>
      <c r="J429" s="526">
        <f t="shared" si="131"/>
        <v>12300</v>
      </c>
      <c r="K429" s="132"/>
      <c r="L429" s="382"/>
      <c r="M429" s="382"/>
      <c r="N429" s="382"/>
      <c r="O429" s="132"/>
      <c r="P429" s="160">
        <f t="shared" si="136"/>
        <v>12300</v>
      </c>
      <c r="Q429" s="160">
        <f t="shared" si="137"/>
        <v>0</v>
      </c>
      <c r="R429" s="160">
        <f t="shared" si="137"/>
        <v>12300</v>
      </c>
    </row>
    <row r="430" spans="2:18" x14ac:dyDescent="0.2">
      <c r="B430" s="136">
        <f t="shared" si="134"/>
        <v>16</v>
      </c>
      <c r="C430" s="130"/>
      <c r="D430" s="159"/>
      <c r="E430" s="134"/>
      <c r="F430" s="131" t="s">
        <v>201</v>
      </c>
      <c r="G430" s="194" t="s">
        <v>260</v>
      </c>
      <c r="H430" s="526">
        <v>7400</v>
      </c>
      <c r="I430" s="526"/>
      <c r="J430" s="526">
        <f t="shared" si="131"/>
        <v>7400</v>
      </c>
      <c r="K430" s="132"/>
      <c r="L430" s="382"/>
      <c r="M430" s="382"/>
      <c r="N430" s="382"/>
      <c r="O430" s="132"/>
      <c r="P430" s="160">
        <f t="shared" si="136"/>
        <v>7400</v>
      </c>
      <c r="Q430" s="160">
        <f t="shared" si="137"/>
        <v>0</v>
      </c>
      <c r="R430" s="160">
        <f t="shared" si="137"/>
        <v>7400</v>
      </c>
    </row>
    <row r="431" spans="2:18" x14ac:dyDescent="0.2">
      <c r="B431" s="136">
        <f t="shared" si="134"/>
        <v>17</v>
      </c>
      <c r="C431" s="130"/>
      <c r="D431" s="159"/>
      <c r="E431" s="134"/>
      <c r="F431" s="131" t="s">
        <v>214</v>
      </c>
      <c r="G431" s="194" t="s">
        <v>261</v>
      </c>
      <c r="H431" s="526">
        <v>330</v>
      </c>
      <c r="I431" s="526"/>
      <c r="J431" s="526">
        <f t="shared" si="131"/>
        <v>330</v>
      </c>
      <c r="K431" s="132"/>
      <c r="L431" s="382"/>
      <c r="M431" s="382"/>
      <c r="N431" s="526"/>
      <c r="O431" s="132"/>
      <c r="P431" s="160">
        <f t="shared" si="136"/>
        <v>330</v>
      </c>
      <c r="Q431" s="160">
        <f t="shared" si="137"/>
        <v>0</v>
      </c>
      <c r="R431" s="160">
        <f t="shared" si="137"/>
        <v>330</v>
      </c>
    </row>
    <row r="432" spans="2:18" x14ac:dyDescent="0.2">
      <c r="B432" s="136">
        <f t="shared" si="134"/>
        <v>18</v>
      </c>
      <c r="C432" s="130"/>
      <c r="D432" s="159"/>
      <c r="E432" s="134"/>
      <c r="F432" s="134">
        <v>637</v>
      </c>
      <c r="G432" s="194" t="s">
        <v>248</v>
      </c>
      <c r="H432" s="526">
        <f>15870-2000</f>
        <v>13870</v>
      </c>
      <c r="I432" s="526"/>
      <c r="J432" s="526">
        <f t="shared" si="131"/>
        <v>13870</v>
      </c>
      <c r="K432" s="132"/>
      <c r="L432" s="382"/>
      <c r="M432" s="382"/>
      <c r="N432" s="382"/>
      <c r="O432" s="132"/>
      <c r="P432" s="160">
        <f t="shared" si="136"/>
        <v>13870</v>
      </c>
      <c r="Q432" s="160">
        <f t="shared" si="137"/>
        <v>0</v>
      </c>
      <c r="R432" s="160">
        <f t="shared" si="137"/>
        <v>13870</v>
      </c>
    </row>
    <row r="433" spans="2:18" x14ac:dyDescent="0.2">
      <c r="B433" s="136">
        <f t="shared" si="134"/>
        <v>19</v>
      </c>
      <c r="C433" s="130"/>
      <c r="D433" s="159"/>
      <c r="E433" s="134"/>
      <c r="F433" s="134"/>
      <c r="G433" s="353"/>
      <c r="H433" s="526"/>
      <c r="I433" s="526"/>
      <c r="J433" s="526"/>
      <c r="K433" s="132"/>
      <c r="L433" s="382"/>
      <c r="M433" s="382"/>
      <c r="N433" s="382"/>
      <c r="O433" s="132"/>
      <c r="P433" s="160"/>
      <c r="Q433" s="160"/>
      <c r="R433" s="160"/>
    </row>
    <row r="434" spans="2:18" x14ac:dyDescent="0.2">
      <c r="B434" s="640">
        <f t="shared" si="134"/>
        <v>20</v>
      </c>
      <c r="C434" s="673"/>
      <c r="D434" s="159"/>
      <c r="E434" s="134"/>
      <c r="F434" s="134">
        <v>714</v>
      </c>
      <c r="G434" s="533" t="s">
        <v>683</v>
      </c>
      <c r="H434" s="526"/>
      <c r="I434" s="526"/>
      <c r="J434" s="526"/>
      <c r="K434" s="132"/>
      <c r="L434" s="482">
        <f>70000+5000</f>
        <v>75000</v>
      </c>
      <c r="M434" s="482"/>
      <c r="N434" s="482">
        <f t="shared" ref="N434:N436" si="138">M434+L434</f>
        <v>75000</v>
      </c>
      <c r="O434" s="132"/>
      <c r="P434" s="160">
        <f t="shared" ref="P434:P483" si="139">H434+L434</f>
        <v>75000</v>
      </c>
      <c r="Q434" s="160">
        <f t="shared" ref="Q434:R449" si="140">I434+M434</f>
        <v>0</v>
      </c>
      <c r="R434" s="160">
        <f t="shared" si="140"/>
        <v>75000</v>
      </c>
    </row>
    <row r="435" spans="2:18" x14ac:dyDescent="0.2">
      <c r="B435" s="640">
        <f t="shared" si="134"/>
        <v>21</v>
      </c>
      <c r="C435" s="673"/>
      <c r="D435" s="159"/>
      <c r="E435" s="134"/>
      <c r="F435" s="134">
        <v>714</v>
      </c>
      <c r="G435" s="533" t="s">
        <v>823</v>
      </c>
      <c r="H435" s="526"/>
      <c r="I435" s="526"/>
      <c r="J435" s="526"/>
      <c r="K435" s="132"/>
      <c r="L435" s="482">
        <f>12000-1080</f>
        <v>10920</v>
      </c>
      <c r="M435" s="482"/>
      <c r="N435" s="482">
        <f t="shared" si="138"/>
        <v>10920</v>
      </c>
      <c r="O435" s="132"/>
      <c r="P435" s="160">
        <f t="shared" si="139"/>
        <v>10920</v>
      </c>
      <c r="Q435" s="160">
        <f t="shared" si="140"/>
        <v>0</v>
      </c>
      <c r="R435" s="160">
        <f t="shared" si="140"/>
        <v>10920</v>
      </c>
    </row>
    <row r="436" spans="2:18" ht="15.75" x14ac:dyDescent="0.25">
      <c r="B436" s="640">
        <f t="shared" si="134"/>
        <v>22</v>
      </c>
      <c r="C436" s="23">
        <v>3</v>
      </c>
      <c r="D436" s="127" t="s">
        <v>220</v>
      </c>
      <c r="E436" s="24"/>
      <c r="F436" s="24"/>
      <c r="G436" s="352"/>
      <c r="H436" s="411"/>
      <c r="I436" s="413"/>
      <c r="J436" s="413"/>
      <c r="K436" s="88"/>
      <c r="L436" s="379">
        <f>SUM(L437:L483)</f>
        <v>1228381</v>
      </c>
      <c r="M436" s="379">
        <f>SUM(M437:M484)</f>
        <v>0</v>
      </c>
      <c r="N436" s="379">
        <f t="shared" si="138"/>
        <v>1228381</v>
      </c>
      <c r="O436" s="88"/>
      <c r="P436" s="373">
        <f t="shared" si="139"/>
        <v>1228381</v>
      </c>
      <c r="Q436" s="373">
        <f t="shared" si="140"/>
        <v>0</v>
      </c>
      <c r="R436" s="373">
        <f t="shared" si="140"/>
        <v>1228381</v>
      </c>
    </row>
    <row r="437" spans="2:18" x14ac:dyDescent="0.2">
      <c r="B437" s="640">
        <f t="shared" si="134"/>
        <v>23</v>
      </c>
      <c r="C437" s="130"/>
      <c r="D437" s="130"/>
      <c r="E437" s="134" t="s">
        <v>235</v>
      </c>
      <c r="F437" s="134">
        <v>717</v>
      </c>
      <c r="G437" s="353" t="s">
        <v>660</v>
      </c>
      <c r="H437" s="382"/>
      <c r="I437" s="382"/>
      <c r="J437" s="382"/>
      <c r="K437" s="132"/>
      <c r="L437" s="526">
        <f>60000+30000-35000</f>
        <v>55000</v>
      </c>
      <c r="M437" s="795"/>
      <c r="N437" s="526">
        <f>L437+M437</f>
        <v>55000</v>
      </c>
      <c r="O437" s="132"/>
      <c r="P437" s="528">
        <f t="shared" si="139"/>
        <v>55000</v>
      </c>
      <c r="Q437" s="528">
        <f t="shared" si="140"/>
        <v>0</v>
      </c>
      <c r="R437" s="528">
        <f t="shared" si="140"/>
        <v>55000</v>
      </c>
    </row>
    <row r="438" spans="2:18" x14ac:dyDescent="0.2">
      <c r="B438" s="640">
        <f t="shared" si="134"/>
        <v>24</v>
      </c>
      <c r="C438" s="130"/>
      <c r="D438" s="130"/>
      <c r="E438" s="134" t="s">
        <v>235</v>
      </c>
      <c r="F438" s="134">
        <v>717</v>
      </c>
      <c r="G438" s="600" t="s">
        <v>661</v>
      </c>
      <c r="H438" s="382"/>
      <c r="I438" s="382"/>
      <c r="J438" s="382"/>
      <c r="K438" s="132"/>
      <c r="L438" s="526">
        <v>2325</v>
      </c>
      <c r="M438" s="795"/>
      <c r="N438" s="526">
        <f t="shared" ref="N438:N452" si="141">L438+M438</f>
        <v>2325</v>
      </c>
      <c r="O438" s="132"/>
      <c r="P438" s="528">
        <f t="shared" si="139"/>
        <v>2325</v>
      </c>
      <c r="Q438" s="528">
        <f t="shared" si="140"/>
        <v>0</v>
      </c>
      <c r="R438" s="528">
        <f t="shared" si="140"/>
        <v>2325</v>
      </c>
    </row>
    <row r="439" spans="2:18" x14ac:dyDescent="0.2">
      <c r="B439" s="640">
        <f t="shared" si="134"/>
        <v>25</v>
      </c>
      <c r="C439" s="130"/>
      <c r="D439" s="130"/>
      <c r="E439" s="134" t="s">
        <v>235</v>
      </c>
      <c r="F439" s="134">
        <v>717</v>
      </c>
      <c r="G439" s="353" t="s">
        <v>644</v>
      </c>
      <c r="H439" s="382"/>
      <c r="I439" s="382"/>
      <c r="J439" s="382"/>
      <c r="K439" s="132"/>
      <c r="L439" s="526">
        <f>293000-2325</f>
        <v>290675</v>
      </c>
      <c r="M439" s="795"/>
      <c r="N439" s="526">
        <f t="shared" si="141"/>
        <v>290675</v>
      </c>
      <c r="O439" s="132"/>
      <c r="P439" s="528">
        <f t="shared" si="139"/>
        <v>290675</v>
      </c>
      <c r="Q439" s="528">
        <f t="shared" si="140"/>
        <v>0</v>
      </c>
      <c r="R439" s="528">
        <f t="shared" si="140"/>
        <v>290675</v>
      </c>
    </row>
    <row r="440" spans="2:18" x14ac:dyDescent="0.2">
      <c r="B440" s="640">
        <f t="shared" si="134"/>
        <v>26</v>
      </c>
      <c r="C440" s="130"/>
      <c r="D440" s="130"/>
      <c r="E440" s="134" t="s">
        <v>235</v>
      </c>
      <c r="F440" s="134">
        <v>716</v>
      </c>
      <c r="G440" s="353" t="s">
        <v>644</v>
      </c>
      <c r="H440" s="382"/>
      <c r="I440" s="382"/>
      <c r="J440" s="382"/>
      <c r="K440" s="132"/>
      <c r="L440" s="526">
        <v>7000</v>
      </c>
      <c r="M440" s="795"/>
      <c r="N440" s="526">
        <f t="shared" si="141"/>
        <v>7000</v>
      </c>
      <c r="O440" s="132"/>
      <c r="P440" s="528">
        <f t="shared" si="139"/>
        <v>7000</v>
      </c>
      <c r="Q440" s="528">
        <f t="shared" si="140"/>
        <v>0</v>
      </c>
      <c r="R440" s="528">
        <f t="shared" si="140"/>
        <v>7000</v>
      </c>
    </row>
    <row r="441" spans="2:18" x14ac:dyDescent="0.2">
      <c r="B441" s="640">
        <f t="shared" si="134"/>
        <v>27</v>
      </c>
      <c r="C441" s="130"/>
      <c r="D441" s="130"/>
      <c r="E441" s="134" t="s">
        <v>235</v>
      </c>
      <c r="F441" s="134">
        <v>716</v>
      </c>
      <c r="G441" s="353" t="s">
        <v>812</v>
      </c>
      <c r="H441" s="382"/>
      <c r="I441" s="382"/>
      <c r="J441" s="382"/>
      <c r="K441" s="132"/>
      <c r="L441" s="526">
        <v>480</v>
      </c>
      <c r="M441" s="795"/>
      <c r="N441" s="526">
        <f t="shared" si="141"/>
        <v>480</v>
      </c>
      <c r="O441" s="132"/>
      <c r="P441" s="528">
        <f t="shared" si="139"/>
        <v>480</v>
      </c>
      <c r="Q441" s="528">
        <f t="shared" si="140"/>
        <v>0</v>
      </c>
      <c r="R441" s="528">
        <f t="shared" si="140"/>
        <v>480</v>
      </c>
    </row>
    <row r="442" spans="2:18" x14ac:dyDescent="0.2">
      <c r="B442" s="640">
        <f t="shared" si="134"/>
        <v>28</v>
      </c>
      <c r="C442" s="130"/>
      <c r="D442" s="130"/>
      <c r="E442" s="134" t="s">
        <v>235</v>
      </c>
      <c r="F442" s="134">
        <v>717</v>
      </c>
      <c r="G442" s="353" t="s">
        <v>715</v>
      </c>
      <c r="H442" s="382"/>
      <c r="I442" s="382"/>
      <c r="J442" s="382"/>
      <c r="K442" s="132"/>
      <c r="L442" s="526">
        <f>62000+32323</f>
        <v>94323</v>
      </c>
      <c r="M442" s="795"/>
      <c r="N442" s="526">
        <f t="shared" si="141"/>
        <v>94323</v>
      </c>
      <c r="O442" s="132"/>
      <c r="P442" s="528">
        <f t="shared" si="139"/>
        <v>94323</v>
      </c>
      <c r="Q442" s="528">
        <f t="shared" si="140"/>
        <v>0</v>
      </c>
      <c r="R442" s="528">
        <f t="shared" si="140"/>
        <v>94323</v>
      </c>
    </row>
    <row r="443" spans="2:18" x14ac:dyDescent="0.2">
      <c r="B443" s="136">
        <f t="shared" si="134"/>
        <v>29</v>
      </c>
      <c r="C443" s="130"/>
      <c r="D443" s="130"/>
      <c r="E443" s="134" t="s">
        <v>235</v>
      </c>
      <c r="F443" s="134">
        <v>716</v>
      </c>
      <c r="G443" s="353" t="s">
        <v>700</v>
      </c>
      <c r="H443" s="382"/>
      <c r="I443" s="382"/>
      <c r="J443" s="382"/>
      <c r="K443" s="132"/>
      <c r="L443" s="526">
        <f>900+2000</f>
        <v>2900</v>
      </c>
      <c r="M443" s="795"/>
      <c r="N443" s="526">
        <f t="shared" si="141"/>
        <v>2900</v>
      </c>
      <c r="O443" s="132"/>
      <c r="P443" s="528">
        <f t="shared" si="139"/>
        <v>2900</v>
      </c>
      <c r="Q443" s="528">
        <f t="shared" si="140"/>
        <v>0</v>
      </c>
      <c r="R443" s="528">
        <f t="shared" si="140"/>
        <v>2900</v>
      </c>
    </row>
    <row r="444" spans="2:18" x14ac:dyDescent="0.2">
      <c r="B444" s="136">
        <f t="shared" si="134"/>
        <v>30</v>
      </c>
      <c r="C444" s="524"/>
      <c r="D444" s="524"/>
      <c r="E444" s="134" t="s">
        <v>235</v>
      </c>
      <c r="F444" s="134">
        <v>717</v>
      </c>
      <c r="G444" s="353" t="s">
        <v>700</v>
      </c>
      <c r="H444" s="382"/>
      <c r="I444" s="382"/>
      <c r="J444" s="382"/>
      <c r="K444" s="132"/>
      <c r="L444" s="526">
        <f>9000-900-2680</f>
        <v>5420</v>
      </c>
      <c r="M444" s="795"/>
      <c r="N444" s="526">
        <f t="shared" si="141"/>
        <v>5420</v>
      </c>
      <c r="O444" s="132"/>
      <c r="P444" s="528">
        <f t="shared" si="139"/>
        <v>5420</v>
      </c>
      <c r="Q444" s="528">
        <f t="shared" si="140"/>
        <v>0</v>
      </c>
      <c r="R444" s="528">
        <f t="shared" si="140"/>
        <v>5420</v>
      </c>
    </row>
    <row r="445" spans="2:18" x14ac:dyDescent="0.2">
      <c r="B445" s="136">
        <f t="shared" si="134"/>
        <v>31</v>
      </c>
      <c r="C445" s="524"/>
      <c r="D445" s="524"/>
      <c r="E445" s="180" t="s">
        <v>235</v>
      </c>
      <c r="F445" s="180">
        <v>716</v>
      </c>
      <c r="G445" s="307" t="s">
        <v>714</v>
      </c>
      <c r="H445" s="461"/>
      <c r="I445" s="461"/>
      <c r="J445" s="461"/>
      <c r="K445" s="132"/>
      <c r="L445" s="527">
        <v>5000</v>
      </c>
      <c r="M445" s="795"/>
      <c r="N445" s="526">
        <f t="shared" si="141"/>
        <v>5000</v>
      </c>
      <c r="O445" s="132"/>
      <c r="P445" s="137">
        <f t="shared" si="139"/>
        <v>5000</v>
      </c>
      <c r="Q445" s="137">
        <f t="shared" si="140"/>
        <v>0</v>
      </c>
      <c r="R445" s="137">
        <f t="shared" si="140"/>
        <v>5000</v>
      </c>
    </row>
    <row r="446" spans="2:18" x14ac:dyDescent="0.2">
      <c r="B446" s="136">
        <f t="shared" si="134"/>
        <v>32</v>
      </c>
      <c r="C446" s="524"/>
      <c r="D446" s="524"/>
      <c r="E446" s="524" t="s">
        <v>235</v>
      </c>
      <c r="F446" s="524">
        <v>716</v>
      </c>
      <c r="G446" s="525" t="s">
        <v>695</v>
      </c>
      <c r="H446" s="526"/>
      <c r="I446" s="526"/>
      <c r="J446" s="526"/>
      <c r="K446" s="132"/>
      <c r="L446" s="527">
        <v>2000</v>
      </c>
      <c r="M446" s="795"/>
      <c r="N446" s="526">
        <f t="shared" si="141"/>
        <v>2000</v>
      </c>
      <c r="O446" s="132"/>
      <c r="P446" s="137">
        <f t="shared" si="139"/>
        <v>2000</v>
      </c>
      <c r="Q446" s="137">
        <f t="shared" si="140"/>
        <v>0</v>
      </c>
      <c r="R446" s="137">
        <f t="shared" si="140"/>
        <v>2000</v>
      </c>
    </row>
    <row r="447" spans="2:18" x14ac:dyDescent="0.2">
      <c r="B447" s="136">
        <f t="shared" si="134"/>
        <v>33</v>
      </c>
      <c r="C447" s="524"/>
      <c r="D447" s="524"/>
      <c r="E447" s="524" t="s">
        <v>235</v>
      </c>
      <c r="F447" s="524">
        <v>717</v>
      </c>
      <c r="G447" s="525" t="s">
        <v>695</v>
      </c>
      <c r="H447" s="526"/>
      <c r="I447" s="526"/>
      <c r="J447" s="526"/>
      <c r="K447" s="649"/>
      <c r="L447" s="526">
        <f>20000-2000</f>
        <v>18000</v>
      </c>
      <c r="M447" s="795"/>
      <c r="N447" s="526">
        <f t="shared" si="141"/>
        <v>18000</v>
      </c>
      <c r="O447" s="181"/>
      <c r="P447" s="528">
        <f t="shared" si="139"/>
        <v>18000</v>
      </c>
      <c r="Q447" s="528">
        <f t="shared" si="140"/>
        <v>0</v>
      </c>
      <c r="R447" s="528">
        <f t="shared" si="140"/>
        <v>18000</v>
      </c>
    </row>
    <row r="448" spans="2:18" x14ac:dyDescent="0.2">
      <c r="B448" s="136">
        <f t="shared" si="134"/>
        <v>34</v>
      </c>
      <c r="C448" s="524"/>
      <c r="D448" s="524"/>
      <c r="E448" s="134" t="s">
        <v>235</v>
      </c>
      <c r="F448" s="524">
        <v>716</v>
      </c>
      <c r="G448" s="525" t="s">
        <v>744</v>
      </c>
      <c r="H448" s="526"/>
      <c r="I448" s="526"/>
      <c r="J448" s="526"/>
      <c r="K448" s="649"/>
      <c r="L448" s="526">
        <v>500</v>
      </c>
      <c r="M448" s="795"/>
      <c r="N448" s="526">
        <f t="shared" si="141"/>
        <v>500</v>
      </c>
      <c r="O448" s="181"/>
      <c r="P448" s="528">
        <f t="shared" si="139"/>
        <v>500</v>
      </c>
      <c r="Q448" s="528">
        <f t="shared" si="140"/>
        <v>0</v>
      </c>
      <c r="R448" s="528">
        <f t="shared" si="140"/>
        <v>500</v>
      </c>
    </row>
    <row r="449" spans="2:18" x14ac:dyDescent="0.2">
      <c r="B449" s="136">
        <f t="shared" si="134"/>
        <v>35</v>
      </c>
      <c r="C449" s="524"/>
      <c r="D449" s="524"/>
      <c r="E449" s="134" t="s">
        <v>235</v>
      </c>
      <c r="F449" s="651">
        <v>717</v>
      </c>
      <c r="G449" s="652" t="s">
        <v>745</v>
      </c>
      <c r="H449" s="526"/>
      <c r="I449" s="526"/>
      <c r="J449" s="526"/>
      <c r="K449" s="649"/>
      <c r="L449" s="526">
        <f>1500+6000</f>
        <v>7500</v>
      </c>
      <c r="M449" s="795"/>
      <c r="N449" s="526">
        <f t="shared" si="141"/>
        <v>7500</v>
      </c>
      <c r="O449" s="181"/>
      <c r="P449" s="528">
        <f t="shared" si="139"/>
        <v>7500</v>
      </c>
      <c r="Q449" s="528">
        <f t="shared" si="140"/>
        <v>0</v>
      </c>
      <c r="R449" s="528">
        <f t="shared" si="140"/>
        <v>7500</v>
      </c>
    </row>
    <row r="450" spans="2:18" x14ac:dyDescent="0.2">
      <c r="B450" s="136">
        <f t="shared" si="134"/>
        <v>36</v>
      </c>
      <c r="C450" s="524"/>
      <c r="D450" s="524"/>
      <c r="E450" s="180" t="s">
        <v>235</v>
      </c>
      <c r="F450" s="651">
        <v>717</v>
      </c>
      <c r="G450" s="652" t="s">
        <v>746</v>
      </c>
      <c r="H450" s="526"/>
      <c r="I450" s="526"/>
      <c r="J450" s="526"/>
      <c r="K450" s="649"/>
      <c r="L450" s="526">
        <f>14900-4000</f>
        <v>10900</v>
      </c>
      <c r="M450" s="795"/>
      <c r="N450" s="526">
        <f t="shared" si="141"/>
        <v>10900</v>
      </c>
      <c r="O450" s="181"/>
      <c r="P450" s="528">
        <f t="shared" si="139"/>
        <v>10900</v>
      </c>
      <c r="Q450" s="528">
        <f t="shared" ref="Q450:R467" si="142">I450+M450</f>
        <v>0</v>
      </c>
      <c r="R450" s="528">
        <f t="shared" si="142"/>
        <v>10900</v>
      </c>
    </row>
    <row r="451" spans="2:18" x14ac:dyDescent="0.2">
      <c r="B451" s="654">
        <f t="shared" si="134"/>
        <v>37</v>
      </c>
      <c r="C451" s="651"/>
      <c r="D451" s="651"/>
      <c r="E451" s="651" t="s">
        <v>235</v>
      </c>
      <c r="F451" s="651">
        <v>716</v>
      </c>
      <c r="G451" s="652" t="s">
        <v>747</v>
      </c>
      <c r="H451" s="527"/>
      <c r="I451" s="527"/>
      <c r="J451" s="527"/>
      <c r="K451" s="655"/>
      <c r="L451" s="527">
        <v>1500</v>
      </c>
      <c r="M451" s="796"/>
      <c r="N451" s="526">
        <f t="shared" si="141"/>
        <v>1500</v>
      </c>
      <c r="O451" s="836"/>
      <c r="P451" s="137">
        <f t="shared" si="139"/>
        <v>1500</v>
      </c>
      <c r="Q451" s="137">
        <f t="shared" si="142"/>
        <v>0</v>
      </c>
      <c r="R451" s="137">
        <f t="shared" si="142"/>
        <v>1500</v>
      </c>
    </row>
    <row r="452" spans="2:18" x14ac:dyDescent="0.2">
      <c r="B452" s="640">
        <f t="shared" si="134"/>
        <v>38</v>
      </c>
      <c r="C452" s="524"/>
      <c r="D452" s="524"/>
      <c r="E452" s="524" t="s">
        <v>235</v>
      </c>
      <c r="F452" s="524">
        <v>717</v>
      </c>
      <c r="G452" s="525" t="s">
        <v>769</v>
      </c>
      <c r="H452" s="526"/>
      <c r="I452" s="526"/>
      <c r="J452" s="526"/>
      <c r="K452" s="649"/>
      <c r="L452" s="526">
        <v>40000</v>
      </c>
      <c r="M452" s="795"/>
      <c r="N452" s="795">
        <f t="shared" si="141"/>
        <v>40000</v>
      </c>
      <c r="O452" s="650"/>
      <c r="P452" s="528">
        <f t="shared" si="139"/>
        <v>40000</v>
      </c>
      <c r="Q452" s="528">
        <f t="shared" si="142"/>
        <v>0</v>
      </c>
      <c r="R452" s="528">
        <f t="shared" si="142"/>
        <v>40000</v>
      </c>
    </row>
    <row r="453" spans="2:18" x14ac:dyDescent="0.2">
      <c r="B453" s="640">
        <f t="shared" si="134"/>
        <v>39</v>
      </c>
      <c r="C453" s="524"/>
      <c r="D453" s="524"/>
      <c r="E453" s="134" t="s">
        <v>235</v>
      </c>
      <c r="F453" s="674">
        <v>717</v>
      </c>
      <c r="G453" s="675" t="s">
        <v>770</v>
      </c>
      <c r="H453" s="648"/>
      <c r="I453" s="648"/>
      <c r="J453" s="648"/>
      <c r="K453" s="676"/>
      <c r="L453" s="648">
        <f>5000-5000</f>
        <v>0</v>
      </c>
      <c r="M453" s="797"/>
      <c r="N453" s="797">
        <f>L453+M453</f>
        <v>0</v>
      </c>
      <c r="O453" s="677"/>
      <c r="P453" s="678">
        <f t="shared" si="139"/>
        <v>0</v>
      </c>
      <c r="Q453" s="678">
        <f t="shared" si="142"/>
        <v>0</v>
      </c>
      <c r="R453" s="678">
        <f t="shared" si="142"/>
        <v>0</v>
      </c>
    </row>
    <row r="454" spans="2:18" x14ac:dyDescent="0.2">
      <c r="B454" s="640">
        <f t="shared" si="134"/>
        <v>40</v>
      </c>
      <c r="C454" s="524"/>
      <c r="D454" s="524"/>
      <c r="E454" s="180" t="s">
        <v>235</v>
      </c>
      <c r="F454" s="674">
        <v>717</v>
      </c>
      <c r="G454" s="675" t="s">
        <v>771</v>
      </c>
      <c r="H454" s="648"/>
      <c r="I454" s="648"/>
      <c r="J454" s="648"/>
      <c r="K454" s="676"/>
      <c r="L454" s="648">
        <f>3000-49</f>
        <v>2951</v>
      </c>
      <c r="M454" s="797"/>
      <c r="N454" s="797">
        <f t="shared" ref="N454:N467" si="143">L454+M454</f>
        <v>2951</v>
      </c>
      <c r="O454" s="677"/>
      <c r="P454" s="678">
        <f t="shared" si="139"/>
        <v>2951</v>
      </c>
      <c r="Q454" s="678">
        <f t="shared" si="142"/>
        <v>0</v>
      </c>
      <c r="R454" s="678">
        <f t="shared" si="142"/>
        <v>2951</v>
      </c>
    </row>
    <row r="455" spans="2:18" x14ac:dyDescent="0.2">
      <c r="B455" s="640">
        <f t="shared" si="134"/>
        <v>41</v>
      </c>
      <c r="C455" s="524"/>
      <c r="D455" s="524"/>
      <c r="E455" s="524" t="s">
        <v>235</v>
      </c>
      <c r="F455" s="679">
        <v>717</v>
      </c>
      <c r="G455" s="647" t="s">
        <v>772</v>
      </c>
      <c r="H455" s="648"/>
      <c r="I455" s="648"/>
      <c r="J455" s="648"/>
      <c r="K455" s="676"/>
      <c r="L455" s="648">
        <f>1000-1000</f>
        <v>0</v>
      </c>
      <c r="M455" s="797"/>
      <c r="N455" s="797">
        <f t="shared" si="143"/>
        <v>0</v>
      </c>
      <c r="O455" s="677"/>
      <c r="P455" s="678">
        <f t="shared" si="139"/>
        <v>0</v>
      </c>
      <c r="Q455" s="678">
        <f t="shared" si="142"/>
        <v>0</v>
      </c>
      <c r="R455" s="678">
        <f t="shared" si="142"/>
        <v>0</v>
      </c>
    </row>
    <row r="456" spans="2:18" x14ac:dyDescent="0.2">
      <c r="B456" s="640">
        <f t="shared" si="134"/>
        <v>42</v>
      </c>
      <c r="C456" s="180"/>
      <c r="D456" s="180"/>
      <c r="E456" s="524" t="s">
        <v>235</v>
      </c>
      <c r="F456" s="679">
        <v>716</v>
      </c>
      <c r="G456" s="647" t="s">
        <v>773</v>
      </c>
      <c r="H456" s="680"/>
      <c r="I456" s="680"/>
      <c r="J456" s="680"/>
      <c r="K456" s="681"/>
      <c r="L456" s="680">
        <f>3000-2000</f>
        <v>1000</v>
      </c>
      <c r="M456" s="798"/>
      <c r="N456" s="797">
        <f t="shared" si="143"/>
        <v>1000</v>
      </c>
      <c r="O456" s="682"/>
      <c r="P456" s="683">
        <f t="shared" si="139"/>
        <v>1000</v>
      </c>
      <c r="Q456" s="683">
        <f t="shared" si="142"/>
        <v>0</v>
      </c>
      <c r="R456" s="683">
        <f t="shared" si="142"/>
        <v>1000</v>
      </c>
    </row>
    <row r="457" spans="2:18" x14ac:dyDescent="0.2">
      <c r="B457" s="640">
        <f t="shared" si="134"/>
        <v>43</v>
      </c>
      <c r="C457" s="651"/>
      <c r="D457" s="651"/>
      <c r="E457" s="524" t="s">
        <v>235</v>
      </c>
      <c r="F457" s="679">
        <v>717</v>
      </c>
      <c r="G457" s="647" t="s">
        <v>774</v>
      </c>
      <c r="H457" s="684"/>
      <c r="I457" s="684"/>
      <c r="J457" s="684"/>
      <c r="K457" s="685"/>
      <c r="L457" s="684">
        <f>118000-8139-32323</f>
        <v>77538</v>
      </c>
      <c r="M457" s="799"/>
      <c r="N457" s="797">
        <f t="shared" si="143"/>
        <v>77538</v>
      </c>
      <c r="O457" s="686"/>
      <c r="P457" s="687">
        <f t="shared" si="139"/>
        <v>77538</v>
      </c>
      <c r="Q457" s="687">
        <f t="shared" si="142"/>
        <v>0</v>
      </c>
      <c r="R457" s="687">
        <f t="shared" si="142"/>
        <v>77538</v>
      </c>
    </row>
    <row r="458" spans="2:18" x14ac:dyDescent="0.2">
      <c r="B458" s="640">
        <f t="shared" si="134"/>
        <v>44</v>
      </c>
      <c r="C458" s="651"/>
      <c r="D458" s="651"/>
      <c r="E458" s="524" t="s">
        <v>235</v>
      </c>
      <c r="F458" s="679">
        <v>716</v>
      </c>
      <c r="G458" s="647" t="s">
        <v>775</v>
      </c>
      <c r="H458" s="684"/>
      <c r="I458" s="684"/>
      <c r="J458" s="684"/>
      <c r="K458" s="685"/>
      <c r="L458" s="684">
        <v>2000</v>
      </c>
      <c r="M458" s="799"/>
      <c r="N458" s="797">
        <f t="shared" si="143"/>
        <v>2000</v>
      </c>
      <c r="O458" s="686"/>
      <c r="P458" s="687">
        <f t="shared" si="139"/>
        <v>2000</v>
      </c>
      <c r="Q458" s="687">
        <f t="shared" si="142"/>
        <v>0</v>
      </c>
      <c r="R458" s="687">
        <f t="shared" si="142"/>
        <v>2000</v>
      </c>
    </row>
    <row r="459" spans="2:18" x14ac:dyDescent="0.2">
      <c r="B459" s="640">
        <f t="shared" si="134"/>
        <v>45</v>
      </c>
      <c r="C459" s="651"/>
      <c r="D459" s="651"/>
      <c r="E459" s="524" t="s">
        <v>235</v>
      </c>
      <c r="F459" s="679">
        <v>716</v>
      </c>
      <c r="G459" s="647" t="s">
        <v>776</v>
      </c>
      <c r="H459" s="684"/>
      <c r="I459" s="684"/>
      <c r="J459" s="684"/>
      <c r="K459" s="685"/>
      <c r="L459" s="684">
        <v>2000</v>
      </c>
      <c r="M459" s="799"/>
      <c r="N459" s="797">
        <f t="shared" si="143"/>
        <v>2000</v>
      </c>
      <c r="O459" s="686"/>
      <c r="P459" s="687">
        <f t="shared" si="139"/>
        <v>2000</v>
      </c>
      <c r="Q459" s="687">
        <f t="shared" si="142"/>
        <v>0</v>
      </c>
      <c r="R459" s="687">
        <f t="shared" si="142"/>
        <v>2000</v>
      </c>
    </row>
    <row r="460" spans="2:18" x14ac:dyDescent="0.2">
      <c r="B460" s="640">
        <f t="shared" si="134"/>
        <v>46</v>
      </c>
      <c r="C460" s="651"/>
      <c r="D460" s="651"/>
      <c r="E460" s="524" t="s">
        <v>235</v>
      </c>
      <c r="F460" s="679">
        <v>717</v>
      </c>
      <c r="G460" s="647" t="s">
        <v>777</v>
      </c>
      <c r="H460" s="684"/>
      <c r="I460" s="684"/>
      <c r="J460" s="684"/>
      <c r="K460" s="685"/>
      <c r="L460" s="684">
        <f>6000+5717</f>
        <v>11717</v>
      </c>
      <c r="M460" s="799"/>
      <c r="N460" s="797">
        <f t="shared" si="143"/>
        <v>11717</v>
      </c>
      <c r="O460" s="686"/>
      <c r="P460" s="687">
        <f t="shared" si="139"/>
        <v>11717</v>
      </c>
      <c r="Q460" s="687">
        <f t="shared" si="142"/>
        <v>0</v>
      </c>
      <c r="R460" s="687">
        <f t="shared" si="142"/>
        <v>11717</v>
      </c>
    </row>
    <row r="461" spans="2:18" x14ac:dyDescent="0.2">
      <c r="B461" s="640">
        <f t="shared" si="134"/>
        <v>47</v>
      </c>
      <c r="C461" s="651"/>
      <c r="D461" s="651"/>
      <c r="E461" s="524" t="s">
        <v>235</v>
      </c>
      <c r="F461" s="679">
        <v>717</v>
      </c>
      <c r="G461" s="647" t="s">
        <v>778</v>
      </c>
      <c r="H461" s="684"/>
      <c r="I461" s="684"/>
      <c r="J461" s="684"/>
      <c r="K461" s="685"/>
      <c r="L461" s="684">
        <f>1000+203</f>
        <v>1203</v>
      </c>
      <c r="M461" s="799"/>
      <c r="N461" s="797">
        <f t="shared" si="143"/>
        <v>1203</v>
      </c>
      <c r="O461" s="686"/>
      <c r="P461" s="687">
        <f t="shared" si="139"/>
        <v>1203</v>
      </c>
      <c r="Q461" s="687">
        <f t="shared" si="142"/>
        <v>0</v>
      </c>
      <c r="R461" s="687">
        <f t="shared" si="142"/>
        <v>1203</v>
      </c>
    </row>
    <row r="462" spans="2:18" x14ac:dyDescent="0.2">
      <c r="B462" s="640">
        <f t="shared" si="134"/>
        <v>48</v>
      </c>
      <c r="C462" s="651"/>
      <c r="D462" s="651"/>
      <c r="E462" s="524" t="s">
        <v>235</v>
      </c>
      <c r="F462" s="679">
        <v>716</v>
      </c>
      <c r="G462" s="647" t="s">
        <v>779</v>
      </c>
      <c r="H462" s="684"/>
      <c r="I462" s="684"/>
      <c r="J462" s="684"/>
      <c r="K462" s="685"/>
      <c r="L462" s="684">
        <v>3500</v>
      </c>
      <c r="M462" s="799"/>
      <c r="N462" s="797">
        <f t="shared" si="143"/>
        <v>3500</v>
      </c>
      <c r="O462" s="686"/>
      <c r="P462" s="687">
        <f t="shared" si="139"/>
        <v>3500</v>
      </c>
      <c r="Q462" s="687">
        <f t="shared" si="142"/>
        <v>0</v>
      </c>
      <c r="R462" s="687">
        <f t="shared" si="142"/>
        <v>3500</v>
      </c>
    </row>
    <row r="463" spans="2:18" x14ac:dyDescent="0.2">
      <c r="B463" s="640">
        <f t="shared" si="134"/>
        <v>49</v>
      </c>
      <c r="C463" s="651"/>
      <c r="D463" s="651"/>
      <c r="E463" s="524" t="s">
        <v>235</v>
      </c>
      <c r="F463" s="679">
        <v>716</v>
      </c>
      <c r="G463" s="647" t="s">
        <v>780</v>
      </c>
      <c r="H463" s="684"/>
      <c r="I463" s="684"/>
      <c r="J463" s="684"/>
      <c r="K463" s="685"/>
      <c r="L463" s="684">
        <f>3500-3000</f>
        <v>500</v>
      </c>
      <c r="M463" s="799"/>
      <c r="N463" s="797">
        <f t="shared" si="143"/>
        <v>500</v>
      </c>
      <c r="O463" s="686"/>
      <c r="P463" s="687">
        <f t="shared" si="139"/>
        <v>500</v>
      </c>
      <c r="Q463" s="687">
        <f t="shared" si="142"/>
        <v>0</v>
      </c>
      <c r="R463" s="687">
        <f t="shared" si="142"/>
        <v>500</v>
      </c>
    </row>
    <row r="464" spans="2:18" x14ac:dyDescent="0.2">
      <c r="B464" s="640">
        <f t="shared" si="134"/>
        <v>50</v>
      </c>
      <c r="C464" s="651"/>
      <c r="D464" s="651"/>
      <c r="E464" s="524" t="s">
        <v>235</v>
      </c>
      <c r="F464" s="679">
        <v>717</v>
      </c>
      <c r="G464" s="647" t="s">
        <v>781</v>
      </c>
      <c r="H464" s="684"/>
      <c r="I464" s="684"/>
      <c r="J464" s="684"/>
      <c r="K464" s="685"/>
      <c r="L464" s="684">
        <f>2500+2268</f>
        <v>4768</v>
      </c>
      <c r="M464" s="799"/>
      <c r="N464" s="797">
        <f t="shared" si="143"/>
        <v>4768</v>
      </c>
      <c r="O464" s="686"/>
      <c r="P464" s="687">
        <f t="shared" si="139"/>
        <v>4768</v>
      </c>
      <c r="Q464" s="687">
        <f t="shared" si="142"/>
        <v>0</v>
      </c>
      <c r="R464" s="687">
        <f t="shared" si="142"/>
        <v>4768</v>
      </c>
    </row>
    <row r="465" spans="2:18" x14ac:dyDescent="0.2">
      <c r="B465" s="640">
        <f t="shared" si="134"/>
        <v>51</v>
      </c>
      <c r="C465" s="651"/>
      <c r="D465" s="651"/>
      <c r="E465" s="524" t="s">
        <v>235</v>
      </c>
      <c r="F465" s="679">
        <v>716</v>
      </c>
      <c r="G465" s="647" t="s">
        <v>782</v>
      </c>
      <c r="H465" s="684"/>
      <c r="I465" s="684"/>
      <c r="J465" s="684"/>
      <c r="K465" s="685"/>
      <c r="L465" s="684">
        <v>300</v>
      </c>
      <c r="M465" s="799"/>
      <c r="N465" s="797">
        <f t="shared" si="143"/>
        <v>300</v>
      </c>
      <c r="O465" s="686"/>
      <c r="P465" s="687">
        <f t="shared" si="139"/>
        <v>300</v>
      </c>
      <c r="Q465" s="687"/>
      <c r="R465" s="687">
        <f t="shared" si="142"/>
        <v>300</v>
      </c>
    </row>
    <row r="466" spans="2:18" x14ac:dyDescent="0.2">
      <c r="B466" s="640">
        <f t="shared" si="134"/>
        <v>52</v>
      </c>
      <c r="C466" s="651"/>
      <c r="D466" s="651"/>
      <c r="E466" s="524" t="s">
        <v>235</v>
      </c>
      <c r="F466" s="679">
        <v>717</v>
      </c>
      <c r="G466" s="647" t="s">
        <v>782</v>
      </c>
      <c r="H466" s="684"/>
      <c r="I466" s="684"/>
      <c r="J466" s="684"/>
      <c r="K466" s="685"/>
      <c r="L466" s="684">
        <f>2500-300</f>
        <v>2200</v>
      </c>
      <c r="M466" s="799"/>
      <c r="N466" s="797">
        <f t="shared" si="143"/>
        <v>2200</v>
      </c>
      <c r="O466" s="686"/>
      <c r="P466" s="687">
        <f t="shared" si="139"/>
        <v>2200</v>
      </c>
      <c r="Q466" s="687">
        <f t="shared" si="142"/>
        <v>0</v>
      </c>
      <c r="R466" s="687">
        <f t="shared" si="142"/>
        <v>2200</v>
      </c>
    </row>
    <row r="467" spans="2:18" x14ac:dyDescent="0.2">
      <c r="B467" s="640">
        <f t="shared" si="134"/>
        <v>53</v>
      </c>
      <c r="C467" s="651"/>
      <c r="D467" s="651"/>
      <c r="E467" s="524" t="s">
        <v>235</v>
      </c>
      <c r="F467" s="679">
        <v>717</v>
      </c>
      <c r="G467" s="647" t="s">
        <v>878</v>
      </c>
      <c r="H467" s="684"/>
      <c r="I467" s="684"/>
      <c r="J467" s="684"/>
      <c r="K467" s="685"/>
      <c r="L467" s="684">
        <v>16631</v>
      </c>
      <c r="M467" s="799"/>
      <c r="N467" s="797">
        <f t="shared" si="143"/>
        <v>16631</v>
      </c>
      <c r="O467" s="686"/>
      <c r="P467" s="687">
        <f t="shared" si="139"/>
        <v>16631</v>
      </c>
      <c r="Q467" s="687"/>
      <c r="R467" s="687">
        <f t="shared" si="142"/>
        <v>16631</v>
      </c>
    </row>
    <row r="468" spans="2:18" x14ac:dyDescent="0.2">
      <c r="B468" s="640">
        <f t="shared" si="134"/>
        <v>54</v>
      </c>
      <c r="C468" s="651"/>
      <c r="D468" s="651"/>
      <c r="E468" s="524" t="s">
        <v>235</v>
      </c>
      <c r="F468" s="688">
        <v>717</v>
      </c>
      <c r="G468" s="689" t="s">
        <v>783</v>
      </c>
      <c r="H468" s="380"/>
      <c r="I468" s="380"/>
      <c r="J468" s="380"/>
      <c r="K468" s="690"/>
      <c r="L468" s="380">
        <f>5000+1740</f>
        <v>6740</v>
      </c>
      <c r="M468" s="800"/>
      <c r="N468" s="800">
        <f t="shared" ref="N468:N474" si="144">L468+M468</f>
        <v>6740</v>
      </c>
      <c r="O468" s="691"/>
      <c r="P468" s="692">
        <f t="shared" si="139"/>
        <v>6740</v>
      </c>
      <c r="Q468" s="692">
        <f t="shared" ref="Q468:R483" si="145">I468+M468</f>
        <v>0</v>
      </c>
      <c r="R468" s="692">
        <f t="shared" si="145"/>
        <v>6740</v>
      </c>
    </row>
    <row r="469" spans="2:18" x14ac:dyDescent="0.2">
      <c r="B469" s="640">
        <f t="shared" si="134"/>
        <v>55</v>
      </c>
      <c r="C469" s="651"/>
      <c r="D469" s="651"/>
      <c r="E469" s="524" t="s">
        <v>235</v>
      </c>
      <c r="F469" s="688">
        <v>717</v>
      </c>
      <c r="G469" s="689" t="s">
        <v>784</v>
      </c>
      <c r="H469" s="380"/>
      <c r="I469" s="380"/>
      <c r="J469" s="380"/>
      <c r="K469" s="690"/>
      <c r="L469" s="380">
        <v>17550</v>
      </c>
      <c r="M469" s="800"/>
      <c r="N469" s="800">
        <f t="shared" si="144"/>
        <v>17550</v>
      </c>
      <c r="O469" s="691"/>
      <c r="P469" s="692">
        <f t="shared" si="139"/>
        <v>17550</v>
      </c>
      <c r="Q469" s="692">
        <f t="shared" si="145"/>
        <v>0</v>
      </c>
      <c r="R469" s="692">
        <f t="shared" si="145"/>
        <v>17550</v>
      </c>
    </row>
    <row r="470" spans="2:18" x14ac:dyDescent="0.2">
      <c r="B470" s="640">
        <f t="shared" si="134"/>
        <v>56</v>
      </c>
      <c r="C470" s="651"/>
      <c r="D470" s="651"/>
      <c r="E470" s="524" t="s">
        <v>235</v>
      </c>
      <c r="F470" s="688">
        <v>716</v>
      </c>
      <c r="G470" s="689" t="s">
        <v>785</v>
      </c>
      <c r="H470" s="380"/>
      <c r="I470" s="380"/>
      <c r="J470" s="380"/>
      <c r="K470" s="690"/>
      <c r="L470" s="380">
        <v>2500</v>
      </c>
      <c r="M470" s="800"/>
      <c r="N470" s="800">
        <f t="shared" si="144"/>
        <v>2500</v>
      </c>
      <c r="O470" s="691"/>
      <c r="P470" s="692">
        <f t="shared" si="139"/>
        <v>2500</v>
      </c>
      <c r="Q470" s="692">
        <f t="shared" si="145"/>
        <v>0</v>
      </c>
      <c r="R470" s="692">
        <f t="shared" si="145"/>
        <v>2500</v>
      </c>
    </row>
    <row r="471" spans="2:18" x14ac:dyDescent="0.2">
      <c r="B471" s="640">
        <f t="shared" si="134"/>
        <v>57</v>
      </c>
      <c r="C471" s="651"/>
      <c r="D471" s="651"/>
      <c r="E471" s="524" t="s">
        <v>235</v>
      </c>
      <c r="F471" s="688">
        <v>716</v>
      </c>
      <c r="G471" s="689" t="s">
        <v>840</v>
      </c>
      <c r="H471" s="380"/>
      <c r="I471" s="380"/>
      <c r="J471" s="380"/>
      <c r="K471" s="690"/>
      <c r="L471" s="380">
        <v>500</v>
      </c>
      <c r="M471" s="800"/>
      <c r="N471" s="800">
        <f t="shared" si="144"/>
        <v>500</v>
      </c>
      <c r="O471" s="691"/>
      <c r="P471" s="692">
        <f t="shared" si="139"/>
        <v>500</v>
      </c>
      <c r="Q471" s="692">
        <f t="shared" si="145"/>
        <v>0</v>
      </c>
      <c r="R471" s="692">
        <f t="shared" si="145"/>
        <v>500</v>
      </c>
    </row>
    <row r="472" spans="2:18" x14ac:dyDescent="0.2">
      <c r="B472" s="640">
        <f t="shared" si="134"/>
        <v>58</v>
      </c>
      <c r="C472" s="651"/>
      <c r="D472" s="651"/>
      <c r="E472" s="524" t="s">
        <v>235</v>
      </c>
      <c r="F472" s="688">
        <v>717</v>
      </c>
      <c r="G472" s="689" t="s">
        <v>786</v>
      </c>
      <c r="H472" s="380"/>
      <c r="I472" s="380"/>
      <c r="J472" s="380"/>
      <c r="K472" s="690"/>
      <c r="L472" s="380">
        <f>15000-500</f>
        <v>14500</v>
      </c>
      <c r="M472" s="800"/>
      <c r="N472" s="800">
        <f t="shared" si="144"/>
        <v>14500</v>
      </c>
      <c r="O472" s="691"/>
      <c r="P472" s="692">
        <f t="shared" si="139"/>
        <v>14500</v>
      </c>
      <c r="Q472" s="692">
        <f t="shared" si="145"/>
        <v>0</v>
      </c>
      <c r="R472" s="692">
        <f t="shared" si="145"/>
        <v>14500</v>
      </c>
    </row>
    <row r="473" spans="2:18" x14ac:dyDescent="0.2">
      <c r="B473" s="640">
        <f t="shared" si="134"/>
        <v>59</v>
      </c>
      <c r="C473" s="651"/>
      <c r="D473" s="651"/>
      <c r="E473" s="524" t="s">
        <v>235</v>
      </c>
      <c r="F473" s="688">
        <v>717</v>
      </c>
      <c r="G473" s="689" t="s">
        <v>787</v>
      </c>
      <c r="H473" s="380"/>
      <c r="I473" s="380"/>
      <c r="J473" s="380"/>
      <c r="K473" s="690"/>
      <c r="L473" s="380">
        <f>80000-800-1740+6000+35000</f>
        <v>118460</v>
      </c>
      <c r="M473" s="800"/>
      <c r="N473" s="800">
        <f t="shared" si="144"/>
        <v>118460</v>
      </c>
      <c r="O473" s="691"/>
      <c r="P473" s="692">
        <f t="shared" si="139"/>
        <v>118460</v>
      </c>
      <c r="Q473" s="692">
        <f t="shared" si="145"/>
        <v>0</v>
      </c>
      <c r="R473" s="692">
        <f t="shared" si="145"/>
        <v>118460</v>
      </c>
    </row>
    <row r="474" spans="2:18" x14ac:dyDescent="0.2">
      <c r="B474" s="640">
        <f t="shared" si="134"/>
        <v>60</v>
      </c>
      <c r="C474" s="651"/>
      <c r="D474" s="651"/>
      <c r="E474" s="524" t="s">
        <v>235</v>
      </c>
      <c r="F474" s="688">
        <v>716</v>
      </c>
      <c r="G474" s="689" t="s">
        <v>816</v>
      </c>
      <c r="H474" s="380"/>
      <c r="I474" s="380"/>
      <c r="J474" s="380"/>
      <c r="K474" s="690"/>
      <c r="L474" s="380">
        <v>800</v>
      </c>
      <c r="M474" s="800"/>
      <c r="N474" s="800">
        <f t="shared" si="144"/>
        <v>800</v>
      </c>
      <c r="O474" s="691"/>
      <c r="P474" s="692">
        <f t="shared" si="139"/>
        <v>800</v>
      </c>
      <c r="Q474" s="692">
        <f t="shared" si="145"/>
        <v>0</v>
      </c>
      <c r="R474" s="692">
        <f t="shared" si="145"/>
        <v>800</v>
      </c>
    </row>
    <row r="475" spans="2:18" x14ac:dyDescent="0.2">
      <c r="B475" s="640">
        <f t="shared" si="134"/>
        <v>61</v>
      </c>
      <c r="C475" s="651"/>
      <c r="D475" s="651"/>
      <c r="E475" s="524" t="s">
        <v>235</v>
      </c>
      <c r="F475" s="693">
        <v>717</v>
      </c>
      <c r="G475" s="694" t="s">
        <v>788</v>
      </c>
      <c r="H475" s="695"/>
      <c r="I475" s="695"/>
      <c r="J475" s="695"/>
      <c r="K475" s="696"/>
      <c r="L475" s="695">
        <v>75500</v>
      </c>
      <c r="M475" s="801"/>
      <c r="N475" s="801">
        <f>L475+M475</f>
        <v>75500</v>
      </c>
      <c r="O475" s="697"/>
      <c r="P475" s="698">
        <f t="shared" si="139"/>
        <v>75500</v>
      </c>
      <c r="Q475" s="698">
        <f t="shared" si="145"/>
        <v>0</v>
      </c>
      <c r="R475" s="698">
        <f t="shared" si="145"/>
        <v>75500</v>
      </c>
    </row>
    <row r="476" spans="2:18" x14ac:dyDescent="0.2">
      <c r="B476" s="640">
        <f t="shared" si="134"/>
        <v>62</v>
      </c>
      <c r="C476" s="651"/>
      <c r="D476" s="651"/>
      <c r="E476" s="524" t="s">
        <v>235</v>
      </c>
      <c r="F476" s="693">
        <v>716</v>
      </c>
      <c r="G476" s="694" t="s">
        <v>789</v>
      </c>
      <c r="H476" s="695"/>
      <c r="I476" s="695"/>
      <c r="J476" s="695"/>
      <c r="K476" s="696"/>
      <c r="L476" s="695">
        <v>4500</v>
      </c>
      <c r="M476" s="801"/>
      <c r="N476" s="801">
        <f t="shared" ref="N476:N481" si="146">L476+M476</f>
        <v>4500</v>
      </c>
      <c r="O476" s="697"/>
      <c r="P476" s="698">
        <f t="shared" si="139"/>
        <v>4500</v>
      </c>
      <c r="Q476" s="698">
        <f t="shared" si="145"/>
        <v>0</v>
      </c>
      <c r="R476" s="698">
        <f t="shared" si="145"/>
        <v>4500</v>
      </c>
    </row>
    <row r="477" spans="2:18" ht="33.75" x14ac:dyDescent="0.2">
      <c r="B477" s="640">
        <f t="shared" si="134"/>
        <v>63</v>
      </c>
      <c r="C477" s="651"/>
      <c r="D477" s="651"/>
      <c r="E477" s="524" t="s">
        <v>235</v>
      </c>
      <c r="F477" s="699">
        <v>716</v>
      </c>
      <c r="G477" s="700" t="s">
        <v>802</v>
      </c>
      <c r="H477" s="695"/>
      <c r="I477" s="695"/>
      <c r="J477" s="695"/>
      <c r="K477" s="696"/>
      <c r="L477" s="695">
        <v>900</v>
      </c>
      <c r="M477" s="801"/>
      <c r="N477" s="801">
        <f t="shared" si="146"/>
        <v>900</v>
      </c>
      <c r="O477" s="697"/>
      <c r="P477" s="698">
        <f t="shared" si="139"/>
        <v>900</v>
      </c>
      <c r="Q477" s="698"/>
      <c r="R477" s="698">
        <f t="shared" si="145"/>
        <v>900</v>
      </c>
    </row>
    <row r="478" spans="2:18" ht="33.75" x14ac:dyDescent="0.2">
      <c r="B478" s="640">
        <f t="shared" si="134"/>
        <v>64</v>
      </c>
      <c r="C478" s="664"/>
      <c r="D478" s="664"/>
      <c r="E478" s="665" t="s">
        <v>235</v>
      </c>
      <c r="F478" s="699">
        <v>717</v>
      </c>
      <c r="G478" s="700" t="s">
        <v>802</v>
      </c>
      <c r="H478" s="701"/>
      <c r="I478" s="701"/>
      <c r="J478" s="701"/>
      <c r="K478" s="702"/>
      <c r="L478" s="701">
        <f>19000-900</f>
        <v>18100</v>
      </c>
      <c r="M478" s="802"/>
      <c r="N478" s="801">
        <f t="shared" si="146"/>
        <v>18100</v>
      </c>
      <c r="O478" s="703"/>
      <c r="P478" s="704">
        <f t="shared" si="139"/>
        <v>18100</v>
      </c>
      <c r="Q478" s="704">
        <f t="shared" si="145"/>
        <v>0</v>
      </c>
      <c r="R478" s="704">
        <f t="shared" si="145"/>
        <v>18100</v>
      </c>
    </row>
    <row r="479" spans="2:18" x14ac:dyDescent="0.2">
      <c r="B479" s="640">
        <f t="shared" si="134"/>
        <v>65</v>
      </c>
      <c r="C479" s="651"/>
      <c r="D479" s="651"/>
      <c r="E479" s="662" t="s">
        <v>235</v>
      </c>
      <c r="F479" s="705">
        <v>716</v>
      </c>
      <c r="G479" s="706" t="s">
        <v>803</v>
      </c>
      <c r="H479" s="695"/>
      <c r="I479" s="695"/>
      <c r="J479" s="695"/>
      <c r="K479" s="696"/>
      <c r="L479" s="695">
        <v>1000</v>
      </c>
      <c r="M479" s="801"/>
      <c r="N479" s="801">
        <f t="shared" si="146"/>
        <v>1000</v>
      </c>
      <c r="O479" s="697"/>
      <c r="P479" s="698">
        <f t="shared" si="139"/>
        <v>1000</v>
      </c>
      <c r="Q479" s="698">
        <f t="shared" si="145"/>
        <v>0</v>
      </c>
      <c r="R479" s="698">
        <f t="shared" si="145"/>
        <v>1000</v>
      </c>
    </row>
    <row r="480" spans="2:18" x14ac:dyDescent="0.2">
      <c r="B480" s="640">
        <f t="shared" si="134"/>
        <v>66</v>
      </c>
      <c r="C480" s="651"/>
      <c r="D480" s="651"/>
      <c r="E480" s="662" t="s">
        <v>235</v>
      </c>
      <c r="F480" s="705">
        <v>717</v>
      </c>
      <c r="G480" s="706" t="s">
        <v>804</v>
      </c>
      <c r="H480" s="695"/>
      <c r="I480" s="695"/>
      <c r="J480" s="695"/>
      <c r="K480" s="696"/>
      <c r="L480" s="695">
        <f>3000+6500</f>
        <v>9500</v>
      </c>
      <c r="M480" s="801"/>
      <c r="N480" s="801">
        <f t="shared" si="146"/>
        <v>9500</v>
      </c>
      <c r="O480" s="697"/>
      <c r="P480" s="698">
        <f t="shared" si="139"/>
        <v>9500</v>
      </c>
      <c r="Q480" s="698">
        <f t="shared" si="145"/>
        <v>0</v>
      </c>
      <c r="R480" s="698">
        <f t="shared" si="145"/>
        <v>9500</v>
      </c>
    </row>
    <row r="481" spans="2:18" x14ac:dyDescent="0.2">
      <c r="B481" s="640">
        <f t="shared" si="134"/>
        <v>67</v>
      </c>
      <c r="C481" s="651"/>
      <c r="D481" s="651"/>
      <c r="E481" s="662" t="s">
        <v>235</v>
      </c>
      <c r="F481" s="705">
        <v>717</v>
      </c>
      <c r="G481" s="706" t="s">
        <v>805</v>
      </c>
      <c r="H481" s="695"/>
      <c r="I481" s="695"/>
      <c r="J481" s="695"/>
      <c r="K481" s="696"/>
      <c r="L481" s="695">
        <v>5000</v>
      </c>
      <c r="M481" s="801"/>
      <c r="N481" s="801">
        <f t="shared" si="146"/>
        <v>5000</v>
      </c>
      <c r="O481" s="697"/>
      <c r="P481" s="698">
        <f t="shared" si="139"/>
        <v>5000</v>
      </c>
      <c r="Q481" s="698">
        <f t="shared" si="145"/>
        <v>0</v>
      </c>
      <c r="R481" s="698">
        <f t="shared" si="145"/>
        <v>5000</v>
      </c>
    </row>
    <row r="482" spans="2:18" x14ac:dyDescent="0.2">
      <c r="B482" s="640">
        <f t="shared" si="134"/>
        <v>68</v>
      </c>
      <c r="C482" s="524"/>
      <c r="D482" s="524"/>
      <c r="E482" s="524" t="s">
        <v>235</v>
      </c>
      <c r="F482" s="720">
        <v>717</v>
      </c>
      <c r="G482" s="755" t="s">
        <v>790</v>
      </c>
      <c r="H482" s="708"/>
      <c r="I482" s="807"/>
      <c r="J482" s="807"/>
      <c r="K482" s="756"/>
      <c r="L482" s="708">
        <v>133000</v>
      </c>
      <c r="M482" s="803"/>
      <c r="N482" s="803">
        <f>L482+M482</f>
        <v>133000</v>
      </c>
      <c r="O482" s="758"/>
      <c r="P482" s="760">
        <f t="shared" si="139"/>
        <v>133000</v>
      </c>
      <c r="Q482" s="760">
        <f t="shared" si="145"/>
        <v>0</v>
      </c>
      <c r="R482" s="760">
        <f t="shared" si="145"/>
        <v>133000</v>
      </c>
    </row>
    <row r="483" spans="2:18" ht="13.5" thickBot="1" x14ac:dyDescent="0.25">
      <c r="B483" s="640">
        <f t="shared" si="134"/>
        <v>69</v>
      </c>
      <c r="C483" s="211"/>
      <c r="D483" s="211"/>
      <c r="E483" s="211" t="s">
        <v>235</v>
      </c>
      <c r="F483" s="211">
        <v>716</v>
      </c>
      <c r="G483" s="485" t="s">
        <v>824</v>
      </c>
      <c r="H483" s="385"/>
      <c r="I483" s="385"/>
      <c r="J483" s="385"/>
      <c r="K483" s="757"/>
      <c r="L483" s="385">
        <v>150000</v>
      </c>
      <c r="M483" s="804"/>
      <c r="N483" s="804">
        <f>L483+M483</f>
        <v>150000</v>
      </c>
      <c r="O483" s="759"/>
      <c r="P483" s="142">
        <f t="shared" si="139"/>
        <v>150000</v>
      </c>
      <c r="Q483" s="142">
        <f t="shared" si="145"/>
        <v>0</v>
      </c>
      <c r="R483" s="142">
        <f t="shared" si="145"/>
        <v>150000</v>
      </c>
    </row>
    <row r="484" spans="2:18" x14ac:dyDescent="0.2">
      <c r="I484" s="808"/>
      <c r="J484" s="808"/>
    </row>
    <row r="530" spans="2:18" ht="27.75" thickBot="1" x14ac:dyDescent="0.4">
      <c r="B530" s="916" t="s">
        <v>232</v>
      </c>
      <c r="C530" s="916"/>
      <c r="D530" s="916"/>
      <c r="E530" s="916"/>
      <c r="F530" s="916"/>
      <c r="G530" s="916"/>
      <c r="H530" s="916"/>
      <c r="I530" s="805"/>
      <c r="J530" s="805"/>
      <c r="K530" s="247"/>
      <c r="L530" s="247"/>
      <c r="M530" s="247"/>
      <c r="N530" s="247"/>
      <c r="O530" s="247"/>
      <c r="P530" s="247"/>
      <c r="Q530" s="247"/>
      <c r="R530" s="247"/>
    </row>
    <row r="531" spans="2:18" ht="13.5" customHeight="1" thickBot="1" x14ac:dyDescent="0.25">
      <c r="B531" s="913" t="s">
        <v>631</v>
      </c>
      <c r="C531" s="914"/>
      <c r="D531" s="914"/>
      <c r="E531" s="914"/>
      <c r="F531" s="914"/>
      <c r="G531" s="914"/>
      <c r="H531" s="914"/>
      <c r="I531" s="914"/>
      <c r="J531" s="914"/>
      <c r="K531" s="914"/>
      <c r="L531" s="914"/>
      <c r="M531" s="914"/>
      <c r="N531" s="915"/>
      <c r="O531" s="120"/>
      <c r="P531" s="903" t="s">
        <v>721</v>
      </c>
      <c r="Q531" s="903" t="s">
        <v>860</v>
      </c>
      <c r="R531" s="903" t="s">
        <v>721</v>
      </c>
    </row>
    <row r="532" spans="2:18" ht="13.5" customHeight="1" thickTop="1" x14ac:dyDescent="0.2">
      <c r="B532" s="505"/>
      <c r="C532" s="906" t="s">
        <v>477</v>
      </c>
      <c r="D532" s="906" t="s">
        <v>476</v>
      </c>
      <c r="E532" s="906" t="s">
        <v>474</v>
      </c>
      <c r="F532" s="906" t="s">
        <v>475</v>
      </c>
      <c r="G532" s="507" t="s">
        <v>3</v>
      </c>
      <c r="H532" s="908" t="s">
        <v>722</v>
      </c>
      <c r="I532" s="912" t="s">
        <v>860</v>
      </c>
      <c r="J532" s="912" t="s">
        <v>722</v>
      </c>
      <c r="L532" s="910" t="s">
        <v>723</v>
      </c>
      <c r="M532" s="910" t="s">
        <v>860</v>
      </c>
      <c r="N532" s="910" t="s">
        <v>723</v>
      </c>
      <c r="P532" s="904"/>
      <c r="Q532" s="904"/>
      <c r="R532" s="904"/>
    </row>
    <row r="533" spans="2:18" ht="48" customHeight="1" thickBot="1" x14ac:dyDescent="0.25">
      <c r="B533" s="509"/>
      <c r="C533" s="907"/>
      <c r="D533" s="907"/>
      <c r="E533" s="907"/>
      <c r="F533" s="907"/>
      <c r="G533" s="508"/>
      <c r="H533" s="909"/>
      <c r="I533" s="909"/>
      <c r="J533" s="909"/>
      <c r="L533" s="911"/>
      <c r="M533" s="911"/>
      <c r="N533" s="911"/>
      <c r="P533" s="905"/>
      <c r="Q533" s="905"/>
      <c r="R533" s="905"/>
    </row>
    <row r="534" spans="2:18" ht="19.5" customHeight="1" thickTop="1" thickBot="1" x14ac:dyDescent="0.25">
      <c r="B534" s="171">
        <v>1</v>
      </c>
      <c r="C534" s="125" t="s">
        <v>233</v>
      </c>
      <c r="D534" s="111"/>
      <c r="E534" s="111"/>
      <c r="F534" s="111"/>
      <c r="G534" s="192"/>
      <c r="H534" s="437">
        <f>H535+H700+H905+H1008+H1278</f>
        <v>12479787</v>
      </c>
      <c r="I534" s="437">
        <f>I535+I700+I905+I1008+I1278</f>
        <v>81381</v>
      </c>
      <c r="J534" s="437">
        <f t="shared" ref="J534:J539" si="147">H534+I534</f>
        <v>12561168</v>
      </c>
      <c r="K534" s="113"/>
      <c r="L534" s="405">
        <f>L535+L700+L905+L1008+L1278</f>
        <v>363107</v>
      </c>
      <c r="M534" s="405">
        <f>M535+M700+M905+M1008+M1278</f>
        <v>0</v>
      </c>
      <c r="N534" s="405">
        <f>L534+M534</f>
        <v>363107</v>
      </c>
      <c r="O534" s="113"/>
      <c r="P534" s="392">
        <f t="shared" ref="P534:P579" si="148">H534+L534</f>
        <v>12842894</v>
      </c>
      <c r="Q534" s="392">
        <f t="shared" ref="Q534:R550" si="149">I534+M534</f>
        <v>81381</v>
      </c>
      <c r="R534" s="392">
        <f t="shared" si="149"/>
        <v>12924275</v>
      </c>
    </row>
    <row r="535" spans="2:18" ht="16.5" thickTop="1" x14ac:dyDescent="0.25">
      <c r="B535" s="171">
        <f>B534+1</f>
        <v>2</v>
      </c>
      <c r="C535" s="23">
        <v>1</v>
      </c>
      <c r="D535" s="127" t="s">
        <v>106</v>
      </c>
      <c r="E535" s="24"/>
      <c r="F535" s="24"/>
      <c r="G535" s="193"/>
      <c r="H535" s="423">
        <f>H536+H696+H697+H698+H683+H694</f>
        <v>2915419</v>
      </c>
      <c r="I535" s="423">
        <f>I536+I696+I697+I698+I683+I694</f>
        <v>4376</v>
      </c>
      <c r="J535" s="423">
        <f t="shared" si="147"/>
        <v>2919795</v>
      </c>
      <c r="K535" s="88"/>
      <c r="L535" s="379">
        <f>L536</f>
        <v>110390</v>
      </c>
      <c r="M535" s="379">
        <f t="shared" ref="M535" si="150">M536</f>
        <v>0</v>
      </c>
      <c r="N535" s="379">
        <f t="shared" ref="N535:N555" si="151">L535+M535</f>
        <v>110390</v>
      </c>
      <c r="O535" s="88"/>
      <c r="P535" s="390">
        <f t="shared" si="148"/>
        <v>3025809</v>
      </c>
      <c r="Q535" s="390">
        <f t="shared" si="149"/>
        <v>4376</v>
      </c>
      <c r="R535" s="390">
        <f t="shared" si="149"/>
        <v>3030185</v>
      </c>
    </row>
    <row r="536" spans="2:18" ht="15" x14ac:dyDescent="0.25">
      <c r="B536" s="171">
        <f t="shared" ref="B536:B604" si="152">B535+1</f>
        <v>3</v>
      </c>
      <c r="C536" s="143"/>
      <c r="D536" s="144"/>
      <c r="E536" s="170" t="s">
        <v>511</v>
      </c>
      <c r="F536" s="144"/>
      <c r="G536" s="199"/>
      <c r="H536" s="424">
        <f>H537+H546+H556+H565+H574+H584+H594+H604+H616+H626+H637+H647+H655+H664+H674</f>
        <v>2347665</v>
      </c>
      <c r="I536" s="424">
        <f>I537+I546+I556+I565+I574+I584+I594+I604+I616+I626+I637+I647+I655+I664+I674</f>
        <v>4373</v>
      </c>
      <c r="J536" s="424">
        <f t="shared" si="147"/>
        <v>2352038</v>
      </c>
      <c r="K536" s="334"/>
      <c r="L536" s="847">
        <f>L537+L546+L556+L565+L574+L584+L683+L594+L604+L616+L626+L637+L647+L655+L664+L674</f>
        <v>110390</v>
      </c>
      <c r="M536" s="847">
        <f>M537+M546+M556+M565+M574+M584+M683+M594+M604+M616+M626+M637+M647+M655+M664+M674</f>
        <v>0</v>
      </c>
      <c r="N536" s="847">
        <f t="shared" si="151"/>
        <v>110390</v>
      </c>
      <c r="O536" s="334"/>
      <c r="P536" s="348">
        <f t="shared" si="148"/>
        <v>2458055</v>
      </c>
      <c r="Q536" s="348">
        <f t="shared" si="149"/>
        <v>4373</v>
      </c>
      <c r="R536" s="348">
        <f t="shared" si="149"/>
        <v>2462428</v>
      </c>
    </row>
    <row r="537" spans="2:18" ht="15" x14ac:dyDescent="0.25">
      <c r="B537" s="171">
        <f t="shared" si="152"/>
        <v>4</v>
      </c>
      <c r="C537" s="76"/>
      <c r="D537" s="29" t="s">
        <v>4</v>
      </c>
      <c r="E537" s="174" t="s">
        <v>289</v>
      </c>
      <c r="F537" s="147" t="s">
        <v>339</v>
      </c>
      <c r="G537" s="236"/>
      <c r="H537" s="425">
        <f>H538+H539+H540+H545</f>
        <v>117722</v>
      </c>
      <c r="I537" s="425">
        <f t="shared" ref="I537:J537" si="153">I538+I539+I540+I545</f>
        <v>491</v>
      </c>
      <c r="J537" s="425">
        <f t="shared" si="153"/>
        <v>118213</v>
      </c>
      <c r="K537" s="331"/>
      <c r="L537" s="848"/>
      <c r="M537" s="848"/>
      <c r="N537" s="848">
        <f t="shared" si="151"/>
        <v>0</v>
      </c>
      <c r="O537" s="331"/>
      <c r="P537" s="332">
        <f t="shared" si="148"/>
        <v>117722</v>
      </c>
      <c r="Q537" s="332">
        <f t="shared" si="149"/>
        <v>491</v>
      </c>
      <c r="R537" s="332">
        <f t="shared" si="149"/>
        <v>118213</v>
      </c>
    </row>
    <row r="538" spans="2:18" x14ac:dyDescent="0.2">
      <c r="B538" s="171">
        <f t="shared" si="152"/>
        <v>5</v>
      </c>
      <c r="C538" s="143"/>
      <c r="D538" s="144"/>
      <c r="E538" s="131"/>
      <c r="F538" s="144" t="s">
        <v>211</v>
      </c>
      <c r="G538" s="199" t="s">
        <v>505</v>
      </c>
      <c r="H538" s="388">
        <f>63745+3145+1182-202</f>
        <v>67870</v>
      </c>
      <c r="I538" s="388"/>
      <c r="J538" s="388">
        <f t="shared" si="147"/>
        <v>67870</v>
      </c>
      <c r="K538" s="145"/>
      <c r="L538" s="396"/>
      <c r="M538" s="396"/>
      <c r="N538" s="396"/>
      <c r="O538" s="145"/>
      <c r="P538" s="166">
        <f t="shared" si="148"/>
        <v>67870</v>
      </c>
      <c r="Q538" s="166">
        <f t="shared" si="149"/>
        <v>0</v>
      </c>
      <c r="R538" s="166">
        <f t="shared" si="149"/>
        <v>67870</v>
      </c>
    </row>
    <row r="539" spans="2:18" x14ac:dyDescent="0.2">
      <c r="B539" s="171">
        <f t="shared" si="152"/>
        <v>6</v>
      </c>
      <c r="C539" s="143"/>
      <c r="D539" s="144"/>
      <c r="E539" s="131"/>
      <c r="F539" s="144" t="s">
        <v>212</v>
      </c>
      <c r="G539" s="199" t="s">
        <v>259</v>
      </c>
      <c r="H539" s="388">
        <f>23675+1167+378</f>
        <v>25220</v>
      </c>
      <c r="I539" s="388"/>
      <c r="J539" s="388">
        <f t="shared" si="147"/>
        <v>25220</v>
      </c>
      <c r="K539" s="145"/>
      <c r="L539" s="396"/>
      <c r="M539" s="396"/>
      <c r="N539" s="396"/>
      <c r="O539" s="145"/>
      <c r="P539" s="166">
        <f t="shared" si="148"/>
        <v>25220</v>
      </c>
      <c r="Q539" s="166">
        <f t="shared" si="149"/>
        <v>0</v>
      </c>
      <c r="R539" s="166">
        <f t="shared" si="149"/>
        <v>25220</v>
      </c>
    </row>
    <row r="540" spans="2:18" x14ac:dyDescent="0.2">
      <c r="B540" s="171">
        <f t="shared" si="152"/>
        <v>7</v>
      </c>
      <c r="C540" s="143"/>
      <c r="D540" s="144"/>
      <c r="E540" s="131"/>
      <c r="F540" s="144" t="s">
        <v>218</v>
      </c>
      <c r="G540" s="199" t="s">
        <v>340</v>
      </c>
      <c r="H540" s="388">
        <f>SUM(H541:H544)</f>
        <v>24430</v>
      </c>
      <c r="I540" s="388">
        <f t="shared" ref="I540" si="154">SUM(I541:I544)</f>
        <v>491</v>
      </c>
      <c r="J540" s="388">
        <f t="shared" ref="J540:J544" si="155">H540+I540</f>
        <v>24921</v>
      </c>
      <c r="K540" s="145"/>
      <c r="L540" s="396"/>
      <c r="M540" s="396"/>
      <c r="N540" s="396"/>
      <c r="O540" s="145"/>
      <c r="P540" s="166">
        <f t="shared" si="148"/>
        <v>24430</v>
      </c>
      <c r="Q540" s="166">
        <f t="shared" si="149"/>
        <v>491</v>
      </c>
      <c r="R540" s="166">
        <f t="shared" si="149"/>
        <v>24921</v>
      </c>
    </row>
    <row r="541" spans="2:18" x14ac:dyDescent="0.2">
      <c r="B541" s="171">
        <f t="shared" si="152"/>
        <v>8</v>
      </c>
      <c r="C541" s="130"/>
      <c r="D541" s="131"/>
      <c r="E541" s="131"/>
      <c r="F541" s="131" t="s">
        <v>199</v>
      </c>
      <c r="G541" s="194" t="s">
        <v>318</v>
      </c>
      <c r="H541" s="526">
        <v>15610</v>
      </c>
      <c r="I541" s="526"/>
      <c r="J541" s="526">
        <f t="shared" si="155"/>
        <v>15610</v>
      </c>
      <c r="K541" s="132"/>
      <c r="L541" s="527"/>
      <c r="M541" s="527"/>
      <c r="N541" s="527"/>
      <c r="O541" s="132"/>
      <c r="P541" s="167">
        <f t="shared" si="148"/>
        <v>15610</v>
      </c>
      <c r="Q541" s="167">
        <f t="shared" si="149"/>
        <v>0</v>
      </c>
      <c r="R541" s="167">
        <f t="shared" si="149"/>
        <v>15610</v>
      </c>
    </row>
    <row r="542" spans="2:18" x14ac:dyDescent="0.2">
      <c r="B542" s="171">
        <f t="shared" si="152"/>
        <v>9</v>
      </c>
      <c r="C542" s="130"/>
      <c r="D542" s="131"/>
      <c r="E542" s="131"/>
      <c r="F542" s="131" t="s">
        <v>200</v>
      </c>
      <c r="G542" s="194" t="s">
        <v>247</v>
      </c>
      <c r="H542" s="526">
        <f>5320+800</f>
        <v>6120</v>
      </c>
      <c r="I542" s="526">
        <v>491</v>
      </c>
      <c r="J542" s="526">
        <f t="shared" si="155"/>
        <v>6611</v>
      </c>
      <c r="K542" s="132"/>
      <c r="L542" s="527"/>
      <c r="M542" s="527"/>
      <c r="N542" s="527"/>
      <c r="O542" s="132"/>
      <c r="P542" s="167">
        <f t="shared" si="148"/>
        <v>6120</v>
      </c>
      <c r="Q542" s="167">
        <f t="shared" si="149"/>
        <v>491</v>
      </c>
      <c r="R542" s="167">
        <f t="shared" si="149"/>
        <v>6611</v>
      </c>
    </row>
    <row r="543" spans="2:18" x14ac:dyDescent="0.2">
      <c r="B543" s="171">
        <f t="shared" si="152"/>
        <v>10</v>
      </c>
      <c r="C543" s="130"/>
      <c r="D543" s="131"/>
      <c r="E543" s="131"/>
      <c r="F543" s="131" t="s">
        <v>214</v>
      </c>
      <c r="G543" s="194" t="s">
        <v>261</v>
      </c>
      <c r="H543" s="526">
        <f>100+1090</f>
        <v>1190</v>
      </c>
      <c r="I543" s="526"/>
      <c r="J543" s="526">
        <f t="shared" si="155"/>
        <v>1190</v>
      </c>
      <c r="K543" s="132"/>
      <c r="L543" s="527"/>
      <c r="M543" s="527"/>
      <c r="N543" s="527"/>
      <c r="O543" s="132"/>
      <c r="P543" s="167">
        <f t="shared" si="148"/>
        <v>1190</v>
      </c>
      <c r="Q543" s="167">
        <f t="shared" si="149"/>
        <v>0</v>
      </c>
      <c r="R543" s="167">
        <f t="shared" si="149"/>
        <v>1190</v>
      </c>
    </row>
    <row r="544" spans="2:18" x14ac:dyDescent="0.2">
      <c r="B544" s="171">
        <f t="shared" si="152"/>
        <v>11</v>
      </c>
      <c r="C544" s="130"/>
      <c r="D544" s="131"/>
      <c r="E544" s="131"/>
      <c r="F544" s="131" t="s">
        <v>216</v>
      </c>
      <c r="G544" s="194" t="s">
        <v>248</v>
      </c>
      <c r="H544" s="526">
        <f>2600-1090</f>
        <v>1510</v>
      </c>
      <c r="I544" s="526"/>
      <c r="J544" s="526">
        <f t="shared" si="155"/>
        <v>1510</v>
      </c>
      <c r="K544" s="132"/>
      <c r="L544" s="527"/>
      <c r="M544" s="527"/>
      <c r="N544" s="527"/>
      <c r="O544" s="132"/>
      <c r="P544" s="167">
        <f t="shared" si="148"/>
        <v>1510</v>
      </c>
      <c r="Q544" s="167">
        <f t="shared" si="149"/>
        <v>0</v>
      </c>
      <c r="R544" s="167">
        <f t="shared" si="149"/>
        <v>1510</v>
      </c>
    </row>
    <row r="545" spans="2:18" x14ac:dyDescent="0.2">
      <c r="B545" s="171">
        <f t="shared" si="152"/>
        <v>12</v>
      </c>
      <c r="C545" s="130"/>
      <c r="D545" s="131"/>
      <c r="E545" s="169"/>
      <c r="F545" s="165" t="s">
        <v>217</v>
      </c>
      <c r="G545" s="199" t="s">
        <v>665</v>
      </c>
      <c r="H545" s="388">
        <v>202</v>
      </c>
      <c r="I545" s="388"/>
      <c r="J545" s="388">
        <f t="shared" ref="J545" si="156">H545+I545</f>
        <v>202</v>
      </c>
      <c r="K545" s="145"/>
      <c r="L545" s="396"/>
      <c r="M545" s="396"/>
      <c r="N545" s="396"/>
      <c r="O545" s="145"/>
      <c r="P545" s="166">
        <f t="shared" ref="P545" si="157">H545+L545</f>
        <v>202</v>
      </c>
      <c r="Q545" s="166">
        <f t="shared" ref="Q545" si="158">I545+M545</f>
        <v>0</v>
      </c>
      <c r="R545" s="166">
        <f t="shared" ref="R545" si="159">J545+N545</f>
        <v>202</v>
      </c>
    </row>
    <row r="546" spans="2:18" ht="15" x14ac:dyDescent="0.25">
      <c r="B546" s="171">
        <f t="shared" si="152"/>
        <v>13</v>
      </c>
      <c r="C546" s="76"/>
      <c r="D546" s="29" t="s">
        <v>5</v>
      </c>
      <c r="E546" s="174" t="s">
        <v>289</v>
      </c>
      <c r="F546" s="147" t="s">
        <v>341</v>
      </c>
      <c r="G546" s="236"/>
      <c r="H546" s="425">
        <f>SUM(H547:H549)+H554</f>
        <v>152316</v>
      </c>
      <c r="I546" s="425">
        <f t="shared" ref="I546" si="160">SUM(I547:I549)+I554</f>
        <v>48</v>
      </c>
      <c r="J546" s="425">
        <f>H546+I546</f>
        <v>152364</v>
      </c>
      <c r="K546" s="333"/>
      <c r="L546" s="848">
        <f>L555</f>
        <v>15000</v>
      </c>
      <c r="M546" s="848">
        <f t="shared" ref="M546" si="161">M555</f>
        <v>0</v>
      </c>
      <c r="N546" s="848">
        <f t="shared" si="151"/>
        <v>15000</v>
      </c>
      <c r="O546" s="333"/>
      <c r="P546" s="332">
        <f t="shared" si="148"/>
        <v>167316</v>
      </c>
      <c r="Q546" s="332">
        <f t="shared" si="149"/>
        <v>48</v>
      </c>
      <c r="R546" s="332">
        <f t="shared" si="149"/>
        <v>167364</v>
      </c>
    </row>
    <row r="547" spans="2:18" x14ac:dyDescent="0.2">
      <c r="B547" s="171">
        <f t="shared" si="152"/>
        <v>14</v>
      </c>
      <c r="C547" s="143"/>
      <c r="D547" s="144"/>
      <c r="E547" s="131"/>
      <c r="F547" s="144" t="s">
        <v>211</v>
      </c>
      <c r="G547" s="199" t="s">
        <v>505</v>
      </c>
      <c r="H547" s="388">
        <f>78130+3823+1976</f>
        <v>83929</v>
      </c>
      <c r="I547" s="388"/>
      <c r="J547" s="388">
        <f>H547+I547</f>
        <v>83929</v>
      </c>
      <c r="K547" s="145"/>
      <c r="L547" s="396"/>
      <c r="M547" s="396"/>
      <c r="N547" s="396"/>
      <c r="O547" s="145"/>
      <c r="P547" s="166">
        <f t="shared" si="148"/>
        <v>83929</v>
      </c>
      <c r="Q547" s="166">
        <f t="shared" si="149"/>
        <v>0</v>
      </c>
      <c r="R547" s="166">
        <f t="shared" si="149"/>
        <v>83929</v>
      </c>
    </row>
    <row r="548" spans="2:18" x14ac:dyDescent="0.2">
      <c r="B548" s="171">
        <f t="shared" si="152"/>
        <v>15</v>
      </c>
      <c r="C548" s="143"/>
      <c r="D548" s="144"/>
      <c r="E548" s="131"/>
      <c r="F548" s="144" t="s">
        <v>212</v>
      </c>
      <c r="G548" s="199" t="s">
        <v>259</v>
      </c>
      <c r="H548" s="388">
        <f>28760+1407+1980</f>
        <v>32147</v>
      </c>
      <c r="I548" s="388"/>
      <c r="J548" s="388">
        <f t="shared" ref="J548:J554" si="162">H548+I548</f>
        <v>32147</v>
      </c>
      <c r="K548" s="145"/>
      <c r="L548" s="396"/>
      <c r="M548" s="396"/>
      <c r="N548" s="396"/>
      <c r="O548" s="145"/>
      <c r="P548" s="166">
        <f t="shared" si="148"/>
        <v>32147</v>
      </c>
      <c r="Q548" s="166">
        <f t="shared" si="149"/>
        <v>0</v>
      </c>
      <c r="R548" s="166">
        <f t="shared" si="149"/>
        <v>32147</v>
      </c>
    </row>
    <row r="549" spans="2:18" x14ac:dyDescent="0.2">
      <c r="B549" s="171">
        <f t="shared" si="152"/>
        <v>16</v>
      </c>
      <c r="C549" s="143"/>
      <c r="D549" s="144"/>
      <c r="E549" s="131"/>
      <c r="F549" s="144" t="s">
        <v>218</v>
      </c>
      <c r="G549" s="199" t="s">
        <v>340</v>
      </c>
      <c r="H549" s="388">
        <f>SUM(H550:H553)</f>
        <v>35000</v>
      </c>
      <c r="I549" s="388">
        <f t="shared" ref="I549" si="163">SUM(I550:I553)</f>
        <v>48</v>
      </c>
      <c r="J549" s="388">
        <f t="shared" si="162"/>
        <v>35048</v>
      </c>
      <c r="K549" s="145"/>
      <c r="L549" s="396"/>
      <c r="M549" s="396"/>
      <c r="N549" s="396"/>
      <c r="O549" s="145"/>
      <c r="P549" s="166">
        <f t="shared" si="148"/>
        <v>35000</v>
      </c>
      <c r="Q549" s="166">
        <f t="shared" si="149"/>
        <v>48</v>
      </c>
      <c r="R549" s="166">
        <f t="shared" si="149"/>
        <v>35048</v>
      </c>
    </row>
    <row r="550" spans="2:18" x14ac:dyDescent="0.2">
      <c r="B550" s="171">
        <f t="shared" si="152"/>
        <v>17</v>
      </c>
      <c r="C550" s="130"/>
      <c r="D550" s="131"/>
      <c r="E550" s="131"/>
      <c r="F550" s="131" t="s">
        <v>199</v>
      </c>
      <c r="G550" s="194" t="s">
        <v>318</v>
      </c>
      <c r="H550" s="526">
        <v>24950</v>
      </c>
      <c r="I550" s="526"/>
      <c r="J550" s="526">
        <f t="shared" si="162"/>
        <v>24950</v>
      </c>
      <c r="K550" s="132"/>
      <c r="L550" s="527"/>
      <c r="M550" s="527"/>
      <c r="N550" s="527"/>
      <c r="O550" s="132"/>
      <c r="P550" s="167">
        <f t="shared" si="148"/>
        <v>24950</v>
      </c>
      <c r="Q550" s="167">
        <f t="shared" si="149"/>
        <v>0</v>
      </c>
      <c r="R550" s="167">
        <f t="shared" si="149"/>
        <v>24950</v>
      </c>
    </row>
    <row r="551" spans="2:18" x14ac:dyDescent="0.2">
      <c r="B551" s="171">
        <f t="shared" si="152"/>
        <v>18</v>
      </c>
      <c r="C551" s="130"/>
      <c r="D551" s="131"/>
      <c r="E551" s="131"/>
      <c r="F551" s="131" t="s">
        <v>200</v>
      </c>
      <c r="G551" s="194" t="s">
        <v>247</v>
      </c>
      <c r="H551" s="526">
        <v>6580</v>
      </c>
      <c r="I551" s="526">
        <v>48</v>
      </c>
      <c r="J551" s="526">
        <f t="shared" si="162"/>
        <v>6628</v>
      </c>
      <c r="K551" s="132"/>
      <c r="L551" s="527"/>
      <c r="M551" s="527"/>
      <c r="N551" s="527"/>
      <c r="O551" s="132"/>
      <c r="P551" s="167">
        <f t="shared" si="148"/>
        <v>6580</v>
      </c>
      <c r="Q551" s="167">
        <f t="shared" ref="Q551:R568" si="164">I551+M551</f>
        <v>48</v>
      </c>
      <c r="R551" s="167">
        <f t="shared" si="164"/>
        <v>6628</v>
      </c>
    </row>
    <row r="552" spans="2:18" x14ac:dyDescent="0.2">
      <c r="B552" s="171">
        <f t="shared" si="152"/>
        <v>19</v>
      </c>
      <c r="C552" s="143"/>
      <c r="D552" s="131"/>
      <c r="E552" s="131"/>
      <c r="F552" s="131" t="s">
        <v>214</v>
      </c>
      <c r="G552" s="194" t="s">
        <v>261</v>
      </c>
      <c r="H552" s="526">
        <f>150+400</f>
        <v>550</v>
      </c>
      <c r="I552" s="526"/>
      <c r="J552" s="526">
        <f t="shared" si="162"/>
        <v>550</v>
      </c>
      <c r="K552" s="145"/>
      <c r="L552" s="527"/>
      <c r="M552" s="527"/>
      <c r="N552" s="527"/>
      <c r="O552" s="145"/>
      <c r="P552" s="167">
        <f t="shared" si="148"/>
        <v>550</v>
      </c>
      <c r="Q552" s="167">
        <f t="shared" si="164"/>
        <v>0</v>
      </c>
      <c r="R552" s="167">
        <f t="shared" si="164"/>
        <v>550</v>
      </c>
    </row>
    <row r="553" spans="2:18" x14ac:dyDescent="0.2">
      <c r="B553" s="171">
        <f t="shared" si="152"/>
        <v>20</v>
      </c>
      <c r="C553" s="143"/>
      <c r="D553" s="131"/>
      <c r="E553" s="131"/>
      <c r="F553" s="131" t="s">
        <v>216</v>
      </c>
      <c r="G553" s="194" t="s">
        <v>248</v>
      </c>
      <c r="H553" s="526">
        <f>3320-400</f>
        <v>2920</v>
      </c>
      <c r="I553" s="526"/>
      <c r="J553" s="526">
        <f t="shared" si="162"/>
        <v>2920</v>
      </c>
      <c r="K553" s="145"/>
      <c r="L553" s="527"/>
      <c r="M553" s="527"/>
      <c r="N553" s="527"/>
      <c r="O553" s="145"/>
      <c r="P553" s="167">
        <f t="shared" si="148"/>
        <v>2920</v>
      </c>
      <c r="Q553" s="167">
        <f t="shared" si="164"/>
        <v>0</v>
      </c>
      <c r="R553" s="167">
        <f t="shared" si="164"/>
        <v>2920</v>
      </c>
    </row>
    <row r="554" spans="2:18" x14ac:dyDescent="0.2">
      <c r="B554" s="171">
        <f t="shared" si="152"/>
        <v>21</v>
      </c>
      <c r="C554" s="143"/>
      <c r="D554" s="131"/>
      <c r="E554" s="169"/>
      <c r="F554" s="284" t="s">
        <v>652</v>
      </c>
      <c r="G554" s="199" t="s">
        <v>665</v>
      </c>
      <c r="H554" s="388">
        <v>1240</v>
      </c>
      <c r="I554" s="388"/>
      <c r="J554" s="388">
        <f t="shared" si="162"/>
        <v>1240</v>
      </c>
      <c r="K554" s="145"/>
      <c r="L554" s="527"/>
      <c r="M554" s="527"/>
      <c r="N554" s="527"/>
      <c r="O554" s="145"/>
      <c r="P554" s="166">
        <f t="shared" si="148"/>
        <v>1240</v>
      </c>
      <c r="Q554" s="166">
        <f t="shared" si="164"/>
        <v>0</v>
      </c>
      <c r="R554" s="166">
        <f t="shared" si="164"/>
        <v>1240</v>
      </c>
    </row>
    <row r="555" spans="2:18" x14ac:dyDescent="0.2">
      <c r="B555" s="171">
        <f t="shared" si="152"/>
        <v>22</v>
      </c>
      <c r="C555" s="143"/>
      <c r="D555" s="131"/>
      <c r="E555" s="169"/>
      <c r="F555" s="284" t="s">
        <v>432</v>
      </c>
      <c r="G555" s="199" t="s">
        <v>841</v>
      </c>
      <c r="H555" s="388"/>
      <c r="I555" s="388"/>
      <c r="J555" s="388"/>
      <c r="K555" s="145"/>
      <c r="L555" s="396">
        <v>15000</v>
      </c>
      <c r="M555" s="396"/>
      <c r="N555" s="396">
        <f t="shared" si="151"/>
        <v>15000</v>
      </c>
      <c r="O555" s="145"/>
      <c r="P555" s="166">
        <f t="shared" si="148"/>
        <v>15000</v>
      </c>
      <c r="Q555" s="166">
        <f t="shared" si="164"/>
        <v>0</v>
      </c>
      <c r="R555" s="166">
        <f t="shared" si="164"/>
        <v>15000</v>
      </c>
    </row>
    <row r="556" spans="2:18" ht="15" x14ac:dyDescent="0.25">
      <c r="B556" s="171">
        <f t="shared" si="152"/>
        <v>23</v>
      </c>
      <c r="C556" s="143"/>
      <c r="D556" s="29" t="s">
        <v>6</v>
      </c>
      <c r="E556" s="174" t="s">
        <v>289</v>
      </c>
      <c r="F556" s="147" t="s">
        <v>342</v>
      </c>
      <c r="G556" s="236"/>
      <c r="H556" s="426">
        <f>SUM(H557:H559)+H564</f>
        <v>121969</v>
      </c>
      <c r="I556" s="426">
        <f>SUM(I557:I559)+I564</f>
        <v>228</v>
      </c>
      <c r="J556" s="426">
        <f>H556+I556</f>
        <v>122197</v>
      </c>
      <c r="K556" s="334"/>
      <c r="L556" s="849"/>
      <c r="M556" s="849"/>
      <c r="N556" s="849"/>
      <c r="O556" s="334"/>
      <c r="P556" s="330">
        <f t="shared" si="148"/>
        <v>121969</v>
      </c>
      <c r="Q556" s="330">
        <f t="shared" si="164"/>
        <v>228</v>
      </c>
      <c r="R556" s="330">
        <f t="shared" si="164"/>
        <v>122197</v>
      </c>
    </row>
    <row r="557" spans="2:18" x14ac:dyDescent="0.2">
      <c r="B557" s="171">
        <f t="shared" si="152"/>
        <v>24</v>
      </c>
      <c r="C557" s="143"/>
      <c r="D557" s="144"/>
      <c r="E557" s="144"/>
      <c r="F557" s="144" t="s">
        <v>211</v>
      </c>
      <c r="G557" s="199" t="s">
        <v>505</v>
      </c>
      <c r="H557" s="388">
        <f>63905+3153+1526-216</f>
        <v>68368</v>
      </c>
      <c r="I557" s="388"/>
      <c r="J557" s="388">
        <f>H557+I557</f>
        <v>68368</v>
      </c>
      <c r="K557" s="145"/>
      <c r="L557" s="527"/>
      <c r="M557" s="527"/>
      <c r="N557" s="527"/>
      <c r="O557" s="145"/>
      <c r="P557" s="166">
        <f t="shared" si="148"/>
        <v>68368</v>
      </c>
      <c r="Q557" s="166">
        <f t="shared" si="164"/>
        <v>0</v>
      </c>
      <c r="R557" s="166">
        <f t="shared" si="164"/>
        <v>68368</v>
      </c>
    </row>
    <row r="558" spans="2:18" x14ac:dyDescent="0.2">
      <c r="B558" s="171">
        <f t="shared" si="152"/>
        <v>25</v>
      </c>
      <c r="C558" s="143"/>
      <c r="D558" s="144"/>
      <c r="E558" s="144"/>
      <c r="F558" s="144" t="s">
        <v>212</v>
      </c>
      <c r="G558" s="199" t="s">
        <v>259</v>
      </c>
      <c r="H558" s="388">
        <f>23600+1164+751</f>
        <v>25515</v>
      </c>
      <c r="I558" s="388"/>
      <c r="J558" s="388">
        <f t="shared" ref="J558:J563" si="165">H558+I558</f>
        <v>25515</v>
      </c>
      <c r="K558" s="145"/>
      <c r="L558" s="527"/>
      <c r="M558" s="527"/>
      <c r="N558" s="527"/>
      <c r="O558" s="145"/>
      <c r="P558" s="166">
        <f t="shared" si="148"/>
        <v>25515</v>
      </c>
      <c r="Q558" s="166">
        <f t="shared" si="164"/>
        <v>0</v>
      </c>
      <c r="R558" s="166">
        <f t="shared" si="164"/>
        <v>25515</v>
      </c>
    </row>
    <row r="559" spans="2:18" x14ac:dyDescent="0.2">
      <c r="B559" s="171">
        <f t="shared" si="152"/>
        <v>26</v>
      </c>
      <c r="C559" s="143"/>
      <c r="D559" s="144"/>
      <c r="E559" s="144"/>
      <c r="F559" s="144" t="s">
        <v>218</v>
      </c>
      <c r="G559" s="199" t="s">
        <v>340</v>
      </c>
      <c r="H559" s="388">
        <f>SUM(H560:H563)</f>
        <v>27870</v>
      </c>
      <c r="I559" s="388">
        <f>SUM(I560:I563)</f>
        <v>228</v>
      </c>
      <c r="J559" s="388">
        <f t="shared" si="165"/>
        <v>28098</v>
      </c>
      <c r="K559" s="145"/>
      <c r="L559" s="527"/>
      <c r="M559" s="527"/>
      <c r="N559" s="527"/>
      <c r="O559" s="145"/>
      <c r="P559" s="166">
        <f t="shared" si="148"/>
        <v>27870</v>
      </c>
      <c r="Q559" s="166">
        <f t="shared" si="164"/>
        <v>228</v>
      </c>
      <c r="R559" s="166">
        <f t="shared" si="164"/>
        <v>28098</v>
      </c>
    </row>
    <row r="560" spans="2:18" x14ac:dyDescent="0.2">
      <c r="B560" s="171">
        <f t="shared" si="152"/>
        <v>27</v>
      </c>
      <c r="C560" s="143"/>
      <c r="D560" s="131"/>
      <c r="E560" s="131"/>
      <c r="F560" s="131" t="s">
        <v>199</v>
      </c>
      <c r="G560" s="194" t="s">
        <v>318</v>
      </c>
      <c r="H560" s="526">
        <v>18600</v>
      </c>
      <c r="I560" s="526"/>
      <c r="J560" s="526">
        <f t="shared" si="165"/>
        <v>18600</v>
      </c>
      <c r="K560" s="145"/>
      <c r="L560" s="527"/>
      <c r="M560" s="527"/>
      <c r="N560" s="527"/>
      <c r="O560" s="145"/>
      <c r="P560" s="167">
        <f t="shared" si="148"/>
        <v>18600</v>
      </c>
      <c r="Q560" s="167">
        <f t="shared" si="164"/>
        <v>0</v>
      </c>
      <c r="R560" s="167">
        <f t="shared" si="164"/>
        <v>18600</v>
      </c>
    </row>
    <row r="561" spans="2:18" x14ac:dyDescent="0.2">
      <c r="B561" s="171">
        <f t="shared" si="152"/>
        <v>28</v>
      </c>
      <c r="C561" s="143"/>
      <c r="D561" s="131"/>
      <c r="E561" s="131"/>
      <c r="F561" s="131" t="s">
        <v>200</v>
      </c>
      <c r="G561" s="194" t="s">
        <v>247</v>
      </c>
      <c r="H561" s="526">
        <v>6800</v>
      </c>
      <c r="I561" s="526">
        <v>228</v>
      </c>
      <c r="J561" s="526">
        <f t="shared" si="165"/>
        <v>7028</v>
      </c>
      <c r="K561" s="145"/>
      <c r="L561" s="527"/>
      <c r="M561" s="527"/>
      <c r="N561" s="527"/>
      <c r="O561" s="145"/>
      <c r="P561" s="167">
        <f t="shared" si="148"/>
        <v>6800</v>
      </c>
      <c r="Q561" s="167">
        <f t="shared" si="164"/>
        <v>228</v>
      </c>
      <c r="R561" s="167">
        <f t="shared" si="164"/>
        <v>7028</v>
      </c>
    </row>
    <row r="562" spans="2:18" x14ac:dyDescent="0.2">
      <c r="B562" s="171">
        <f t="shared" si="152"/>
        <v>29</v>
      </c>
      <c r="C562" s="143"/>
      <c r="D562" s="131"/>
      <c r="E562" s="178"/>
      <c r="F562" s="131" t="s">
        <v>214</v>
      </c>
      <c r="G562" s="194" t="s">
        <v>261</v>
      </c>
      <c r="H562" s="526">
        <v>140</v>
      </c>
      <c r="I562" s="526"/>
      <c r="J562" s="526">
        <f t="shared" ref="J562" si="166">H562+I562</f>
        <v>140</v>
      </c>
      <c r="K562" s="145"/>
      <c r="L562" s="527"/>
      <c r="M562" s="527"/>
      <c r="N562" s="527"/>
      <c r="O562" s="145"/>
      <c r="P562" s="167">
        <f t="shared" ref="P562" si="167">H562+L562</f>
        <v>140</v>
      </c>
      <c r="Q562" s="167">
        <f t="shared" ref="Q562" si="168">I562+M562</f>
        <v>0</v>
      </c>
      <c r="R562" s="167">
        <f t="shared" ref="R562" si="169">J562+N562</f>
        <v>140</v>
      </c>
    </row>
    <row r="563" spans="2:18" x14ac:dyDescent="0.2">
      <c r="B563" s="171">
        <f t="shared" si="152"/>
        <v>30</v>
      </c>
      <c r="C563" s="143"/>
      <c r="D563" s="131"/>
      <c r="E563" s="146"/>
      <c r="F563" s="131" t="s">
        <v>216</v>
      </c>
      <c r="G563" s="194" t="s">
        <v>248</v>
      </c>
      <c r="H563" s="526">
        <f>2470-140</f>
        <v>2330</v>
      </c>
      <c r="I563" s="526"/>
      <c r="J563" s="526">
        <f t="shared" si="165"/>
        <v>2330</v>
      </c>
      <c r="K563" s="283"/>
      <c r="L563" s="526"/>
      <c r="M563" s="526"/>
      <c r="N563" s="526"/>
      <c r="O563" s="283"/>
      <c r="P563" s="168">
        <f t="shared" si="148"/>
        <v>2330</v>
      </c>
      <c r="Q563" s="168">
        <f t="shared" si="164"/>
        <v>0</v>
      </c>
      <c r="R563" s="168">
        <f t="shared" si="164"/>
        <v>2330</v>
      </c>
    </row>
    <row r="564" spans="2:18" x14ac:dyDescent="0.2">
      <c r="B564" s="171">
        <f t="shared" si="152"/>
        <v>31</v>
      </c>
      <c r="C564" s="143"/>
      <c r="D564" s="131"/>
      <c r="E564" s="146"/>
      <c r="F564" s="144" t="s">
        <v>217</v>
      </c>
      <c r="G564" s="199" t="s">
        <v>665</v>
      </c>
      <c r="H564" s="388">
        <v>216</v>
      </c>
      <c r="I564" s="388"/>
      <c r="J564" s="388">
        <f t="shared" ref="J564" si="170">H564+I564</f>
        <v>216</v>
      </c>
      <c r="K564" s="283"/>
      <c r="L564" s="388"/>
      <c r="M564" s="388"/>
      <c r="N564" s="388"/>
      <c r="O564" s="283"/>
      <c r="P564" s="530">
        <f t="shared" ref="P564" si="171">H564+L564</f>
        <v>216</v>
      </c>
      <c r="Q564" s="530">
        <f t="shared" ref="Q564" si="172">I564+M564</f>
        <v>0</v>
      </c>
      <c r="R564" s="530">
        <f t="shared" ref="R564" si="173">J564+N564</f>
        <v>216</v>
      </c>
    </row>
    <row r="565" spans="2:18" ht="15" x14ac:dyDescent="0.25">
      <c r="B565" s="171">
        <f t="shared" si="152"/>
        <v>32</v>
      </c>
      <c r="C565" s="143"/>
      <c r="D565" s="29" t="s">
        <v>7</v>
      </c>
      <c r="E565" s="264" t="s">
        <v>289</v>
      </c>
      <c r="F565" s="265" t="s">
        <v>343</v>
      </c>
      <c r="G565" s="266"/>
      <c r="H565" s="427">
        <f>SUM(H566:H568)+H573</f>
        <v>158659</v>
      </c>
      <c r="I565" s="427">
        <f t="shared" ref="I565" si="174">SUM(I566:I568)+I573</f>
        <v>996</v>
      </c>
      <c r="J565" s="427">
        <f>I565+H565</f>
        <v>159655</v>
      </c>
      <c r="K565" s="334"/>
      <c r="L565" s="850"/>
      <c r="M565" s="850"/>
      <c r="N565" s="850"/>
      <c r="O565" s="334"/>
      <c r="P565" s="335">
        <f t="shared" si="148"/>
        <v>158659</v>
      </c>
      <c r="Q565" s="335">
        <f t="shared" si="164"/>
        <v>996</v>
      </c>
      <c r="R565" s="335">
        <f t="shared" si="164"/>
        <v>159655</v>
      </c>
    </row>
    <row r="566" spans="2:18" x14ac:dyDescent="0.2">
      <c r="B566" s="171">
        <f t="shared" si="152"/>
        <v>33</v>
      </c>
      <c r="C566" s="143"/>
      <c r="D566" s="144"/>
      <c r="E566" s="144"/>
      <c r="F566" s="144" t="s">
        <v>211</v>
      </c>
      <c r="G566" s="199" t="s">
        <v>505</v>
      </c>
      <c r="H566" s="388">
        <f>87030+4268-8523</f>
        <v>82775</v>
      </c>
      <c r="I566" s="388">
        <v>-840</v>
      </c>
      <c r="J566" s="388">
        <f>H566+I566</f>
        <v>81935</v>
      </c>
      <c r="K566" s="145"/>
      <c r="L566" s="526"/>
      <c r="M566" s="526"/>
      <c r="N566" s="526"/>
      <c r="O566" s="145"/>
      <c r="P566" s="166">
        <f t="shared" si="148"/>
        <v>82775</v>
      </c>
      <c r="Q566" s="166">
        <f t="shared" si="164"/>
        <v>-840</v>
      </c>
      <c r="R566" s="166">
        <f t="shared" si="164"/>
        <v>81935</v>
      </c>
    </row>
    <row r="567" spans="2:18" x14ac:dyDescent="0.2">
      <c r="B567" s="171">
        <f t="shared" si="152"/>
        <v>34</v>
      </c>
      <c r="C567" s="143"/>
      <c r="D567" s="144"/>
      <c r="E567" s="144"/>
      <c r="F567" s="144" t="s">
        <v>212</v>
      </c>
      <c r="G567" s="199" t="s">
        <v>259</v>
      </c>
      <c r="H567" s="388">
        <f>32293+1582-3591</f>
        <v>30284</v>
      </c>
      <c r="I567" s="388">
        <v>-330</v>
      </c>
      <c r="J567" s="388">
        <f t="shared" ref="J567:J573" si="175">H567+I567</f>
        <v>29954</v>
      </c>
      <c r="K567" s="145"/>
      <c r="L567" s="527"/>
      <c r="M567" s="527"/>
      <c r="N567" s="527"/>
      <c r="O567" s="145"/>
      <c r="P567" s="166">
        <f t="shared" si="148"/>
        <v>30284</v>
      </c>
      <c r="Q567" s="166">
        <f t="shared" si="164"/>
        <v>-330</v>
      </c>
      <c r="R567" s="166">
        <f t="shared" si="164"/>
        <v>29954</v>
      </c>
    </row>
    <row r="568" spans="2:18" x14ac:dyDescent="0.2">
      <c r="B568" s="171">
        <f t="shared" si="152"/>
        <v>35</v>
      </c>
      <c r="C568" s="143"/>
      <c r="D568" s="144"/>
      <c r="E568" s="144"/>
      <c r="F568" s="144" t="s">
        <v>218</v>
      </c>
      <c r="G568" s="199" t="s">
        <v>340</v>
      </c>
      <c r="H568" s="388">
        <f>SUM(H569:H572)</f>
        <v>43500</v>
      </c>
      <c r="I568" s="388">
        <f>SUM(I569:I572)</f>
        <v>2166</v>
      </c>
      <c r="J568" s="388">
        <f t="shared" si="175"/>
        <v>45666</v>
      </c>
      <c r="K568" s="145"/>
      <c r="L568" s="527"/>
      <c r="M568" s="527"/>
      <c r="N568" s="527"/>
      <c r="O568" s="145"/>
      <c r="P568" s="166">
        <f t="shared" si="148"/>
        <v>43500</v>
      </c>
      <c r="Q568" s="166">
        <f t="shared" si="164"/>
        <v>2166</v>
      </c>
      <c r="R568" s="166">
        <f t="shared" si="164"/>
        <v>45666</v>
      </c>
    </row>
    <row r="569" spans="2:18" x14ac:dyDescent="0.2">
      <c r="B569" s="171">
        <f t="shared" si="152"/>
        <v>36</v>
      </c>
      <c r="C569" s="143"/>
      <c r="D569" s="131"/>
      <c r="E569" s="131"/>
      <c r="F569" s="131" t="s">
        <v>199</v>
      </c>
      <c r="G569" s="194" t="s">
        <v>318</v>
      </c>
      <c r="H569" s="526">
        <v>34250</v>
      </c>
      <c r="I569" s="526"/>
      <c r="J569" s="526">
        <f t="shared" si="175"/>
        <v>34250</v>
      </c>
      <c r="K569" s="145"/>
      <c r="L569" s="527"/>
      <c r="M569" s="527"/>
      <c r="N569" s="527"/>
      <c r="O569" s="145"/>
      <c r="P569" s="167">
        <f t="shared" si="148"/>
        <v>34250</v>
      </c>
      <c r="Q569" s="167">
        <f t="shared" ref="Q569:R579" si="176">I569+M569</f>
        <v>0</v>
      </c>
      <c r="R569" s="167">
        <f t="shared" si="176"/>
        <v>34250</v>
      </c>
    </row>
    <row r="570" spans="2:18" x14ac:dyDescent="0.2">
      <c r="B570" s="171">
        <f t="shared" si="152"/>
        <v>37</v>
      </c>
      <c r="C570" s="143"/>
      <c r="D570" s="131"/>
      <c r="E570" s="131"/>
      <c r="F570" s="131" t="s">
        <v>200</v>
      </c>
      <c r="G570" s="194" t="s">
        <v>247</v>
      </c>
      <c r="H570" s="526">
        <v>4930</v>
      </c>
      <c r="I570" s="526">
        <f>1374+792</f>
        <v>2166</v>
      </c>
      <c r="J570" s="526">
        <f t="shared" si="175"/>
        <v>7096</v>
      </c>
      <c r="K570" s="145"/>
      <c r="L570" s="527"/>
      <c r="M570" s="527"/>
      <c r="N570" s="527"/>
      <c r="O570" s="145"/>
      <c r="P570" s="167">
        <f t="shared" si="148"/>
        <v>4930</v>
      </c>
      <c r="Q570" s="167">
        <f t="shared" si="176"/>
        <v>2166</v>
      </c>
      <c r="R570" s="167">
        <f t="shared" si="176"/>
        <v>7096</v>
      </c>
    </row>
    <row r="571" spans="2:18" x14ac:dyDescent="0.2">
      <c r="B571" s="171">
        <f t="shared" si="152"/>
        <v>38</v>
      </c>
      <c r="C571" s="143"/>
      <c r="D571" s="131"/>
      <c r="E571" s="146"/>
      <c r="F571" s="131" t="s">
        <v>214</v>
      </c>
      <c r="G571" s="194" t="s">
        <v>261</v>
      </c>
      <c r="H571" s="526">
        <f>150+1000</f>
        <v>1150</v>
      </c>
      <c r="I571" s="526"/>
      <c r="J571" s="526">
        <f t="shared" si="175"/>
        <v>1150</v>
      </c>
      <c r="K571" s="145"/>
      <c r="L571" s="527"/>
      <c r="M571" s="527"/>
      <c r="N571" s="527"/>
      <c r="O571" s="145"/>
      <c r="P571" s="167">
        <f t="shared" si="148"/>
        <v>1150</v>
      </c>
      <c r="Q571" s="167">
        <f t="shared" si="176"/>
        <v>0</v>
      </c>
      <c r="R571" s="167">
        <f t="shared" si="176"/>
        <v>1150</v>
      </c>
    </row>
    <row r="572" spans="2:18" x14ac:dyDescent="0.2">
      <c r="B572" s="171">
        <f t="shared" si="152"/>
        <v>39</v>
      </c>
      <c r="C572" s="143"/>
      <c r="D572" s="131"/>
      <c r="E572" s="146"/>
      <c r="F572" s="131" t="s">
        <v>216</v>
      </c>
      <c r="G572" s="194" t="s">
        <v>248</v>
      </c>
      <c r="H572" s="526">
        <v>3170</v>
      </c>
      <c r="I572" s="526"/>
      <c r="J572" s="526">
        <f t="shared" si="175"/>
        <v>3170</v>
      </c>
      <c r="K572" s="145"/>
      <c r="L572" s="527"/>
      <c r="M572" s="527"/>
      <c r="N572" s="527"/>
      <c r="O572" s="145"/>
      <c r="P572" s="167">
        <f t="shared" si="148"/>
        <v>3170</v>
      </c>
      <c r="Q572" s="167">
        <f t="shared" si="176"/>
        <v>0</v>
      </c>
      <c r="R572" s="167">
        <f t="shared" si="176"/>
        <v>3170</v>
      </c>
    </row>
    <row r="573" spans="2:18" x14ac:dyDescent="0.2">
      <c r="B573" s="171">
        <f t="shared" si="152"/>
        <v>40</v>
      </c>
      <c r="C573" s="143"/>
      <c r="D573" s="131"/>
      <c r="E573" s="146"/>
      <c r="F573" s="284" t="s">
        <v>652</v>
      </c>
      <c r="G573" s="199" t="s">
        <v>665</v>
      </c>
      <c r="H573" s="388">
        <v>2100</v>
      </c>
      <c r="I573" s="388"/>
      <c r="J573" s="388">
        <f t="shared" si="175"/>
        <v>2100</v>
      </c>
      <c r="K573" s="145"/>
      <c r="L573" s="527"/>
      <c r="M573" s="527"/>
      <c r="N573" s="527"/>
      <c r="O573" s="145"/>
      <c r="P573" s="166">
        <f t="shared" si="148"/>
        <v>2100</v>
      </c>
      <c r="Q573" s="166">
        <f t="shared" si="176"/>
        <v>0</v>
      </c>
      <c r="R573" s="166">
        <f t="shared" si="176"/>
        <v>2100</v>
      </c>
    </row>
    <row r="574" spans="2:18" ht="15" x14ac:dyDescent="0.25">
      <c r="B574" s="171">
        <f t="shared" si="152"/>
        <v>41</v>
      </c>
      <c r="C574" s="143"/>
      <c r="D574" s="29" t="s">
        <v>8</v>
      </c>
      <c r="E574" s="174" t="s">
        <v>289</v>
      </c>
      <c r="F574" s="147" t="s">
        <v>344</v>
      </c>
      <c r="G574" s="236"/>
      <c r="H574" s="425">
        <f>SUM(H575:H577)+H583</f>
        <v>146637</v>
      </c>
      <c r="I574" s="425">
        <f t="shared" ref="I574" si="177">SUM(I575:I577)+I583</f>
        <v>707</v>
      </c>
      <c r="J574" s="425">
        <f>H574+I574</f>
        <v>147344</v>
      </c>
      <c r="K574" s="334"/>
      <c r="L574" s="849"/>
      <c r="M574" s="849"/>
      <c r="N574" s="849"/>
      <c r="O574" s="334"/>
      <c r="P574" s="330">
        <f t="shared" si="148"/>
        <v>146637</v>
      </c>
      <c r="Q574" s="330">
        <f t="shared" si="176"/>
        <v>707</v>
      </c>
      <c r="R574" s="330">
        <f t="shared" si="176"/>
        <v>147344</v>
      </c>
    </row>
    <row r="575" spans="2:18" x14ac:dyDescent="0.2">
      <c r="B575" s="171">
        <f t="shared" si="152"/>
        <v>42</v>
      </c>
      <c r="C575" s="143"/>
      <c r="D575" s="144"/>
      <c r="E575" s="144"/>
      <c r="F575" s="144" t="s">
        <v>211</v>
      </c>
      <c r="G575" s="199" t="s">
        <v>505</v>
      </c>
      <c r="H575" s="388">
        <f>80010+3917-4898</f>
        <v>79029</v>
      </c>
      <c r="I575" s="388"/>
      <c r="J575" s="388">
        <f>H575+I575</f>
        <v>79029</v>
      </c>
      <c r="K575" s="145"/>
      <c r="L575" s="527"/>
      <c r="M575" s="527"/>
      <c r="N575" s="527"/>
      <c r="O575" s="145"/>
      <c r="P575" s="166">
        <f t="shared" si="148"/>
        <v>79029</v>
      </c>
      <c r="Q575" s="166">
        <f t="shared" si="176"/>
        <v>0</v>
      </c>
      <c r="R575" s="166">
        <f t="shared" si="176"/>
        <v>79029</v>
      </c>
    </row>
    <row r="576" spans="2:18" x14ac:dyDescent="0.2">
      <c r="B576" s="171">
        <f t="shared" si="152"/>
        <v>43</v>
      </c>
      <c r="C576" s="143"/>
      <c r="D576" s="144"/>
      <c r="E576" s="144"/>
      <c r="F576" s="144" t="s">
        <v>212</v>
      </c>
      <c r="G576" s="199" t="s">
        <v>259</v>
      </c>
      <c r="H576" s="388">
        <f>29589+1446-1437</f>
        <v>29598</v>
      </c>
      <c r="I576" s="388"/>
      <c r="J576" s="388">
        <f t="shared" ref="J576:J581" si="178">H576+I576</f>
        <v>29598</v>
      </c>
      <c r="K576" s="145"/>
      <c r="L576" s="527"/>
      <c r="M576" s="527"/>
      <c r="N576" s="527"/>
      <c r="O576" s="145"/>
      <c r="P576" s="166">
        <f t="shared" si="148"/>
        <v>29598</v>
      </c>
      <c r="Q576" s="166">
        <f t="shared" si="176"/>
        <v>0</v>
      </c>
      <c r="R576" s="166">
        <f t="shared" si="176"/>
        <v>29598</v>
      </c>
    </row>
    <row r="577" spans="2:18" x14ac:dyDescent="0.2">
      <c r="B577" s="171">
        <f t="shared" si="152"/>
        <v>44</v>
      </c>
      <c r="C577" s="143"/>
      <c r="D577" s="144"/>
      <c r="E577" s="144"/>
      <c r="F577" s="144" t="s">
        <v>218</v>
      </c>
      <c r="G577" s="199" t="s">
        <v>340</v>
      </c>
      <c r="H577" s="388">
        <f>SUM(H578:H582)</f>
        <v>36690</v>
      </c>
      <c r="I577" s="388">
        <f>I578+I579+I580+I581</f>
        <v>707</v>
      </c>
      <c r="J577" s="388">
        <f t="shared" si="178"/>
        <v>37397</v>
      </c>
      <c r="K577" s="145"/>
      <c r="L577" s="527"/>
      <c r="M577" s="527"/>
      <c r="N577" s="527"/>
      <c r="O577" s="145"/>
      <c r="P577" s="166">
        <f t="shared" si="148"/>
        <v>36690</v>
      </c>
      <c r="Q577" s="166">
        <f t="shared" si="176"/>
        <v>707</v>
      </c>
      <c r="R577" s="166">
        <f t="shared" si="176"/>
        <v>37397</v>
      </c>
    </row>
    <row r="578" spans="2:18" x14ac:dyDescent="0.2">
      <c r="B578" s="171">
        <f t="shared" si="152"/>
        <v>45</v>
      </c>
      <c r="C578" s="143"/>
      <c r="D578" s="131"/>
      <c r="E578" s="131"/>
      <c r="F578" s="131" t="s">
        <v>199</v>
      </c>
      <c r="G578" s="194" t="s">
        <v>318</v>
      </c>
      <c r="H578" s="526">
        <v>24800</v>
      </c>
      <c r="I578" s="526"/>
      <c r="J578" s="526">
        <f t="shared" si="178"/>
        <v>24800</v>
      </c>
      <c r="K578" s="145"/>
      <c r="L578" s="527"/>
      <c r="M578" s="527"/>
      <c r="N578" s="527"/>
      <c r="O578" s="145"/>
      <c r="P578" s="167">
        <f t="shared" si="148"/>
        <v>24800</v>
      </c>
      <c r="Q578" s="167">
        <f t="shared" si="176"/>
        <v>0</v>
      </c>
      <c r="R578" s="167">
        <f t="shared" si="176"/>
        <v>24800</v>
      </c>
    </row>
    <row r="579" spans="2:18" x14ac:dyDescent="0.2">
      <c r="B579" s="171">
        <f t="shared" si="152"/>
        <v>46</v>
      </c>
      <c r="C579" s="143"/>
      <c r="D579" s="131"/>
      <c r="E579" s="131"/>
      <c r="F579" s="131" t="s">
        <v>200</v>
      </c>
      <c r="G579" s="194" t="s">
        <v>247</v>
      </c>
      <c r="H579" s="526">
        <f>6690-500</f>
        <v>6190</v>
      </c>
      <c r="I579" s="526">
        <v>707</v>
      </c>
      <c r="J579" s="526">
        <f t="shared" si="178"/>
        <v>6897</v>
      </c>
      <c r="K579" s="145"/>
      <c r="L579" s="527"/>
      <c r="M579" s="527"/>
      <c r="N579" s="527"/>
      <c r="O579" s="145"/>
      <c r="P579" s="167">
        <f t="shared" si="148"/>
        <v>6190</v>
      </c>
      <c r="Q579" s="167">
        <f t="shared" si="176"/>
        <v>707</v>
      </c>
      <c r="R579" s="167">
        <f t="shared" si="176"/>
        <v>6897</v>
      </c>
    </row>
    <row r="580" spans="2:18" x14ac:dyDescent="0.2">
      <c r="B580" s="171">
        <f t="shared" si="152"/>
        <v>47</v>
      </c>
      <c r="C580" s="143"/>
      <c r="D580" s="131"/>
      <c r="E580" s="178"/>
      <c r="F580" s="131" t="s">
        <v>214</v>
      </c>
      <c r="G580" s="194" t="s">
        <v>261</v>
      </c>
      <c r="H580" s="526">
        <f>1000+1000</f>
        <v>2000</v>
      </c>
      <c r="I580" s="526"/>
      <c r="J580" s="526">
        <f t="shared" si="178"/>
        <v>2000</v>
      </c>
      <c r="K580" s="145"/>
      <c r="L580" s="527"/>
      <c r="M580" s="527"/>
      <c r="N580" s="527"/>
      <c r="O580" s="145"/>
      <c r="P580" s="167">
        <f t="shared" ref="P580" si="179">H580+L580</f>
        <v>2000</v>
      </c>
      <c r="Q580" s="167">
        <f t="shared" ref="Q580" si="180">I580+M580</f>
        <v>0</v>
      </c>
      <c r="R580" s="167">
        <f t="shared" ref="R580" si="181">J580+N580</f>
        <v>2000</v>
      </c>
    </row>
    <row r="581" spans="2:18" x14ac:dyDescent="0.2">
      <c r="B581" s="171">
        <f t="shared" si="152"/>
        <v>48</v>
      </c>
      <c r="C581" s="143"/>
      <c r="D581" s="131"/>
      <c r="E581" s="146"/>
      <c r="F581" s="131" t="s">
        <v>216</v>
      </c>
      <c r="G581" s="194" t="s">
        <v>248</v>
      </c>
      <c r="H581" s="526">
        <f>3200-500</f>
        <v>2700</v>
      </c>
      <c r="I581" s="526"/>
      <c r="J581" s="526">
        <f t="shared" si="178"/>
        <v>2700</v>
      </c>
      <c r="K581" s="145"/>
      <c r="L581" s="527"/>
      <c r="M581" s="527"/>
      <c r="N581" s="527"/>
      <c r="O581" s="145"/>
      <c r="P581" s="167">
        <f t="shared" ref="P581:P609" si="182">H581+L581</f>
        <v>2700</v>
      </c>
      <c r="Q581" s="167">
        <f t="shared" ref="Q581:R598" si="183">I581+M581</f>
        <v>0</v>
      </c>
      <c r="R581" s="167">
        <f t="shared" si="183"/>
        <v>2700</v>
      </c>
    </row>
    <row r="582" spans="2:18" x14ac:dyDescent="0.2">
      <c r="B582" s="171">
        <f t="shared" si="152"/>
        <v>49</v>
      </c>
      <c r="C582" s="143"/>
      <c r="D582" s="131"/>
      <c r="E582" s="146"/>
      <c r="F582" s="731" t="s">
        <v>214</v>
      </c>
      <c r="G582" s="715" t="s">
        <v>809</v>
      </c>
      <c r="H582" s="716">
        <v>1000</v>
      </c>
      <c r="I582" s="716"/>
      <c r="J582" s="716">
        <f>H582+I582</f>
        <v>1000</v>
      </c>
      <c r="K582" s="732"/>
      <c r="L582" s="695"/>
      <c r="M582" s="695"/>
      <c r="N582" s="695"/>
      <c r="O582" s="732"/>
      <c r="P582" s="733">
        <f t="shared" si="182"/>
        <v>1000</v>
      </c>
      <c r="Q582" s="733">
        <f t="shared" si="183"/>
        <v>0</v>
      </c>
      <c r="R582" s="733">
        <f t="shared" si="183"/>
        <v>1000</v>
      </c>
    </row>
    <row r="583" spans="2:18" x14ac:dyDescent="0.2">
      <c r="B583" s="171">
        <f t="shared" si="152"/>
        <v>50</v>
      </c>
      <c r="C583" s="143"/>
      <c r="D583" s="131"/>
      <c r="E583" s="146"/>
      <c r="F583" s="284" t="s">
        <v>652</v>
      </c>
      <c r="G583" s="199" t="s">
        <v>665</v>
      </c>
      <c r="H583" s="388">
        <v>1320</v>
      </c>
      <c r="I583" s="388"/>
      <c r="J583" s="388">
        <f>H583+I583</f>
        <v>1320</v>
      </c>
      <c r="K583" s="145"/>
      <c r="L583" s="527"/>
      <c r="M583" s="527"/>
      <c r="N583" s="527"/>
      <c r="O583" s="145"/>
      <c r="P583" s="166">
        <f t="shared" si="182"/>
        <v>1320</v>
      </c>
      <c r="Q583" s="166">
        <f t="shared" si="183"/>
        <v>0</v>
      </c>
      <c r="R583" s="166">
        <f t="shared" si="183"/>
        <v>1320</v>
      </c>
    </row>
    <row r="584" spans="2:18" ht="15" x14ac:dyDescent="0.25">
      <c r="B584" s="171">
        <f t="shared" si="152"/>
        <v>51</v>
      </c>
      <c r="C584" s="143"/>
      <c r="D584" s="29" t="s">
        <v>169</v>
      </c>
      <c r="E584" s="174" t="s">
        <v>289</v>
      </c>
      <c r="F584" s="147" t="s">
        <v>345</v>
      </c>
      <c r="G584" s="236"/>
      <c r="H584" s="425">
        <f>SUM(H585:H587)+H592</f>
        <v>223538</v>
      </c>
      <c r="I584" s="425">
        <f t="shared" ref="I584" si="184">SUM(I585:I587)+I592</f>
        <v>1731</v>
      </c>
      <c r="J584" s="425">
        <f>H584+I584</f>
        <v>225269</v>
      </c>
      <c r="K584" s="334"/>
      <c r="L584" s="849">
        <f>L593</f>
        <v>2650</v>
      </c>
      <c r="M584" s="851"/>
      <c r="N584" s="849">
        <f>L584+M584</f>
        <v>2650</v>
      </c>
      <c r="O584" s="334"/>
      <c r="P584" s="330">
        <f t="shared" si="182"/>
        <v>226188</v>
      </c>
      <c r="Q584" s="330">
        <f t="shared" si="183"/>
        <v>1731</v>
      </c>
      <c r="R584" s="330">
        <f t="shared" si="183"/>
        <v>227919</v>
      </c>
    </row>
    <row r="585" spans="2:18" x14ac:dyDescent="0.2">
      <c r="B585" s="171">
        <f t="shared" si="152"/>
        <v>52</v>
      </c>
      <c r="C585" s="143"/>
      <c r="D585" s="144"/>
      <c r="E585" s="144"/>
      <c r="F585" s="144" t="s">
        <v>211</v>
      </c>
      <c r="G585" s="199" t="s">
        <v>505</v>
      </c>
      <c r="H585" s="388">
        <f>113520+5592+3538</f>
        <v>122650</v>
      </c>
      <c r="I585" s="388"/>
      <c r="J585" s="388">
        <f>H585+I585</f>
        <v>122650</v>
      </c>
      <c r="K585" s="145"/>
      <c r="L585" s="527"/>
      <c r="M585" s="527"/>
      <c r="N585" s="527"/>
      <c r="O585" s="145"/>
      <c r="P585" s="166">
        <f t="shared" si="182"/>
        <v>122650</v>
      </c>
      <c r="Q585" s="166">
        <f t="shared" si="183"/>
        <v>0</v>
      </c>
      <c r="R585" s="166">
        <f t="shared" si="183"/>
        <v>122650</v>
      </c>
    </row>
    <row r="586" spans="2:18" x14ac:dyDescent="0.2">
      <c r="B586" s="171">
        <f t="shared" si="152"/>
        <v>53</v>
      </c>
      <c r="C586" s="143"/>
      <c r="D586" s="144"/>
      <c r="E586" s="144"/>
      <c r="F586" s="144" t="s">
        <v>212</v>
      </c>
      <c r="G586" s="199" t="s">
        <v>259</v>
      </c>
      <c r="H586" s="388">
        <f>41375+2036+2437</f>
        <v>45848</v>
      </c>
      <c r="I586" s="388"/>
      <c r="J586" s="388">
        <f t="shared" ref="J586:J592" si="185">H586+I586</f>
        <v>45848</v>
      </c>
      <c r="K586" s="145"/>
      <c r="L586" s="527"/>
      <c r="M586" s="527"/>
      <c r="N586" s="527"/>
      <c r="O586" s="145"/>
      <c r="P586" s="166">
        <f t="shared" si="182"/>
        <v>45848</v>
      </c>
      <c r="Q586" s="166">
        <f t="shared" si="183"/>
        <v>0</v>
      </c>
      <c r="R586" s="166">
        <f t="shared" si="183"/>
        <v>45848</v>
      </c>
    </row>
    <row r="587" spans="2:18" x14ac:dyDescent="0.2">
      <c r="B587" s="171">
        <f t="shared" si="152"/>
        <v>54</v>
      </c>
      <c r="C587" s="143"/>
      <c r="D587" s="144"/>
      <c r="E587" s="144"/>
      <c r="F587" s="144" t="s">
        <v>218</v>
      </c>
      <c r="G587" s="199" t="s">
        <v>340</v>
      </c>
      <c r="H587" s="388">
        <f>SUM(H588:H591)</f>
        <v>53020</v>
      </c>
      <c r="I587" s="388">
        <f>SUM(I588:I591)</f>
        <v>1731</v>
      </c>
      <c r="J587" s="388">
        <f t="shared" si="185"/>
        <v>54751</v>
      </c>
      <c r="K587" s="145"/>
      <c r="L587" s="527"/>
      <c r="M587" s="527"/>
      <c r="N587" s="527"/>
      <c r="O587" s="145"/>
      <c r="P587" s="166">
        <f t="shared" si="182"/>
        <v>53020</v>
      </c>
      <c r="Q587" s="166">
        <f t="shared" si="183"/>
        <v>1731</v>
      </c>
      <c r="R587" s="166">
        <f t="shared" si="183"/>
        <v>54751</v>
      </c>
    </row>
    <row r="588" spans="2:18" x14ac:dyDescent="0.2">
      <c r="B588" s="171">
        <f t="shared" si="152"/>
        <v>55</v>
      </c>
      <c r="C588" s="143"/>
      <c r="D588" s="131"/>
      <c r="E588" s="131"/>
      <c r="F588" s="131" t="s">
        <v>199</v>
      </c>
      <c r="G588" s="194" t="s">
        <v>318</v>
      </c>
      <c r="H588" s="526">
        <v>38850</v>
      </c>
      <c r="I588" s="526"/>
      <c r="J588" s="526">
        <f t="shared" si="185"/>
        <v>38850</v>
      </c>
      <c r="K588" s="145"/>
      <c r="L588" s="527"/>
      <c r="M588" s="527"/>
      <c r="N588" s="527"/>
      <c r="O588" s="145"/>
      <c r="P588" s="167">
        <f t="shared" si="182"/>
        <v>38850</v>
      </c>
      <c r="Q588" s="167">
        <f t="shared" si="183"/>
        <v>0</v>
      </c>
      <c r="R588" s="167">
        <f t="shared" si="183"/>
        <v>38850</v>
      </c>
    </row>
    <row r="589" spans="2:18" x14ac:dyDescent="0.2">
      <c r="B589" s="171">
        <f t="shared" si="152"/>
        <v>56</v>
      </c>
      <c r="C589" s="143"/>
      <c r="D589" s="131"/>
      <c r="E589" s="131"/>
      <c r="F589" s="131" t="s">
        <v>200</v>
      </c>
      <c r="G589" s="194" t="s">
        <v>247</v>
      </c>
      <c r="H589" s="526">
        <f>8420+1100</f>
        <v>9520</v>
      </c>
      <c r="I589" s="526">
        <v>1731</v>
      </c>
      <c r="J589" s="526">
        <f t="shared" si="185"/>
        <v>11251</v>
      </c>
      <c r="K589" s="145"/>
      <c r="L589" s="527"/>
      <c r="M589" s="527"/>
      <c r="N589" s="527"/>
      <c r="O589" s="145"/>
      <c r="P589" s="167">
        <f t="shared" si="182"/>
        <v>9520</v>
      </c>
      <c r="Q589" s="167">
        <f t="shared" si="183"/>
        <v>1731</v>
      </c>
      <c r="R589" s="167">
        <f t="shared" si="183"/>
        <v>11251</v>
      </c>
    </row>
    <row r="590" spans="2:18" x14ac:dyDescent="0.2">
      <c r="B590" s="171">
        <f t="shared" si="152"/>
        <v>57</v>
      </c>
      <c r="C590" s="143"/>
      <c r="D590" s="131"/>
      <c r="E590" s="178"/>
      <c r="F590" s="131" t="s">
        <v>214</v>
      </c>
      <c r="G590" s="194" t="s">
        <v>261</v>
      </c>
      <c r="H590" s="526">
        <v>790</v>
      </c>
      <c r="I590" s="526"/>
      <c r="J590" s="526">
        <f t="shared" ref="J590" si="186">H590+I590</f>
        <v>790</v>
      </c>
      <c r="K590" s="145"/>
      <c r="L590" s="527"/>
      <c r="M590" s="527"/>
      <c r="N590" s="527"/>
      <c r="O590" s="145"/>
      <c r="P590" s="167">
        <f t="shared" ref="P590" si="187">H590+L590</f>
        <v>790</v>
      </c>
      <c r="Q590" s="167">
        <f t="shared" ref="Q590" si="188">I590+M590</f>
        <v>0</v>
      </c>
      <c r="R590" s="167">
        <f t="shared" ref="R590" si="189">J590+N590</f>
        <v>790</v>
      </c>
    </row>
    <row r="591" spans="2:18" x14ac:dyDescent="0.2">
      <c r="B591" s="171">
        <f t="shared" si="152"/>
        <v>58</v>
      </c>
      <c r="C591" s="143"/>
      <c r="D591" s="131"/>
      <c r="E591" s="146"/>
      <c r="F591" s="131" t="s">
        <v>216</v>
      </c>
      <c r="G591" s="194" t="s">
        <v>248</v>
      </c>
      <c r="H591" s="526">
        <f>4650-790</f>
        <v>3860</v>
      </c>
      <c r="I591" s="526"/>
      <c r="J591" s="526">
        <f t="shared" si="185"/>
        <v>3860</v>
      </c>
      <c r="K591" s="145"/>
      <c r="L591" s="527"/>
      <c r="M591" s="527"/>
      <c r="N591" s="527"/>
      <c r="O591" s="145"/>
      <c r="P591" s="167">
        <f t="shared" si="182"/>
        <v>3860</v>
      </c>
      <c r="Q591" s="167">
        <f t="shared" si="183"/>
        <v>0</v>
      </c>
      <c r="R591" s="167">
        <f t="shared" si="183"/>
        <v>3860</v>
      </c>
    </row>
    <row r="592" spans="2:18" x14ac:dyDescent="0.2">
      <c r="B592" s="171">
        <f t="shared" si="152"/>
        <v>59</v>
      </c>
      <c r="C592" s="143"/>
      <c r="D592" s="131"/>
      <c r="E592" s="146"/>
      <c r="F592" s="284" t="s">
        <v>652</v>
      </c>
      <c r="G592" s="199" t="s">
        <v>665</v>
      </c>
      <c r="H592" s="388">
        <v>2020</v>
      </c>
      <c r="I592" s="388"/>
      <c r="J592" s="388">
        <f t="shared" si="185"/>
        <v>2020</v>
      </c>
      <c r="K592" s="145"/>
      <c r="L592" s="527"/>
      <c r="M592" s="527"/>
      <c r="N592" s="527"/>
      <c r="O592" s="145"/>
      <c r="P592" s="166">
        <f t="shared" si="182"/>
        <v>2020</v>
      </c>
      <c r="Q592" s="166">
        <f t="shared" si="183"/>
        <v>0</v>
      </c>
      <c r="R592" s="166">
        <f t="shared" si="183"/>
        <v>2020</v>
      </c>
    </row>
    <row r="593" spans="2:18" x14ac:dyDescent="0.2">
      <c r="B593" s="171">
        <f t="shared" si="152"/>
        <v>60</v>
      </c>
      <c r="C593" s="143"/>
      <c r="D593" s="131"/>
      <c r="E593" s="146"/>
      <c r="F593" s="284" t="s">
        <v>321</v>
      </c>
      <c r="G593" s="199" t="s">
        <v>869</v>
      </c>
      <c r="H593" s="388"/>
      <c r="I593" s="388"/>
      <c r="J593" s="388">
        <f t="shared" ref="J593" si="190">H593+I593</f>
        <v>0</v>
      </c>
      <c r="K593" s="145"/>
      <c r="L593" s="527">
        <v>2650</v>
      </c>
      <c r="M593" s="527"/>
      <c r="N593" s="527">
        <f>L593+M593</f>
        <v>2650</v>
      </c>
      <c r="O593" s="145"/>
      <c r="P593" s="166">
        <f t="shared" ref="P593" si="191">H593+L593</f>
        <v>2650</v>
      </c>
      <c r="Q593" s="166">
        <f t="shared" ref="Q593" si="192">I593+M593</f>
        <v>0</v>
      </c>
      <c r="R593" s="166">
        <f t="shared" ref="R593" si="193">J593+N593</f>
        <v>2650</v>
      </c>
    </row>
    <row r="594" spans="2:18" ht="15" x14ac:dyDescent="0.25">
      <c r="B594" s="171">
        <f t="shared" si="152"/>
        <v>61</v>
      </c>
      <c r="C594" s="143"/>
      <c r="D594" s="29" t="s">
        <v>347</v>
      </c>
      <c r="E594" s="174" t="s">
        <v>289</v>
      </c>
      <c r="F594" s="147" t="s">
        <v>348</v>
      </c>
      <c r="G594" s="236"/>
      <c r="H594" s="425">
        <f>SUM(H595:H597)+H603</f>
        <v>236921</v>
      </c>
      <c r="I594" s="425">
        <f t="shared" ref="I594" si="194">SUM(I595:I597)+I603</f>
        <v>1304</v>
      </c>
      <c r="J594" s="425">
        <f>H594+I594</f>
        <v>238225</v>
      </c>
      <c r="K594" s="334"/>
      <c r="L594" s="849"/>
      <c r="M594" s="849"/>
      <c r="N594" s="849"/>
      <c r="O594" s="334"/>
      <c r="P594" s="330">
        <f t="shared" si="182"/>
        <v>236921</v>
      </c>
      <c r="Q594" s="330">
        <f t="shared" si="183"/>
        <v>1304</v>
      </c>
      <c r="R594" s="330">
        <f t="shared" si="183"/>
        <v>238225</v>
      </c>
    </row>
    <row r="595" spans="2:18" x14ac:dyDescent="0.2">
      <c r="B595" s="171">
        <f t="shared" si="152"/>
        <v>62</v>
      </c>
      <c r="C595" s="143"/>
      <c r="D595" s="144"/>
      <c r="E595" s="144"/>
      <c r="F595" s="144" t="s">
        <v>211</v>
      </c>
      <c r="G595" s="199" t="s">
        <v>505</v>
      </c>
      <c r="H595" s="388">
        <f>113960+5614+4169</f>
        <v>123743</v>
      </c>
      <c r="I595" s="388">
        <v>840</v>
      </c>
      <c r="J595" s="388">
        <f>H595+I595</f>
        <v>124583</v>
      </c>
      <c r="K595" s="145"/>
      <c r="L595" s="527"/>
      <c r="M595" s="527"/>
      <c r="N595" s="527"/>
      <c r="O595" s="145"/>
      <c r="P595" s="166">
        <f t="shared" si="182"/>
        <v>123743</v>
      </c>
      <c r="Q595" s="166">
        <f t="shared" si="183"/>
        <v>840</v>
      </c>
      <c r="R595" s="166">
        <f t="shared" si="183"/>
        <v>124583</v>
      </c>
    </row>
    <row r="596" spans="2:18" x14ac:dyDescent="0.2">
      <c r="B596" s="171">
        <f t="shared" si="152"/>
        <v>63</v>
      </c>
      <c r="C596" s="143"/>
      <c r="D596" s="144"/>
      <c r="E596" s="144"/>
      <c r="F596" s="144" t="s">
        <v>212</v>
      </c>
      <c r="G596" s="199" t="s">
        <v>259</v>
      </c>
      <c r="H596" s="388">
        <f>41305+2032+2681</f>
        <v>46018</v>
      </c>
      <c r="I596" s="388">
        <v>220</v>
      </c>
      <c r="J596" s="388">
        <f t="shared" ref="J596:J599" si="195">H596+I596</f>
        <v>46238</v>
      </c>
      <c r="K596" s="145"/>
      <c r="L596" s="527"/>
      <c r="M596" s="527"/>
      <c r="N596" s="527"/>
      <c r="O596" s="145"/>
      <c r="P596" s="166">
        <f t="shared" si="182"/>
        <v>46018</v>
      </c>
      <c r="Q596" s="166">
        <f t="shared" si="183"/>
        <v>220</v>
      </c>
      <c r="R596" s="166">
        <f t="shared" si="183"/>
        <v>46238</v>
      </c>
    </row>
    <row r="597" spans="2:18" x14ac:dyDescent="0.2">
      <c r="B597" s="171">
        <f t="shared" si="152"/>
        <v>64</v>
      </c>
      <c r="C597" s="143"/>
      <c r="D597" s="144"/>
      <c r="E597" s="144"/>
      <c r="F597" s="144" t="s">
        <v>218</v>
      </c>
      <c r="G597" s="199" t="s">
        <v>340</v>
      </c>
      <c r="H597" s="388">
        <f>SUM(H598:H602)</f>
        <v>63120</v>
      </c>
      <c r="I597" s="388">
        <f>SUM(I598:I602)</f>
        <v>244</v>
      </c>
      <c r="J597" s="388">
        <f t="shared" si="195"/>
        <v>63364</v>
      </c>
      <c r="K597" s="145"/>
      <c r="L597" s="527"/>
      <c r="M597" s="527"/>
      <c r="N597" s="527"/>
      <c r="O597" s="145"/>
      <c r="P597" s="166">
        <f t="shared" si="182"/>
        <v>63120</v>
      </c>
      <c r="Q597" s="166">
        <f t="shared" si="183"/>
        <v>244</v>
      </c>
      <c r="R597" s="166">
        <f t="shared" si="183"/>
        <v>63364</v>
      </c>
    </row>
    <row r="598" spans="2:18" x14ac:dyDescent="0.2">
      <c r="B598" s="171">
        <f t="shared" si="152"/>
        <v>65</v>
      </c>
      <c r="C598" s="143"/>
      <c r="D598" s="131"/>
      <c r="E598" s="131"/>
      <c r="F598" s="131" t="s">
        <v>199</v>
      </c>
      <c r="G598" s="194" t="s">
        <v>318</v>
      </c>
      <c r="H598" s="526">
        <f>48450-2105</f>
        <v>46345</v>
      </c>
      <c r="I598" s="526"/>
      <c r="J598" s="526">
        <f t="shared" si="195"/>
        <v>46345</v>
      </c>
      <c r="K598" s="145"/>
      <c r="L598" s="527"/>
      <c r="M598" s="527"/>
      <c r="N598" s="527"/>
      <c r="O598" s="145"/>
      <c r="P598" s="167">
        <f t="shared" si="182"/>
        <v>46345</v>
      </c>
      <c r="Q598" s="167">
        <f t="shared" si="183"/>
        <v>0</v>
      </c>
      <c r="R598" s="167">
        <f t="shared" si="183"/>
        <v>46345</v>
      </c>
    </row>
    <row r="599" spans="2:18" x14ac:dyDescent="0.2">
      <c r="B599" s="171">
        <f t="shared" si="152"/>
        <v>66</v>
      </c>
      <c r="C599" s="143"/>
      <c r="D599" s="131"/>
      <c r="E599" s="131"/>
      <c r="F599" s="131" t="s">
        <v>200</v>
      </c>
      <c r="G599" s="194" t="s">
        <v>247</v>
      </c>
      <c r="H599" s="526">
        <f>8300+1259</f>
        <v>9559</v>
      </c>
      <c r="I599" s="526">
        <v>244</v>
      </c>
      <c r="J599" s="526">
        <f t="shared" si="195"/>
        <v>9803</v>
      </c>
      <c r="K599" s="145"/>
      <c r="L599" s="527"/>
      <c r="M599" s="527"/>
      <c r="N599" s="527"/>
      <c r="O599" s="145"/>
      <c r="P599" s="167">
        <f t="shared" si="182"/>
        <v>9559</v>
      </c>
      <c r="Q599" s="167">
        <f t="shared" ref="Q599:R615" si="196">I599+M599</f>
        <v>244</v>
      </c>
      <c r="R599" s="167">
        <f t="shared" si="196"/>
        <v>9803</v>
      </c>
    </row>
    <row r="600" spans="2:18" x14ac:dyDescent="0.2">
      <c r="B600" s="171">
        <f t="shared" si="152"/>
        <v>67</v>
      </c>
      <c r="C600" s="143"/>
      <c r="D600" s="131"/>
      <c r="E600" s="178"/>
      <c r="F600" s="724" t="s">
        <v>200</v>
      </c>
      <c r="G600" s="725" t="s">
        <v>811</v>
      </c>
      <c r="H600" s="726">
        <v>2000</v>
      </c>
      <c r="I600" s="726"/>
      <c r="J600" s="726">
        <f>H600+I600</f>
        <v>2000</v>
      </c>
      <c r="K600" s="727"/>
      <c r="L600" s="852"/>
      <c r="M600" s="852"/>
      <c r="N600" s="852"/>
      <c r="O600" s="727"/>
      <c r="P600" s="728">
        <f t="shared" si="182"/>
        <v>2000</v>
      </c>
      <c r="Q600" s="728">
        <f t="shared" si="196"/>
        <v>0</v>
      </c>
      <c r="R600" s="728">
        <f t="shared" si="196"/>
        <v>2000</v>
      </c>
    </row>
    <row r="601" spans="2:18" x14ac:dyDescent="0.2">
      <c r="B601" s="171">
        <f t="shared" si="152"/>
        <v>68</v>
      </c>
      <c r="C601" s="143"/>
      <c r="D601" s="131"/>
      <c r="E601" s="146"/>
      <c r="F601" s="131" t="s">
        <v>214</v>
      </c>
      <c r="G601" s="194" t="s">
        <v>261</v>
      </c>
      <c r="H601" s="526">
        <f>150+846</f>
        <v>996</v>
      </c>
      <c r="I601" s="526"/>
      <c r="J601" s="526">
        <f>H601+I601</f>
        <v>996</v>
      </c>
      <c r="K601" s="145"/>
      <c r="L601" s="527"/>
      <c r="M601" s="527"/>
      <c r="N601" s="527"/>
      <c r="O601" s="145"/>
      <c r="P601" s="167">
        <f t="shared" si="182"/>
        <v>996</v>
      </c>
      <c r="Q601" s="167">
        <f t="shared" si="196"/>
        <v>0</v>
      </c>
      <c r="R601" s="167">
        <f t="shared" si="196"/>
        <v>996</v>
      </c>
    </row>
    <row r="602" spans="2:18" x14ac:dyDescent="0.2">
      <c r="B602" s="171">
        <f t="shared" si="152"/>
        <v>69</v>
      </c>
      <c r="C602" s="143"/>
      <c r="D602" s="131"/>
      <c r="E602" s="146"/>
      <c r="F602" s="131" t="s">
        <v>216</v>
      </c>
      <c r="G602" s="194" t="s">
        <v>248</v>
      </c>
      <c r="H602" s="526">
        <v>4220</v>
      </c>
      <c r="I602" s="526"/>
      <c r="J602" s="526">
        <f t="shared" ref="J602:J603" si="197">H602+I602</f>
        <v>4220</v>
      </c>
      <c r="K602" s="145"/>
      <c r="L602" s="527"/>
      <c r="M602" s="527"/>
      <c r="N602" s="527"/>
      <c r="O602" s="145"/>
      <c r="P602" s="167">
        <f t="shared" si="182"/>
        <v>4220</v>
      </c>
      <c r="Q602" s="167">
        <f t="shared" si="196"/>
        <v>0</v>
      </c>
      <c r="R602" s="167">
        <f t="shared" si="196"/>
        <v>4220</v>
      </c>
    </row>
    <row r="603" spans="2:18" x14ac:dyDescent="0.2">
      <c r="B603" s="171">
        <f t="shared" si="152"/>
        <v>70</v>
      </c>
      <c r="C603" s="143"/>
      <c r="D603" s="131"/>
      <c r="E603" s="146"/>
      <c r="F603" s="284" t="s">
        <v>652</v>
      </c>
      <c r="G603" s="199" t="s">
        <v>665</v>
      </c>
      <c r="H603" s="388">
        <v>4040</v>
      </c>
      <c r="I603" s="388"/>
      <c r="J603" s="526">
        <f t="shared" si="197"/>
        <v>4040</v>
      </c>
      <c r="K603" s="145"/>
      <c r="L603" s="527"/>
      <c r="M603" s="527"/>
      <c r="N603" s="527"/>
      <c r="O603" s="145"/>
      <c r="P603" s="166">
        <f t="shared" si="182"/>
        <v>4040</v>
      </c>
      <c r="Q603" s="166">
        <f t="shared" si="196"/>
        <v>0</v>
      </c>
      <c r="R603" s="166">
        <f t="shared" si="196"/>
        <v>4040</v>
      </c>
    </row>
    <row r="604" spans="2:18" ht="15" x14ac:dyDescent="0.25">
      <c r="B604" s="171">
        <f t="shared" si="152"/>
        <v>71</v>
      </c>
      <c r="C604" s="143"/>
      <c r="D604" s="29" t="s">
        <v>349</v>
      </c>
      <c r="E604" s="174" t="s">
        <v>289</v>
      </c>
      <c r="F604" s="147" t="s">
        <v>350</v>
      </c>
      <c r="G604" s="236"/>
      <c r="H604" s="425">
        <f>SUM(H605:H607)+H612</f>
        <v>139172</v>
      </c>
      <c r="I604" s="425">
        <f t="shared" ref="I604" si="198">SUM(I605:I607)+I612</f>
        <v>-484</v>
      </c>
      <c r="J604" s="425">
        <f>H604+I604</f>
        <v>138688</v>
      </c>
      <c r="K604" s="334"/>
      <c r="L604" s="849">
        <f>L613+L614+L615</f>
        <v>39000</v>
      </c>
      <c r="M604" s="849">
        <f t="shared" ref="M604" si="199">M613+M614+M615</f>
        <v>0</v>
      </c>
      <c r="N604" s="849">
        <f t="shared" ref="N604:N646" si="200">L604+M604</f>
        <v>39000</v>
      </c>
      <c r="O604" s="334"/>
      <c r="P604" s="330">
        <f t="shared" si="182"/>
        <v>178172</v>
      </c>
      <c r="Q604" s="330">
        <f t="shared" si="196"/>
        <v>-484</v>
      </c>
      <c r="R604" s="330">
        <f t="shared" si="196"/>
        <v>177688</v>
      </c>
    </row>
    <row r="605" spans="2:18" x14ac:dyDescent="0.2">
      <c r="B605" s="171">
        <f t="shared" ref="B605:B673" si="201">B604+1</f>
        <v>72</v>
      </c>
      <c r="C605" s="143"/>
      <c r="D605" s="144"/>
      <c r="E605" s="144"/>
      <c r="F605" s="144" t="s">
        <v>211</v>
      </c>
      <c r="G605" s="199" t="s">
        <v>505</v>
      </c>
      <c r="H605" s="388">
        <f>65780+3247+6380+1921</f>
        <v>77328</v>
      </c>
      <c r="I605" s="388"/>
      <c r="J605" s="388">
        <f>H605+I605</f>
        <v>77328</v>
      </c>
      <c r="K605" s="145"/>
      <c r="L605" s="527"/>
      <c r="M605" s="527"/>
      <c r="N605" s="527"/>
      <c r="O605" s="145"/>
      <c r="P605" s="166">
        <f t="shared" si="182"/>
        <v>77328</v>
      </c>
      <c r="Q605" s="166">
        <f t="shared" si="196"/>
        <v>0</v>
      </c>
      <c r="R605" s="166">
        <f t="shared" si="196"/>
        <v>77328</v>
      </c>
    </row>
    <row r="606" spans="2:18" x14ac:dyDescent="0.2">
      <c r="B606" s="171">
        <f t="shared" si="201"/>
        <v>73</v>
      </c>
      <c r="C606" s="143"/>
      <c r="D606" s="144"/>
      <c r="E606" s="144"/>
      <c r="F606" s="144" t="s">
        <v>212</v>
      </c>
      <c r="G606" s="199" t="s">
        <v>259</v>
      </c>
      <c r="H606" s="388">
        <f>23626+1165+2260+543</f>
        <v>27594</v>
      </c>
      <c r="I606" s="388"/>
      <c r="J606" s="388">
        <f t="shared" ref="J606:J612" si="202">H606+I606</f>
        <v>27594</v>
      </c>
      <c r="K606" s="145"/>
      <c r="L606" s="527"/>
      <c r="M606" s="527"/>
      <c r="N606" s="527"/>
      <c r="O606" s="145"/>
      <c r="P606" s="166">
        <f t="shared" si="182"/>
        <v>27594</v>
      </c>
      <c r="Q606" s="166">
        <f t="shared" si="196"/>
        <v>0</v>
      </c>
      <c r="R606" s="166">
        <f t="shared" si="196"/>
        <v>27594</v>
      </c>
    </row>
    <row r="607" spans="2:18" x14ac:dyDescent="0.2">
      <c r="B607" s="171">
        <f t="shared" si="201"/>
        <v>74</v>
      </c>
      <c r="C607" s="143"/>
      <c r="D607" s="144"/>
      <c r="E607" s="144"/>
      <c r="F607" s="144" t="s">
        <v>218</v>
      </c>
      <c r="G607" s="199" t="s">
        <v>340</v>
      </c>
      <c r="H607" s="388">
        <f>SUM(H608:H611)</f>
        <v>32940</v>
      </c>
      <c r="I607" s="388">
        <f>SUM(I608:I611)</f>
        <v>-484</v>
      </c>
      <c r="J607" s="388">
        <f t="shared" si="202"/>
        <v>32456</v>
      </c>
      <c r="K607" s="145"/>
      <c r="L607" s="527"/>
      <c r="M607" s="527"/>
      <c r="N607" s="527"/>
      <c r="O607" s="145"/>
      <c r="P607" s="166">
        <f t="shared" si="182"/>
        <v>32940</v>
      </c>
      <c r="Q607" s="166">
        <f t="shared" si="196"/>
        <v>-484</v>
      </c>
      <c r="R607" s="166">
        <f t="shared" si="196"/>
        <v>32456</v>
      </c>
    </row>
    <row r="608" spans="2:18" x14ac:dyDescent="0.2">
      <c r="B608" s="171">
        <f t="shared" si="201"/>
        <v>75</v>
      </c>
      <c r="C608" s="143"/>
      <c r="D608" s="131"/>
      <c r="E608" s="131"/>
      <c r="F608" s="131" t="s">
        <v>199</v>
      </c>
      <c r="G608" s="194" t="s">
        <v>318</v>
      </c>
      <c r="H608" s="526">
        <v>14500</v>
      </c>
      <c r="I608" s="526"/>
      <c r="J608" s="526">
        <f t="shared" si="202"/>
        <v>14500</v>
      </c>
      <c r="K608" s="145"/>
      <c r="L608" s="527"/>
      <c r="M608" s="527"/>
      <c r="N608" s="527"/>
      <c r="O608" s="145"/>
      <c r="P608" s="167">
        <f t="shared" si="182"/>
        <v>14500</v>
      </c>
      <c r="Q608" s="167">
        <f t="shared" si="196"/>
        <v>0</v>
      </c>
      <c r="R608" s="167">
        <f t="shared" si="196"/>
        <v>14500</v>
      </c>
    </row>
    <row r="609" spans="2:18" x14ac:dyDescent="0.2">
      <c r="B609" s="171">
        <f t="shared" si="201"/>
        <v>76</v>
      </c>
      <c r="C609" s="143"/>
      <c r="D609" s="131"/>
      <c r="E609" s="131"/>
      <c r="F609" s="290" t="s">
        <v>200</v>
      </c>
      <c r="G609" s="194" t="s">
        <v>247</v>
      </c>
      <c r="H609" s="526">
        <f>7130-1100+7600-1548</f>
        <v>12082</v>
      </c>
      <c r="I609" s="526">
        <v>-484</v>
      </c>
      <c r="J609" s="526">
        <f t="shared" si="202"/>
        <v>11598</v>
      </c>
      <c r="K609" s="145"/>
      <c r="L609" s="527"/>
      <c r="M609" s="527"/>
      <c r="N609" s="527"/>
      <c r="O609" s="145"/>
      <c r="P609" s="167">
        <f t="shared" si="182"/>
        <v>12082</v>
      </c>
      <c r="Q609" s="167">
        <f t="shared" si="196"/>
        <v>-484</v>
      </c>
      <c r="R609" s="167">
        <f t="shared" si="196"/>
        <v>11598</v>
      </c>
    </row>
    <row r="610" spans="2:18" x14ac:dyDescent="0.2">
      <c r="B610" s="171">
        <f t="shared" si="201"/>
        <v>77</v>
      </c>
      <c r="C610" s="143"/>
      <c r="D610" s="131"/>
      <c r="E610" s="178"/>
      <c r="F610" s="131" t="s">
        <v>214</v>
      </c>
      <c r="G610" s="194" t="s">
        <v>261</v>
      </c>
      <c r="H610" s="526">
        <v>2160</v>
      </c>
      <c r="I610" s="526"/>
      <c r="J610" s="526">
        <f t="shared" si="202"/>
        <v>2160</v>
      </c>
      <c r="K610" s="145"/>
      <c r="L610" s="527"/>
      <c r="M610" s="527"/>
      <c r="N610" s="527"/>
      <c r="O610" s="145"/>
      <c r="P610" s="167">
        <f t="shared" ref="P610" si="203">H610+L610</f>
        <v>2160</v>
      </c>
      <c r="Q610" s="167">
        <f t="shared" ref="Q610" si="204">I610+M610</f>
        <v>0</v>
      </c>
      <c r="R610" s="167">
        <f t="shared" ref="R610" si="205">J610+N610</f>
        <v>2160</v>
      </c>
    </row>
    <row r="611" spans="2:18" x14ac:dyDescent="0.2">
      <c r="B611" s="171">
        <f t="shared" si="201"/>
        <v>78</v>
      </c>
      <c r="C611" s="143"/>
      <c r="D611" s="131"/>
      <c r="E611" s="146"/>
      <c r="F611" s="131" t="s">
        <v>216</v>
      </c>
      <c r="G611" s="194" t="s">
        <v>248</v>
      </c>
      <c r="H611" s="526">
        <f>2650+1548</f>
        <v>4198</v>
      </c>
      <c r="I611" s="526"/>
      <c r="J611" s="526">
        <f t="shared" si="202"/>
        <v>4198</v>
      </c>
      <c r="K611" s="145"/>
      <c r="L611" s="527"/>
      <c r="M611" s="527"/>
      <c r="N611" s="527"/>
      <c r="O611" s="145"/>
      <c r="P611" s="167">
        <f t="shared" ref="P611:P642" si="206">H611+L611</f>
        <v>4198</v>
      </c>
      <c r="Q611" s="167">
        <f t="shared" si="196"/>
        <v>0</v>
      </c>
      <c r="R611" s="167">
        <f t="shared" si="196"/>
        <v>4198</v>
      </c>
    </row>
    <row r="612" spans="2:18" x14ac:dyDescent="0.2">
      <c r="B612" s="171">
        <f t="shared" si="201"/>
        <v>79</v>
      </c>
      <c r="C612" s="143"/>
      <c r="D612" s="131"/>
      <c r="E612" s="146"/>
      <c r="F612" s="284" t="s">
        <v>652</v>
      </c>
      <c r="G612" s="199" t="s">
        <v>665</v>
      </c>
      <c r="H612" s="388">
        <v>1310</v>
      </c>
      <c r="I612" s="388"/>
      <c r="J612" s="388">
        <f t="shared" si="202"/>
        <v>1310</v>
      </c>
      <c r="K612" s="145"/>
      <c r="L612" s="527"/>
      <c r="M612" s="527"/>
      <c r="N612" s="527"/>
      <c r="O612" s="145"/>
      <c r="P612" s="166">
        <f t="shared" si="206"/>
        <v>1310</v>
      </c>
      <c r="Q612" s="166">
        <f t="shared" si="196"/>
        <v>0</v>
      </c>
      <c r="R612" s="166">
        <f t="shared" si="196"/>
        <v>1310</v>
      </c>
    </row>
    <row r="613" spans="2:18" x14ac:dyDescent="0.2">
      <c r="B613" s="171">
        <f t="shared" si="201"/>
        <v>80</v>
      </c>
      <c r="C613" s="143"/>
      <c r="D613" s="131"/>
      <c r="E613" s="146"/>
      <c r="F613" s="284" t="s">
        <v>321</v>
      </c>
      <c r="G613" s="199" t="s">
        <v>748</v>
      </c>
      <c r="H613" s="388"/>
      <c r="I613" s="388"/>
      <c r="J613" s="388"/>
      <c r="K613" s="145"/>
      <c r="L613" s="396">
        <f>12000+4000</f>
        <v>16000</v>
      </c>
      <c r="M613" s="396"/>
      <c r="N613" s="396">
        <f t="shared" si="200"/>
        <v>16000</v>
      </c>
      <c r="O613" s="145"/>
      <c r="P613" s="166">
        <f t="shared" si="206"/>
        <v>16000</v>
      </c>
      <c r="Q613" s="166">
        <f t="shared" si="196"/>
        <v>0</v>
      </c>
      <c r="R613" s="166">
        <f t="shared" si="196"/>
        <v>16000</v>
      </c>
    </row>
    <row r="614" spans="2:18" x14ac:dyDescent="0.2">
      <c r="B614" s="171">
        <f t="shared" si="201"/>
        <v>81</v>
      </c>
      <c r="C614" s="143"/>
      <c r="D614" s="131"/>
      <c r="E614" s="146"/>
      <c r="F614" s="734" t="s">
        <v>321</v>
      </c>
      <c r="G614" s="735" t="s">
        <v>810</v>
      </c>
      <c r="H614" s="736"/>
      <c r="I614" s="736"/>
      <c r="J614" s="736"/>
      <c r="K614" s="729"/>
      <c r="L614" s="853">
        <v>8000</v>
      </c>
      <c r="M614" s="853"/>
      <c r="N614" s="853">
        <f t="shared" si="200"/>
        <v>8000</v>
      </c>
      <c r="O614" s="729"/>
      <c r="P614" s="737">
        <f t="shared" si="206"/>
        <v>8000</v>
      </c>
      <c r="Q614" s="737">
        <f t="shared" si="196"/>
        <v>0</v>
      </c>
      <c r="R614" s="737">
        <f t="shared" si="196"/>
        <v>8000</v>
      </c>
    </row>
    <row r="615" spans="2:18" x14ac:dyDescent="0.2">
      <c r="B615" s="171">
        <f t="shared" si="201"/>
        <v>82</v>
      </c>
      <c r="C615" s="143"/>
      <c r="D615" s="131"/>
      <c r="E615" s="146"/>
      <c r="F615" s="734" t="s">
        <v>321</v>
      </c>
      <c r="G615" s="735" t="s">
        <v>825</v>
      </c>
      <c r="H615" s="736"/>
      <c r="I615" s="736"/>
      <c r="J615" s="736"/>
      <c r="K615" s="729"/>
      <c r="L615" s="853">
        <f>20000-5000</f>
        <v>15000</v>
      </c>
      <c r="M615" s="853"/>
      <c r="N615" s="853">
        <f t="shared" si="200"/>
        <v>15000</v>
      </c>
      <c r="O615" s="729"/>
      <c r="P615" s="737">
        <f t="shared" si="206"/>
        <v>15000</v>
      </c>
      <c r="Q615" s="737">
        <f t="shared" si="196"/>
        <v>0</v>
      </c>
      <c r="R615" s="737">
        <f t="shared" si="196"/>
        <v>15000</v>
      </c>
    </row>
    <row r="616" spans="2:18" ht="15" x14ac:dyDescent="0.25">
      <c r="B616" s="171">
        <f t="shared" si="201"/>
        <v>83</v>
      </c>
      <c r="C616" s="143"/>
      <c r="D616" s="29" t="s">
        <v>351</v>
      </c>
      <c r="E616" s="174" t="s">
        <v>289</v>
      </c>
      <c r="F616" s="147" t="s">
        <v>352</v>
      </c>
      <c r="G616" s="236"/>
      <c r="H616" s="425">
        <f>SUM(H617:H619)+H624</f>
        <v>206043</v>
      </c>
      <c r="I616" s="425">
        <f t="shared" ref="I616" si="207">SUM(I617:I619)+I624</f>
        <v>815</v>
      </c>
      <c r="J616" s="425">
        <f>H616+I616</f>
        <v>206858</v>
      </c>
      <c r="K616" s="334"/>
      <c r="L616" s="849">
        <f>L625</f>
        <v>1740</v>
      </c>
      <c r="M616" s="849">
        <f t="shared" ref="M616" si="208">M625</f>
        <v>0</v>
      </c>
      <c r="N616" s="849">
        <f t="shared" si="200"/>
        <v>1740</v>
      </c>
      <c r="O616" s="334"/>
      <c r="P616" s="330">
        <f t="shared" si="206"/>
        <v>207783</v>
      </c>
      <c r="Q616" s="330">
        <f t="shared" ref="Q616:R631" si="209">I616+M616</f>
        <v>815</v>
      </c>
      <c r="R616" s="330">
        <f t="shared" si="209"/>
        <v>208598</v>
      </c>
    </row>
    <row r="617" spans="2:18" x14ac:dyDescent="0.2">
      <c r="B617" s="171">
        <f t="shared" si="201"/>
        <v>84</v>
      </c>
      <c r="C617" s="143"/>
      <c r="D617" s="144"/>
      <c r="E617" s="144"/>
      <c r="F617" s="144" t="s">
        <v>211</v>
      </c>
      <c r="G617" s="199" t="s">
        <v>505</v>
      </c>
      <c r="H617" s="388">
        <f>105010+5167+983</f>
        <v>111160</v>
      </c>
      <c r="I617" s="388"/>
      <c r="J617" s="388">
        <f>H617+I617</f>
        <v>111160</v>
      </c>
      <c r="K617" s="145"/>
      <c r="L617" s="527"/>
      <c r="M617" s="527"/>
      <c r="N617" s="527"/>
      <c r="O617" s="145"/>
      <c r="P617" s="166">
        <f t="shared" si="206"/>
        <v>111160</v>
      </c>
      <c r="Q617" s="166">
        <f t="shared" si="209"/>
        <v>0</v>
      </c>
      <c r="R617" s="166">
        <f t="shared" si="209"/>
        <v>111160</v>
      </c>
    </row>
    <row r="618" spans="2:18" x14ac:dyDescent="0.2">
      <c r="B618" s="171">
        <f t="shared" si="201"/>
        <v>85</v>
      </c>
      <c r="C618" s="143"/>
      <c r="D618" s="144"/>
      <c r="E618" s="144"/>
      <c r="F618" s="144" t="s">
        <v>212</v>
      </c>
      <c r="G618" s="199" t="s">
        <v>259</v>
      </c>
      <c r="H618" s="388">
        <f>38105+1872+961</f>
        <v>40938</v>
      </c>
      <c r="I618" s="388"/>
      <c r="J618" s="388">
        <f t="shared" ref="J618:J624" si="210">H618+I618</f>
        <v>40938</v>
      </c>
      <c r="K618" s="145"/>
      <c r="L618" s="527"/>
      <c r="M618" s="527"/>
      <c r="N618" s="527"/>
      <c r="O618" s="145"/>
      <c r="P618" s="166">
        <f t="shared" si="206"/>
        <v>40938</v>
      </c>
      <c r="Q618" s="166">
        <f t="shared" si="209"/>
        <v>0</v>
      </c>
      <c r="R618" s="166">
        <f t="shared" si="209"/>
        <v>40938</v>
      </c>
    </row>
    <row r="619" spans="2:18" x14ac:dyDescent="0.2">
      <c r="B619" s="171">
        <f t="shared" si="201"/>
        <v>86</v>
      </c>
      <c r="C619" s="143"/>
      <c r="D619" s="144"/>
      <c r="E619" s="144"/>
      <c r="F619" s="144" t="s">
        <v>218</v>
      </c>
      <c r="G619" s="199" t="s">
        <v>340</v>
      </c>
      <c r="H619" s="388">
        <f>SUM(H620:H623)</f>
        <v>53165</v>
      </c>
      <c r="I619" s="388">
        <f>SUM(I620:I623)</f>
        <v>815</v>
      </c>
      <c r="J619" s="388">
        <f t="shared" si="210"/>
        <v>53980</v>
      </c>
      <c r="K619" s="145"/>
      <c r="L619" s="527"/>
      <c r="M619" s="527"/>
      <c r="N619" s="527"/>
      <c r="O619" s="145"/>
      <c r="P619" s="166">
        <f t="shared" si="206"/>
        <v>53165</v>
      </c>
      <c r="Q619" s="166">
        <f t="shared" si="209"/>
        <v>815</v>
      </c>
      <c r="R619" s="166">
        <f t="shared" si="209"/>
        <v>53980</v>
      </c>
    </row>
    <row r="620" spans="2:18" x14ac:dyDescent="0.2">
      <c r="B620" s="171">
        <f t="shared" si="201"/>
        <v>87</v>
      </c>
      <c r="C620" s="143"/>
      <c r="D620" s="131"/>
      <c r="E620" s="131"/>
      <c r="F620" s="131" t="s">
        <v>199</v>
      </c>
      <c r="G620" s="194" t="s">
        <v>318</v>
      </c>
      <c r="H620" s="526">
        <f>41300-1253</f>
        <v>40047</v>
      </c>
      <c r="I620" s="526"/>
      <c r="J620" s="526">
        <f t="shared" si="210"/>
        <v>40047</v>
      </c>
      <c r="K620" s="145"/>
      <c r="L620" s="527"/>
      <c r="M620" s="527"/>
      <c r="N620" s="527"/>
      <c r="O620" s="145"/>
      <c r="P620" s="167">
        <f t="shared" si="206"/>
        <v>40047</v>
      </c>
      <c r="Q620" s="167">
        <f t="shared" si="209"/>
        <v>0</v>
      </c>
      <c r="R620" s="167">
        <f t="shared" si="209"/>
        <v>40047</v>
      </c>
    </row>
    <row r="621" spans="2:18" x14ac:dyDescent="0.2">
      <c r="B621" s="171">
        <f t="shared" si="201"/>
        <v>88</v>
      </c>
      <c r="C621" s="143"/>
      <c r="D621" s="131"/>
      <c r="E621" s="131"/>
      <c r="F621" s="131" t="s">
        <v>200</v>
      </c>
      <c r="G621" s="194" t="s">
        <v>247</v>
      </c>
      <c r="H621" s="526">
        <f>6815+1000-1000</f>
        <v>6815</v>
      </c>
      <c r="I621" s="526">
        <v>815</v>
      </c>
      <c r="J621" s="526">
        <f t="shared" si="210"/>
        <v>7630</v>
      </c>
      <c r="K621" s="145"/>
      <c r="L621" s="527"/>
      <c r="M621" s="527"/>
      <c r="N621" s="527"/>
      <c r="O621" s="145"/>
      <c r="P621" s="167">
        <f t="shared" si="206"/>
        <v>6815</v>
      </c>
      <c r="Q621" s="167">
        <f t="shared" si="209"/>
        <v>815</v>
      </c>
      <c r="R621" s="167">
        <f t="shared" si="209"/>
        <v>7630</v>
      </c>
    </row>
    <row r="622" spans="2:18" x14ac:dyDescent="0.2">
      <c r="B622" s="171">
        <f t="shared" si="201"/>
        <v>89</v>
      </c>
      <c r="C622" s="143"/>
      <c r="D622" s="131"/>
      <c r="E622" s="146"/>
      <c r="F622" s="131" t="s">
        <v>214</v>
      </c>
      <c r="G622" s="194" t="s">
        <v>261</v>
      </c>
      <c r="H622" s="526">
        <f>400+2253</f>
        <v>2653</v>
      </c>
      <c r="I622" s="526"/>
      <c r="J622" s="526">
        <f t="shared" si="210"/>
        <v>2653</v>
      </c>
      <c r="K622" s="145"/>
      <c r="L622" s="527"/>
      <c r="M622" s="527"/>
      <c r="N622" s="527"/>
      <c r="O622" s="145"/>
      <c r="P622" s="167">
        <f t="shared" si="206"/>
        <v>2653</v>
      </c>
      <c r="Q622" s="167">
        <f t="shared" si="209"/>
        <v>0</v>
      </c>
      <c r="R622" s="167">
        <f t="shared" si="209"/>
        <v>2653</v>
      </c>
    </row>
    <row r="623" spans="2:18" x14ac:dyDescent="0.2">
      <c r="B623" s="171">
        <f t="shared" si="201"/>
        <v>90</v>
      </c>
      <c r="C623" s="289"/>
      <c r="D623" s="290"/>
      <c r="E623" s="407"/>
      <c r="F623" s="290" t="s">
        <v>216</v>
      </c>
      <c r="G623" s="202" t="s">
        <v>248</v>
      </c>
      <c r="H623" s="526">
        <v>3650</v>
      </c>
      <c r="I623" s="526"/>
      <c r="J623" s="526">
        <f t="shared" si="210"/>
        <v>3650</v>
      </c>
      <c r="K623" s="283"/>
      <c r="L623" s="526"/>
      <c r="M623" s="526"/>
      <c r="N623" s="526"/>
      <c r="O623" s="283"/>
      <c r="P623" s="168">
        <f t="shared" si="206"/>
        <v>3650</v>
      </c>
      <c r="Q623" s="168">
        <f t="shared" si="209"/>
        <v>0</v>
      </c>
      <c r="R623" s="168">
        <f t="shared" si="209"/>
        <v>3650</v>
      </c>
    </row>
    <row r="624" spans="2:18" x14ac:dyDescent="0.2">
      <c r="B624" s="171">
        <f t="shared" si="201"/>
        <v>91</v>
      </c>
      <c r="C624" s="143"/>
      <c r="D624" s="131"/>
      <c r="E624" s="146"/>
      <c r="F624" s="284" t="s">
        <v>652</v>
      </c>
      <c r="G624" s="199" t="s">
        <v>665</v>
      </c>
      <c r="H624" s="432">
        <v>780</v>
      </c>
      <c r="I624" s="432"/>
      <c r="J624" s="388">
        <f t="shared" si="210"/>
        <v>780</v>
      </c>
      <c r="K624" s="283"/>
      <c r="L624" s="382"/>
      <c r="M624" s="382"/>
      <c r="N624" s="382"/>
      <c r="O624" s="283"/>
      <c r="P624" s="579">
        <f t="shared" si="206"/>
        <v>780</v>
      </c>
      <c r="Q624" s="579">
        <f t="shared" si="209"/>
        <v>0</v>
      </c>
      <c r="R624" s="579">
        <f t="shared" si="209"/>
        <v>780</v>
      </c>
    </row>
    <row r="625" spans="2:19" x14ac:dyDescent="0.2">
      <c r="B625" s="171">
        <f t="shared" si="201"/>
        <v>92</v>
      </c>
      <c r="C625" s="143"/>
      <c r="D625" s="131"/>
      <c r="E625" s="146"/>
      <c r="F625" s="165" t="s">
        <v>432</v>
      </c>
      <c r="G625" s="199" t="s">
        <v>799</v>
      </c>
      <c r="H625" s="432"/>
      <c r="I625" s="432"/>
      <c r="J625" s="432"/>
      <c r="K625" s="145"/>
      <c r="L625" s="461">
        <v>1740</v>
      </c>
      <c r="M625" s="461"/>
      <c r="N625" s="461">
        <f t="shared" si="200"/>
        <v>1740</v>
      </c>
      <c r="O625" s="145"/>
      <c r="P625" s="579">
        <f t="shared" si="206"/>
        <v>1740</v>
      </c>
      <c r="Q625" s="579">
        <f t="shared" si="209"/>
        <v>0</v>
      </c>
      <c r="R625" s="579">
        <f t="shared" si="209"/>
        <v>1740</v>
      </c>
    </row>
    <row r="626" spans="2:19" ht="15" x14ac:dyDescent="0.25">
      <c r="B626" s="171">
        <f t="shared" si="201"/>
        <v>93</v>
      </c>
      <c r="C626" s="143"/>
      <c r="D626" s="29" t="s">
        <v>353</v>
      </c>
      <c r="E626" s="264" t="s">
        <v>289</v>
      </c>
      <c r="F626" s="265" t="s">
        <v>354</v>
      </c>
      <c r="G626" s="266"/>
      <c r="H626" s="427">
        <f>SUM(H627:H629)+H634</f>
        <v>222350</v>
      </c>
      <c r="I626" s="427">
        <f t="shared" ref="I626" si="211">SUM(I627:I629)+I634</f>
        <v>-1191</v>
      </c>
      <c r="J626" s="427">
        <f>H626+I626</f>
        <v>221159</v>
      </c>
      <c r="K626" s="334"/>
      <c r="L626" s="849">
        <f>SUM(L628:L636)</f>
        <v>23959</v>
      </c>
      <c r="M626" s="849"/>
      <c r="N626" s="849">
        <f t="shared" si="200"/>
        <v>23959</v>
      </c>
      <c r="O626" s="498"/>
      <c r="P626" s="330">
        <f t="shared" si="206"/>
        <v>246309</v>
      </c>
      <c r="Q626" s="330">
        <f t="shared" si="209"/>
        <v>-1191</v>
      </c>
      <c r="R626" s="330">
        <f t="shared" si="209"/>
        <v>245118</v>
      </c>
    </row>
    <row r="627" spans="2:19" x14ac:dyDescent="0.2">
      <c r="B627" s="171">
        <f t="shared" si="201"/>
        <v>94</v>
      </c>
      <c r="C627" s="143"/>
      <c r="D627" s="144"/>
      <c r="E627" s="144"/>
      <c r="F627" s="144" t="s">
        <v>211</v>
      </c>
      <c r="G627" s="199" t="s">
        <v>505</v>
      </c>
      <c r="H627" s="388">
        <f>121210+5977-445</f>
        <v>126742</v>
      </c>
      <c r="I627" s="388"/>
      <c r="J627" s="388">
        <f>H627+I627</f>
        <v>126742</v>
      </c>
      <c r="K627" s="145"/>
      <c r="L627" s="527"/>
      <c r="M627" s="527"/>
      <c r="N627" s="527"/>
      <c r="O627" s="145"/>
      <c r="P627" s="166">
        <f t="shared" si="206"/>
        <v>126742</v>
      </c>
      <c r="Q627" s="166">
        <f t="shared" si="209"/>
        <v>0</v>
      </c>
      <c r="R627" s="166">
        <f t="shared" si="209"/>
        <v>126742</v>
      </c>
    </row>
    <row r="628" spans="2:19" x14ac:dyDescent="0.2">
      <c r="B628" s="171">
        <f t="shared" si="201"/>
        <v>95</v>
      </c>
      <c r="C628" s="143"/>
      <c r="D628" s="144"/>
      <c r="E628" s="144"/>
      <c r="F628" s="144" t="s">
        <v>212</v>
      </c>
      <c r="G628" s="199" t="s">
        <v>259</v>
      </c>
      <c r="H628" s="388">
        <f>44797+2207-106</f>
        <v>46898</v>
      </c>
      <c r="I628" s="388"/>
      <c r="J628" s="388">
        <f t="shared" ref="J628:J634" si="212">H628+I628</f>
        <v>46898</v>
      </c>
      <c r="K628" s="145"/>
      <c r="L628" s="527"/>
      <c r="M628" s="527"/>
      <c r="N628" s="527"/>
      <c r="O628" s="145"/>
      <c r="P628" s="166">
        <f t="shared" si="206"/>
        <v>46898</v>
      </c>
      <c r="Q628" s="166">
        <f t="shared" si="209"/>
        <v>0</v>
      </c>
      <c r="R628" s="166">
        <f t="shared" si="209"/>
        <v>46898</v>
      </c>
    </row>
    <row r="629" spans="2:19" x14ac:dyDescent="0.2">
      <c r="B629" s="171">
        <f t="shared" si="201"/>
        <v>96</v>
      </c>
      <c r="C629" s="143"/>
      <c r="D629" s="144"/>
      <c r="E629" s="144"/>
      <c r="F629" s="144" t="s">
        <v>218</v>
      </c>
      <c r="G629" s="199" t="s">
        <v>340</v>
      </c>
      <c r="H629" s="388">
        <f>SUM(H630:H633)</f>
        <v>47450</v>
      </c>
      <c r="I629" s="388">
        <f>SUM(I630:I633)</f>
        <v>-1191</v>
      </c>
      <c r="J629" s="388">
        <f t="shared" si="212"/>
        <v>46259</v>
      </c>
      <c r="K629" s="145"/>
      <c r="L629" s="527"/>
      <c r="M629" s="527"/>
      <c r="N629" s="527"/>
      <c r="O629" s="145"/>
      <c r="P629" s="166">
        <f t="shared" si="206"/>
        <v>47450</v>
      </c>
      <c r="Q629" s="166">
        <f t="shared" si="209"/>
        <v>-1191</v>
      </c>
      <c r="R629" s="166">
        <f t="shared" si="209"/>
        <v>46259</v>
      </c>
    </row>
    <row r="630" spans="2:19" x14ac:dyDescent="0.2">
      <c r="B630" s="171">
        <f t="shared" si="201"/>
        <v>97</v>
      </c>
      <c r="C630" s="143"/>
      <c r="D630" s="131"/>
      <c r="E630" s="131"/>
      <c r="F630" s="131" t="s">
        <v>199</v>
      </c>
      <c r="G630" s="194" t="s">
        <v>318</v>
      </c>
      <c r="H630" s="526">
        <f>32100-448</f>
        <v>31652</v>
      </c>
      <c r="I630" s="526"/>
      <c r="J630" s="526">
        <f t="shared" si="212"/>
        <v>31652</v>
      </c>
      <c r="K630" s="145"/>
      <c r="L630" s="527"/>
      <c r="M630" s="527"/>
      <c r="N630" s="527"/>
      <c r="O630" s="145"/>
      <c r="P630" s="167">
        <f t="shared" si="206"/>
        <v>31652</v>
      </c>
      <c r="Q630" s="167">
        <f t="shared" si="209"/>
        <v>0</v>
      </c>
      <c r="R630" s="167">
        <f t="shared" si="209"/>
        <v>31652</v>
      </c>
    </row>
    <row r="631" spans="2:19" x14ac:dyDescent="0.2">
      <c r="B631" s="171">
        <f t="shared" si="201"/>
        <v>98</v>
      </c>
      <c r="C631" s="143"/>
      <c r="D631" s="131"/>
      <c r="E631" s="131"/>
      <c r="F631" s="131" t="s">
        <v>200</v>
      </c>
      <c r="G631" s="194" t="s">
        <v>247</v>
      </c>
      <c r="H631" s="526">
        <f>10600+500</f>
        <v>11100</v>
      </c>
      <c r="I631" s="526">
        <v>-1191</v>
      </c>
      <c r="J631" s="526">
        <f t="shared" si="212"/>
        <v>9909</v>
      </c>
      <c r="K631" s="145"/>
      <c r="L631" s="527"/>
      <c r="M631" s="527"/>
      <c r="N631" s="527"/>
      <c r="O631" s="145"/>
      <c r="P631" s="167">
        <f t="shared" si="206"/>
        <v>11100</v>
      </c>
      <c r="Q631" s="167">
        <f t="shared" si="209"/>
        <v>-1191</v>
      </c>
      <c r="R631" s="167">
        <f t="shared" si="209"/>
        <v>9909</v>
      </c>
    </row>
    <row r="632" spans="2:19" x14ac:dyDescent="0.2">
      <c r="B632" s="171">
        <f t="shared" si="201"/>
        <v>99</v>
      </c>
      <c r="C632" s="143"/>
      <c r="D632" s="131"/>
      <c r="E632" s="146"/>
      <c r="F632" s="131" t="s">
        <v>214</v>
      </c>
      <c r="G632" s="194" t="s">
        <v>261</v>
      </c>
      <c r="H632" s="526">
        <f>150+448</f>
        <v>598</v>
      </c>
      <c r="I632" s="526"/>
      <c r="J632" s="526">
        <f t="shared" si="212"/>
        <v>598</v>
      </c>
      <c r="K632" s="145"/>
      <c r="L632" s="527"/>
      <c r="M632" s="527"/>
      <c r="N632" s="527"/>
      <c r="O632" s="145"/>
      <c r="P632" s="167">
        <f t="shared" si="206"/>
        <v>598</v>
      </c>
      <c r="Q632" s="167">
        <f t="shared" ref="Q632:R649" si="213">I632+M632</f>
        <v>0</v>
      </c>
      <c r="R632" s="167">
        <f t="shared" si="213"/>
        <v>598</v>
      </c>
    </row>
    <row r="633" spans="2:19" x14ac:dyDescent="0.2">
      <c r="B633" s="171">
        <f t="shared" si="201"/>
        <v>100</v>
      </c>
      <c r="C633" s="143"/>
      <c r="D633" s="131"/>
      <c r="E633" s="146"/>
      <c r="F633" s="131" t="s">
        <v>216</v>
      </c>
      <c r="G633" s="194" t="s">
        <v>248</v>
      </c>
      <c r="H633" s="526">
        <v>4100</v>
      </c>
      <c r="I633" s="526"/>
      <c r="J633" s="526">
        <f t="shared" si="212"/>
        <v>4100</v>
      </c>
      <c r="K633" s="145"/>
      <c r="L633" s="527"/>
      <c r="M633" s="527"/>
      <c r="N633" s="527"/>
      <c r="O633" s="145"/>
      <c r="P633" s="167">
        <f t="shared" si="206"/>
        <v>4100</v>
      </c>
      <c r="Q633" s="167">
        <f t="shared" si="213"/>
        <v>0</v>
      </c>
      <c r="R633" s="167">
        <f t="shared" si="213"/>
        <v>4100</v>
      </c>
    </row>
    <row r="634" spans="2:19" x14ac:dyDescent="0.2">
      <c r="B634" s="171">
        <f t="shared" si="201"/>
        <v>101</v>
      </c>
      <c r="C634" s="143"/>
      <c r="D634" s="131"/>
      <c r="E634" s="146"/>
      <c r="F634" s="284" t="s">
        <v>652</v>
      </c>
      <c r="G634" s="199" t="s">
        <v>665</v>
      </c>
      <c r="H634" s="388">
        <v>1260</v>
      </c>
      <c r="I634" s="388"/>
      <c r="J634" s="388">
        <f t="shared" si="212"/>
        <v>1260</v>
      </c>
      <c r="K634" s="145"/>
      <c r="L634" s="527"/>
      <c r="M634" s="527"/>
      <c r="N634" s="527"/>
      <c r="O634" s="145"/>
      <c r="P634" s="166">
        <f t="shared" si="206"/>
        <v>1260</v>
      </c>
      <c r="Q634" s="166">
        <f t="shared" si="213"/>
        <v>0</v>
      </c>
      <c r="R634" s="166">
        <f t="shared" si="213"/>
        <v>1260</v>
      </c>
    </row>
    <row r="635" spans="2:19" x14ac:dyDescent="0.2">
      <c r="B635" s="171">
        <f t="shared" si="201"/>
        <v>102</v>
      </c>
      <c r="C635" s="143"/>
      <c r="D635" s="131"/>
      <c r="E635" s="146"/>
      <c r="F635" s="290" t="s">
        <v>321</v>
      </c>
      <c r="G635" s="194" t="s">
        <v>668</v>
      </c>
      <c r="H635" s="526"/>
      <c r="I635" s="526"/>
      <c r="J635" s="526"/>
      <c r="K635" s="145"/>
      <c r="L635" s="396">
        <f>4000-41</f>
        <v>3959</v>
      </c>
      <c r="M635" s="396"/>
      <c r="N635" s="396">
        <f t="shared" si="200"/>
        <v>3959</v>
      </c>
      <c r="O635" s="145"/>
      <c r="P635" s="167">
        <f t="shared" si="206"/>
        <v>3959</v>
      </c>
      <c r="Q635" s="167">
        <f t="shared" si="213"/>
        <v>0</v>
      </c>
      <c r="R635" s="167">
        <f t="shared" si="213"/>
        <v>3959</v>
      </c>
      <c r="S635" s="240"/>
    </row>
    <row r="636" spans="2:19" x14ac:dyDescent="0.2">
      <c r="B636" s="171">
        <f t="shared" si="201"/>
        <v>103</v>
      </c>
      <c r="C636" s="143"/>
      <c r="D636" s="131"/>
      <c r="E636" s="146"/>
      <c r="F636" s="290" t="s">
        <v>321</v>
      </c>
      <c r="G636" s="194" t="s">
        <v>868</v>
      </c>
      <c r="H636" s="526"/>
      <c r="I636" s="526"/>
      <c r="J636" s="526"/>
      <c r="K636" s="145"/>
      <c r="L636" s="396">
        <v>20000</v>
      </c>
      <c r="M636" s="396"/>
      <c r="N636" s="396">
        <f t="shared" ref="N636" si="214">L636+M636</f>
        <v>20000</v>
      </c>
      <c r="O636" s="145"/>
      <c r="P636" s="167">
        <f t="shared" ref="P636" si="215">H636+L636</f>
        <v>20000</v>
      </c>
      <c r="Q636" s="167">
        <f t="shared" ref="Q636" si="216">I636+M636</f>
        <v>0</v>
      </c>
      <c r="R636" s="167">
        <f t="shared" ref="R636" si="217">J636+N636</f>
        <v>20000</v>
      </c>
      <c r="S636" s="240"/>
    </row>
    <row r="637" spans="2:19" ht="15" x14ac:dyDescent="0.25">
      <c r="B637" s="171">
        <f t="shared" si="201"/>
        <v>104</v>
      </c>
      <c r="C637" s="143"/>
      <c r="D637" s="29" t="s">
        <v>356</v>
      </c>
      <c r="E637" s="174" t="s">
        <v>289</v>
      </c>
      <c r="F637" s="147" t="s">
        <v>355</v>
      </c>
      <c r="G637" s="236"/>
      <c r="H637" s="425">
        <f>SUM(H638:H640)+H645</f>
        <v>139225</v>
      </c>
      <c r="I637" s="425">
        <f>SUM(I638:I640)+I645</f>
        <v>106</v>
      </c>
      <c r="J637" s="425">
        <f>H637+I637</f>
        <v>139331</v>
      </c>
      <c r="K637" s="334"/>
      <c r="L637" s="854">
        <f>SUM(L638:L646)</f>
        <v>28041</v>
      </c>
      <c r="M637" s="854"/>
      <c r="N637" s="854">
        <f t="shared" si="200"/>
        <v>28041</v>
      </c>
      <c r="O637" s="334"/>
      <c r="P637" s="330">
        <f t="shared" si="206"/>
        <v>167266</v>
      </c>
      <c r="Q637" s="330">
        <f t="shared" si="213"/>
        <v>106</v>
      </c>
      <c r="R637" s="330">
        <f t="shared" si="213"/>
        <v>167372</v>
      </c>
      <c r="S637" s="240"/>
    </row>
    <row r="638" spans="2:19" x14ac:dyDescent="0.2">
      <c r="B638" s="171">
        <f t="shared" si="201"/>
        <v>105</v>
      </c>
      <c r="C638" s="143"/>
      <c r="D638" s="144"/>
      <c r="E638" s="144"/>
      <c r="F638" s="144" t="s">
        <v>211</v>
      </c>
      <c r="G638" s="199" t="s">
        <v>505</v>
      </c>
      <c r="H638" s="388">
        <f>80080+3920-100-176</f>
        <v>83724</v>
      </c>
      <c r="I638" s="388">
        <v>-840</v>
      </c>
      <c r="J638" s="388">
        <f>H638+I638</f>
        <v>82884</v>
      </c>
      <c r="K638" s="145"/>
      <c r="L638" s="527"/>
      <c r="M638" s="527"/>
      <c r="N638" s="527"/>
      <c r="O638" s="145"/>
      <c r="P638" s="166">
        <f t="shared" si="206"/>
        <v>83724</v>
      </c>
      <c r="Q638" s="166">
        <f t="shared" si="213"/>
        <v>-840</v>
      </c>
      <c r="R638" s="166">
        <f t="shared" si="213"/>
        <v>82884</v>
      </c>
    </row>
    <row r="639" spans="2:19" x14ac:dyDescent="0.2">
      <c r="B639" s="171">
        <f t="shared" si="201"/>
        <v>106</v>
      </c>
      <c r="C639" s="143"/>
      <c r="D639" s="144"/>
      <c r="E639" s="144"/>
      <c r="F639" s="144" t="s">
        <v>212</v>
      </c>
      <c r="G639" s="199" t="s">
        <v>259</v>
      </c>
      <c r="H639" s="388">
        <f>29939+1464-418</f>
        <v>30985</v>
      </c>
      <c r="I639" s="388">
        <v>-330</v>
      </c>
      <c r="J639" s="388">
        <f t="shared" ref="J639:J646" si="218">H639+I639</f>
        <v>30655</v>
      </c>
      <c r="K639" s="145"/>
      <c r="L639" s="527"/>
      <c r="M639" s="527"/>
      <c r="N639" s="527"/>
      <c r="O639" s="145"/>
      <c r="P639" s="166">
        <f t="shared" si="206"/>
        <v>30985</v>
      </c>
      <c r="Q639" s="166">
        <f t="shared" si="213"/>
        <v>-330</v>
      </c>
      <c r="R639" s="166">
        <f t="shared" si="213"/>
        <v>30655</v>
      </c>
    </row>
    <row r="640" spans="2:19" x14ac:dyDescent="0.2">
      <c r="B640" s="171">
        <f t="shared" si="201"/>
        <v>107</v>
      </c>
      <c r="C640" s="143"/>
      <c r="D640" s="144"/>
      <c r="E640" s="144"/>
      <c r="F640" s="144" t="s">
        <v>218</v>
      </c>
      <c r="G640" s="199" t="s">
        <v>340</v>
      </c>
      <c r="H640" s="388">
        <f>SUM(H641:H644)</f>
        <v>24340</v>
      </c>
      <c r="I640" s="388">
        <f>SUM(I641:I644)</f>
        <v>1276</v>
      </c>
      <c r="J640" s="388">
        <f t="shared" si="218"/>
        <v>25616</v>
      </c>
      <c r="K640" s="145"/>
      <c r="L640" s="527"/>
      <c r="M640" s="527"/>
      <c r="N640" s="527"/>
      <c r="O640" s="145"/>
      <c r="P640" s="166">
        <f t="shared" si="206"/>
        <v>24340</v>
      </c>
      <c r="Q640" s="166">
        <f t="shared" si="213"/>
        <v>1276</v>
      </c>
      <c r="R640" s="166">
        <f t="shared" si="213"/>
        <v>25616</v>
      </c>
    </row>
    <row r="641" spans="2:18" x14ac:dyDescent="0.2">
      <c r="B641" s="171">
        <f t="shared" si="201"/>
        <v>108</v>
      </c>
      <c r="C641" s="143"/>
      <c r="D641" s="131"/>
      <c r="E641" s="131"/>
      <c r="F641" s="131" t="s">
        <v>199</v>
      </c>
      <c r="G641" s="194" t="s">
        <v>318</v>
      </c>
      <c r="H641" s="526">
        <f>15970-1290</f>
        <v>14680</v>
      </c>
      <c r="I641" s="526"/>
      <c r="J641" s="526">
        <f t="shared" si="218"/>
        <v>14680</v>
      </c>
      <c r="K641" s="145"/>
      <c r="L641" s="527"/>
      <c r="M641" s="527"/>
      <c r="N641" s="527"/>
      <c r="O641" s="145"/>
      <c r="P641" s="167">
        <f t="shared" si="206"/>
        <v>14680</v>
      </c>
      <c r="Q641" s="167">
        <f t="shared" si="213"/>
        <v>0</v>
      </c>
      <c r="R641" s="167">
        <f t="shared" si="213"/>
        <v>14680</v>
      </c>
    </row>
    <row r="642" spans="2:18" x14ac:dyDescent="0.2">
      <c r="B642" s="171">
        <f t="shared" si="201"/>
        <v>109</v>
      </c>
      <c r="C642" s="143"/>
      <c r="D642" s="131"/>
      <c r="E642" s="131"/>
      <c r="F642" s="131" t="s">
        <v>200</v>
      </c>
      <c r="G642" s="194" t="s">
        <v>247</v>
      </c>
      <c r="H642" s="526">
        <v>5320</v>
      </c>
      <c r="I642" s="526">
        <v>1276</v>
      </c>
      <c r="J642" s="526">
        <f t="shared" si="218"/>
        <v>6596</v>
      </c>
      <c r="K642" s="145"/>
      <c r="L642" s="527"/>
      <c r="M642" s="527"/>
      <c r="N642" s="527"/>
      <c r="O642" s="145"/>
      <c r="P642" s="167">
        <f t="shared" si="206"/>
        <v>5320</v>
      </c>
      <c r="Q642" s="167">
        <f t="shared" si="213"/>
        <v>1276</v>
      </c>
      <c r="R642" s="167">
        <f t="shared" si="213"/>
        <v>6596</v>
      </c>
    </row>
    <row r="643" spans="2:18" x14ac:dyDescent="0.2">
      <c r="B643" s="171">
        <f t="shared" si="201"/>
        <v>110</v>
      </c>
      <c r="C643" s="143"/>
      <c r="D643" s="131"/>
      <c r="E643" s="146"/>
      <c r="F643" s="131" t="s">
        <v>214</v>
      </c>
      <c r="G643" s="194" t="s">
        <v>261</v>
      </c>
      <c r="H643" s="526">
        <f>150+1290</f>
        <v>1440</v>
      </c>
      <c r="I643" s="526"/>
      <c r="J643" s="526">
        <f t="shared" si="218"/>
        <v>1440</v>
      </c>
      <c r="K643" s="145"/>
      <c r="L643" s="527"/>
      <c r="M643" s="527"/>
      <c r="N643" s="527"/>
      <c r="O643" s="145"/>
      <c r="P643" s="167">
        <f t="shared" ref="P643:P677" si="219">H643+L643</f>
        <v>1440</v>
      </c>
      <c r="Q643" s="167">
        <f t="shared" si="213"/>
        <v>0</v>
      </c>
      <c r="R643" s="167">
        <f t="shared" si="213"/>
        <v>1440</v>
      </c>
    </row>
    <row r="644" spans="2:18" x14ac:dyDescent="0.2">
      <c r="B644" s="171">
        <f t="shared" si="201"/>
        <v>111</v>
      </c>
      <c r="C644" s="143"/>
      <c r="D644" s="131"/>
      <c r="E644" s="146"/>
      <c r="F644" s="131" t="s">
        <v>216</v>
      </c>
      <c r="G644" s="194" t="s">
        <v>248</v>
      </c>
      <c r="H644" s="526">
        <v>2900</v>
      </c>
      <c r="I644" s="526"/>
      <c r="J644" s="526">
        <f t="shared" si="218"/>
        <v>2900</v>
      </c>
      <c r="K644" s="145"/>
      <c r="L644" s="527"/>
      <c r="M644" s="527"/>
      <c r="N644" s="527"/>
      <c r="O644" s="145"/>
      <c r="P644" s="167">
        <f t="shared" si="219"/>
        <v>2900</v>
      </c>
      <c r="Q644" s="167">
        <f t="shared" si="213"/>
        <v>0</v>
      </c>
      <c r="R644" s="167">
        <f t="shared" si="213"/>
        <v>2900</v>
      </c>
    </row>
    <row r="645" spans="2:18" x14ac:dyDescent="0.2">
      <c r="B645" s="171">
        <f t="shared" si="201"/>
        <v>112</v>
      </c>
      <c r="C645" s="143"/>
      <c r="D645" s="131"/>
      <c r="E645" s="146"/>
      <c r="F645" s="284" t="s">
        <v>652</v>
      </c>
      <c r="G645" s="199" t="s">
        <v>665</v>
      </c>
      <c r="H645" s="388">
        <v>176</v>
      </c>
      <c r="I645" s="388"/>
      <c r="J645" s="388">
        <f t="shared" si="218"/>
        <v>176</v>
      </c>
      <c r="K645" s="145"/>
      <c r="L645" s="527"/>
      <c r="M645" s="527"/>
      <c r="N645" s="527"/>
      <c r="O645" s="145"/>
      <c r="P645" s="166">
        <f t="shared" si="219"/>
        <v>176</v>
      </c>
      <c r="Q645" s="166">
        <f t="shared" ref="Q645" si="220">I645+M645</f>
        <v>0</v>
      </c>
      <c r="R645" s="166">
        <f t="shared" ref="R645" si="221">J645+N645</f>
        <v>176</v>
      </c>
    </row>
    <row r="646" spans="2:18" x14ac:dyDescent="0.2">
      <c r="B646" s="171">
        <f t="shared" si="201"/>
        <v>113</v>
      </c>
      <c r="C646" s="143"/>
      <c r="D646" s="131"/>
      <c r="E646" s="146"/>
      <c r="F646" s="436" t="s">
        <v>321</v>
      </c>
      <c r="G646" s="199" t="s">
        <v>549</v>
      </c>
      <c r="H646" s="526"/>
      <c r="I646" s="526"/>
      <c r="J646" s="388">
        <f t="shared" si="218"/>
        <v>0</v>
      </c>
      <c r="K646" s="145"/>
      <c r="L646" s="396">
        <f>28000-1959+2000</f>
        <v>28041</v>
      </c>
      <c r="M646" s="396"/>
      <c r="N646" s="396">
        <f t="shared" si="200"/>
        <v>28041</v>
      </c>
      <c r="O646" s="145"/>
      <c r="P646" s="166">
        <f t="shared" si="219"/>
        <v>28041</v>
      </c>
      <c r="Q646" s="166">
        <f t="shared" si="213"/>
        <v>0</v>
      </c>
      <c r="R646" s="166">
        <f t="shared" si="213"/>
        <v>28041</v>
      </c>
    </row>
    <row r="647" spans="2:18" ht="15" x14ac:dyDescent="0.25">
      <c r="B647" s="171">
        <f t="shared" si="201"/>
        <v>114</v>
      </c>
      <c r="C647" s="143"/>
      <c r="D647" s="29" t="s">
        <v>358</v>
      </c>
      <c r="E647" s="174" t="s">
        <v>289</v>
      </c>
      <c r="F647" s="147" t="s">
        <v>357</v>
      </c>
      <c r="G647" s="236"/>
      <c r="H647" s="425">
        <f>SUM(H648:H650)+H654</f>
        <v>65963</v>
      </c>
      <c r="I647" s="425">
        <f>SUM(I648:I650)+I654</f>
        <v>-321</v>
      </c>
      <c r="J647" s="425">
        <f>H647+I647</f>
        <v>65642</v>
      </c>
      <c r="K647" s="334"/>
      <c r="L647" s="851"/>
      <c r="M647" s="851"/>
      <c r="N647" s="851"/>
      <c r="O647" s="334"/>
      <c r="P647" s="330">
        <f t="shared" si="219"/>
        <v>65963</v>
      </c>
      <c r="Q647" s="330">
        <f t="shared" si="213"/>
        <v>-321</v>
      </c>
      <c r="R647" s="330">
        <f t="shared" si="213"/>
        <v>65642</v>
      </c>
    </row>
    <row r="648" spans="2:18" x14ac:dyDescent="0.2">
      <c r="B648" s="171">
        <f t="shared" si="201"/>
        <v>115</v>
      </c>
      <c r="C648" s="143"/>
      <c r="D648" s="144"/>
      <c r="E648" s="144"/>
      <c r="F648" s="144" t="s">
        <v>211</v>
      </c>
      <c r="G648" s="199" t="s">
        <v>505</v>
      </c>
      <c r="H648" s="388">
        <f>38350+1876+4-107</f>
        <v>40123</v>
      </c>
      <c r="I648" s="388"/>
      <c r="J648" s="388">
        <f>H648+I648</f>
        <v>40123</v>
      </c>
      <c r="K648" s="145"/>
      <c r="L648" s="527"/>
      <c r="M648" s="527"/>
      <c r="N648" s="527"/>
      <c r="O648" s="145"/>
      <c r="P648" s="166">
        <f t="shared" si="219"/>
        <v>40123</v>
      </c>
      <c r="Q648" s="166">
        <f t="shared" si="213"/>
        <v>0</v>
      </c>
      <c r="R648" s="166">
        <f t="shared" si="213"/>
        <v>40123</v>
      </c>
    </row>
    <row r="649" spans="2:18" x14ac:dyDescent="0.2">
      <c r="B649" s="171">
        <f t="shared" si="201"/>
        <v>116</v>
      </c>
      <c r="C649" s="143"/>
      <c r="D649" s="144"/>
      <c r="E649" s="144"/>
      <c r="F649" s="144" t="s">
        <v>212</v>
      </c>
      <c r="G649" s="199" t="s">
        <v>259</v>
      </c>
      <c r="H649" s="388">
        <f>14039+685-251</f>
        <v>14473</v>
      </c>
      <c r="I649" s="388"/>
      <c r="J649" s="388">
        <f t="shared" ref="J649:J654" si="222">H649+I649</f>
        <v>14473</v>
      </c>
      <c r="K649" s="145"/>
      <c r="L649" s="527"/>
      <c r="M649" s="527"/>
      <c r="N649" s="527"/>
      <c r="O649" s="145"/>
      <c r="P649" s="166">
        <f t="shared" si="219"/>
        <v>14473</v>
      </c>
      <c r="Q649" s="166">
        <f t="shared" si="213"/>
        <v>0</v>
      </c>
      <c r="R649" s="166">
        <f t="shared" si="213"/>
        <v>14473</v>
      </c>
    </row>
    <row r="650" spans="2:18" x14ac:dyDescent="0.2">
      <c r="B650" s="171">
        <f t="shared" si="201"/>
        <v>117</v>
      </c>
      <c r="C650" s="143"/>
      <c r="D650" s="144"/>
      <c r="E650" s="144"/>
      <c r="F650" s="144" t="s">
        <v>218</v>
      </c>
      <c r="G650" s="199" t="s">
        <v>340</v>
      </c>
      <c r="H650" s="388">
        <f>SUM(H651:H653)</f>
        <v>11260</v>
      </c>
      <c r="I650" s="388">
        <f>SUM(I651:I653)</f>
        <v>-321</v>
      </c>
      <c r="J650" s="388">
        <f t="shared" si="222"/>
        <v>10939</v>
      </c>
      <c r="K650" s="145"/>
      <c r="L650" s="527"/>
      <c r="M650" s="527"/>
      <c r="N650" s="527"/>
      <c r="O650" s="145"/>
      <c r="P650" s="166">
        <f t="shared" si="219"/>
        <v>11260</v>
      </c>
      <c r="Q650" s="166">
        <f t="shared" ref="Q650:R667" si="223">I650+M650</f>
        <v>-321</v>
      </c>
      <c r="R650" s="166">
        <f t="shared" si="223"/>
        <v>10939</v>
      </c>
    </row>
    <row r="651" spans="2:18" x14ac:dyDescent="0.2">
      <c r="B651" s="171">
        <f t="shared" si="201"/>
        <v>118</v>
      </c>
      <c r="C651" s="143"/>
      <c r="D651" s="131"/>
      <c r="E651" s="131"/>
      <c r="F651" s="131" t="s">
        <v>199</v>
      </c>
      <c r="G651" s="194" t="s">
        <v>318</v>
      </c>
      <c r="H651" s="526">
        <f>5960+1110</f>
        <v>7070</v>
      </c>
      <c r="I651" s="526"/>
      <c r="J651" s="526">
        <f t="shared" si="222"/>
        <v>7070</v>
      </c>
      <c r="K651" s="145"/>
      <c r="L651" s="527"/>
      <c r="M651" s="527"/>
      <c r="N651" s="527"/>
      <c r="O651" s="145"/>
      <c r="P651" s="167">
        <f t="shared" si="219"/>
        <v>7070</v>
      </c>
      <c r="Q651" s="167">
        <f t="shared" si="223"/>
        <v>0</v>
      </c>
      <c r="R651" s="167">
        <f t="shared" si="223"/>
        <v>7070</v>
      </c>
    </row>
    <row r="652" spans="2:18" x14ac:dyDescent="0.2">
      <c r="B652" s="171">
        <f t="shared" si="201"/>
        <v>119</v>
      </c>
      <c r="C652" s="143"/>
      <c r="D652" s="131"/>
      <c r="E652" s="131"/>
      <c r="F652" s="131" t="s">
        <v>200</v>
      </c>
      <c r="G652" s="194" t="s">
        <v>247</v>
      </c>
      <c r="H652" s="526">
        <f>3760-910</f>
        <v>2850</v>
      </c>
      <c r="I652" s="526">
        <v>-321</v>
      </c>
      <c r="J652" s="526">
        <f t="shared" si="222"/>
        <v>2529</v>
      </c>
      <c r="K652" s="145"/>
      <c r="L652" s="527"/>
      <c r="M652" s="527"/>
      <c r="N652" s="527"/>
      <c r="O652" s="145"/>
      <c r="P652" s="167">
        <f t="shared" si="219"/>
        <v>2850</v>
      </c>
      <c r="Q652" s="167">
        <f t="shared" si="223"/>
        <v>-321</v>
      </c>
      <c r="R652" s="167">
        <f t="shared" si="223"/>
        <v>2529</v>
      </c>
    </row>
    <row r="653" spans="2:18" x14ac:dyDescent="0.2">
      <c r="B653" s="171">
        <f t="shared" si="201"/>
        <v>120</v>
      </c>
      <c r="C653" s="143"/>
      <c r="D653" s="131"/>
      <c r="E653" s="146"/>
      <c r="F653" s="131" t="s">
        <v>216</v>
      </c>
      <c r="G653" s="194" t="s">
        <v>248</v>
      </c>
      <c r="H653" s="526">
        <f>1540-200</f>
        <v>1340</v>
      </c>
      <c r="I653" s="526"/>
      <c r="J653" s="526">
        <f t="shared" si="222"/>
        <v>1340</v>
      </c>
      <c r="K653" s="145"/>
      <c r="L653" s="527"/>
      <c r="M653" s="527"/>
      <c r="N653" s="527"/>
      <c r="O653" s="145"/>
      <c r="P653" s="167">
        <f t="shared" si="219"/>
        <v>1340</v>
      </c>
      <c r="Q653" s="167">
        <f t="shared" si="223"/>
        <v>0</v>
      </c>
      <c r="R653" s="167">
        <f t="shared" si="223"/>
        <v>1340</v>
      </c>
    </row>
    <row r="654" spans="2:18" x14ac:dyDescent="0.2">
      <c r="B654" s="171">
        <f t="shared" si="201"/>
        <v>121</v>
      </c>
      <c r="C654" s="143"/>
      <c r="D654" s="131"/>
      <c r="E654" s="146"/>
      <c r="F654" s="284" t="s">
        <v>652</v>
      </c>
      <c r="G654" s="199" t="s">
        <v>665</v>
      </c>
      <c r="H654" s="388">
        <v>107</v>
      </c>
      <c r="I654" s="388"/>
      <c r="J654" s="388">
        <f t="shared" si="222"/>
        <v>107</v>
      </c>
      <c r="K654" s="145"/>
      <c r="L654" s="527"/>
      <c r="M654" s="527"/>
      <c r="N654" s="527"/>
      <c r="O654" s="145"/>
      <c r="P654" s="166">
        <f t="shared" ref="P654" si="224">H654+L654</f>
        <v>107</v>
      </c>
      <c r="Q654" s="166">
        <f t="shared" si="223"/>
        <v>0</v>
      </c>
      <c r="R654" s="166">
        <f t="shared" si="223"/>
        <v>107</v>
      </c>
    </row>
    <row r="655" spans="2:18" ht="15" x14ac:dyDescent="0.25">
      <c r="B655" s="171">
        <f t="shared" si="201"/>
        <v>122</v>
      </c>
      <c r="C655" s="143"/>
      <c r="D655" s="29" t="s">
        <v>360</v>
      </c>
      <c r="E655" s="174" t="s">
        <v>289</v>
      </c>
      <c r="F655" s="147" t="s">
        <v>359</v>
      </c>
      <c r="G655" s="236"/>
      <c r="H655" s="425">
        <f>SUM(H656:H658)+H663</f>
        <v>93284</v>
      </c>
      <c r="I655" s="425">
        <f>SUM(I656:I658)+I663</f>
        <v>-220</v>
      </c>
      <c r="J655" s="425">
        <f>H655+I655</f>
        <v>93064</v>
      </c>
      <c r="K655" s="334"/>
      <c r="L655" s="849"/>
      <c r="M655" s="849"/>
      <c r="N655" s="849"/>
      <c r="O655" s="334"/>
      <c r="P655" s="330">
        <f t="shared" si="219"/>
        <v>93284</v>
      </c>
      <c r="Q655" s="330">
        <f t="shared" si="223"/>
        <v>-220</v>
      </c>
      <c r="R655" s="330">
        <f t="shared" si="223"/>
        <v>93064</v>
      </c>
    </row>
    <row r="656" spans="2:18" x14ac:dyDescent="0.2">
      <c r="B656" s="171">
        <f t="shared" si="201"/>
        <v>123</v>
      </c>
      <c r="C656" s="143"/>
      <c r="D656" s="144"/>
      <c r="E656" s="144"/>
      <c r="F656" s="144" t="s">
        <v>211</v>
      </c>
      <c r="G656" s="199" t="s">
        <v>505</v>
      </c>
      <c r="H656" s="388">
        <f>51765+2546+1861-120</f>
        <v>56052</v>
      </c>
      <c r="I656" s="388"/>
      <c r="J656" s="388">
        <f>H656+I656</f>
        <v>56052</v>
      </c>
      <c r="K656" s="145"/>
      <c r="L656" s="527"/>
      <c r="M656" s="527"/>
      <c r="N656" s="527"/>
      <c r="O656" s="145"/>
      <c r="P656" s="166">
        <f t="shared" si="219"/>
        <v>56052</v>
      </c>
      <c r="Q656" s="166">
        <f t="shared" si="223"/>
        <v>0</v>
      </c>
      <c r="R656" s="166">
        <f t="shared" si="223"/>
        <v>56052</v>
      </c>
    </row>
    <row r="657" spans="2:18" x14ac:dyDescent="0.2">
      <c r="B657" s="171">
        <f t="shared" si="201"/>
        <v>124</v>
      </c>
      <c r="C657" s="143"/>
      <c r="D657" s="144"/>
      <c r="E657" s="144"/>
      <c r="F657" s="144" t="s">
        <v>212</v>
      </c>
      <c r="G657" s="199" t="s">
        <v>259</v>
      </c>
      <c r="H657" s="388">
        <f>19027+935+910</f>
        <v>20872</v>
      </c>
      <c r="I657" s="388"/>
      <c r="J657" s="388">
        <f t="shared" ref="J657:J663" si="225">H657+I657</f>
        <v>20872</v>
      </c>
      <c r="K657" s="145"/>
      <c r="L657" s="527"/>
      <c r="M657" s="527"/>
      <c r="N657" s="527"/>
      <c r="O657" s="145"/>
      <c r="P657" s="166">
        <f t="shared" si="219"/>
        <v>20872</v>
      </c>
      <c r="Q657" s="166">
        <f t="shared" si="223"/>
        <v>0</v>
      </c>
      <c r="R657" s="166">
        <f t="shared" si="223"/>
        <v>20872</v>
      </c>
    </row>
    <row r="658" spans="2:18" x14ac:dyDescent="0.2">
      <c r="B658" s="171">
        <f t="shared" si="201"/>
        <v>125</v>
      </c>
      <c r="C658" s="143"/>
      <c r="D658" s="144"/>
      <c r="E658" s="144"/>
      <c r="F658" s="144" t="s">
        <v>218</v>
      </c>
      <c r="G658" s="199" t="s">
        <v>340</v>
      </c>
      <c r="H658" s="388">
        <f>SUM(H659:H662)</f>
        <v>16240</v>
      </c>
      <c r="I658" s="388">
        <f>SUM(I659:I662)</f>
        <v>-220</v>
      </c>
      <c r="J658" s="388">
        <f t="shared" si="225"/>
        <v>16020</v>
      </c>
      <c r="K658" s="145"/>
      <c r="L658" s="527"/>
      <c r="M658" s="527"/>
      <c r="N658" s="527"/>
      <c r="O658" s="145"/>
      <c r="P658" s="166">
        <f t="shared" si="219"/>
        <v>16240</v>
      </c>
      <c r="Q658" s="166">
        <f t="shared" si="223"/>
        <v>-220</v>
      </c>
      <c r="R658" s="166">
        <f t="shared" si="223"/>
        <v>16020</v>
      </c>
    </row>
    <row r="659" spans="2:18" x14ac:dyDescent="0.2">
      <c r="B659" s="171">
        <f t="shared" si="201"/>
        <v>126</v>
      </c>
      <c r="C659" s="143"/>
      <c r="D659" s="131"/>
      <c r="E659" s="131"/>
      <c r="F659" s="131" t="s">
        <v>199</v>
      </c>
      <c r="G659" s="194" t="s">
        <v>318</v>
      </c>
      <c r="H659" s="526">
        <f>10100-200</f>
        <v>9900</v>
      </c>
      <c r="I659" s="526"/>
      <c r="J659" s="526">
        <f t="shared" si="225"/>
        <v>9900</v>
      </c>
      <c r="K659" s="145"/>
      <c r="L659" s="527"/>
      <c r="M659" s="527"/>
      <c r="N659" s="527"/>
      <c r="O659" s="145"/>
      <c r="P659" s="167">
        <f t="shared" si="219"/>
        <v>9900</v>
      </c>
      <c r="Q659" s="167">
        <f t="shared" si="223"/>
        <v>0</v>
      </c>
      <c r="R659" s="167">
        <f t="shared" si="223"/>
        <v>9900</v>
      </c>
    </row>
    <row r="660" spans="2:18" x14ac:dyDescent="0.2">
      <c r="B660" s="171">
        <f t="shared" si="201"/>
        <v>127</v>
      </c>
      <c r="C660" s="143"/>
      <c r="D660" s="131"/>
      <c r="E660" s="131"/>
      <c r="F660" s="290" t="s">
        <v>200</v>
      </c>
      <c r="G660" s="194" t="s">
        <v>247</v>
      </c>
      <c r="H660" s="526">
        <v>4130</v>
      </c>
      <c r="I660" s="526">
        <v>-220</v>
      </c>
      <c r="J660" s="526">
        <f t="shared" si="225"/>
        <v>3910</v>
      </c>
      <c r="K660" s="145"/>
      <c r="L660" s="527"/>
      <c r="M660" s="527"/>
      <c r="N660" s="527"/>
      <c r="O660" s="145"/>
      <c r="P660" s="167">
        <f t="shared" si="219"/>
        <v>4130</v>
      </c>
      <c r="Q660" s="167">
        <f t="shared" si="223"/>
        <v>-220</v>
      </c>
      <c r="R660" s="167">
        <f t="shared" si="223"/>
        <v>3910</v>
      </c>
    </row>
    <row r="661" spans="2:18" x14ac:dyDescent="0.2">
      <c r="B661" s="171">
        <f t="shared" si="201"/>
        <v>128</v>
      </c>
      <c r="C661" s="143"/>
      <c r="D661" s="131"/>
      <c r="E661" s="146"/>
      <c r="F661" s="131" t="s">
        <v>214</v>
      </c>
      <c r="G661" s="194" t="s">
        <v>261</v>
      </c>
      <c r="H661" s="526">
        <f>150+200</f>
        <v>350</v>
      </c>
      <c r="I661" s="526"/>
      <c r="J661" s="526">
        <f t="shared" si="225"/>
        <v>350</v>
      </c>
      <c r="K661" s="145"/>
      <c r="L661" s="527"/>
      <c r="M661" s="527"/>
      <c r="N661" s="527"/>
      <c r="O661" s="145"/>
      <c r="P661" s="167">
        <f t="shared" si="219"/>
        <v>350</v>
      </c>
      <c r="Q661" s="167">
        <f t="shared" si="223"/>
        <v>0</v>
      </c>
      <c r="R661" s="167">
        <f t="shared" si="223"/>
        <v>350</v>
      </c>
    </row>
    <row r="662" spans="2:18" x14ac:dyDescent="0.2">
      <c r="B662" s="171">
        <f t="shared" si="201"/>
        <v>129</v>
      </c>
      <c r="C662" s="143"/>
      <c r="D662" s="131"/>
      <c r="E662" s="146"/>
      <c r="F662" s="131" t="s">
        <v>216</v>
      </c>
      <c r="G662" s="194" t="s">
        <v>248</v>
      </c>
      <c r="H662" s="382">
        <v>1860</v>
      </c>
      <c r="I662" s="382"/>
      <c r="J662" s="526">
        <f t="shared" si="225"/>
        <v>1860</v>
      </c>
      <c r="K662" s="328"/>
      <c r="L662" s="527"/>
      <c r="M662" s="527"/>
      <c r="N662" s="527"/>
      <c r="O662" s="328"/>
      <c r="P662" s="167">
        <f t="shared" si="219"/>
        <v>1860</v>
      </c>
      <c r="Q662" s="167">
        <f t="shared" si="223"/>
        <v>0</v>
      </c>
      <c r="R662" s="167">
        <f t="shared" si="223"/>
        <v>1860</v>
      </c>
    </row>
    <row r="663" spans="2:18" x14ac:dyDescent="0.2">
      <c r="B663" s="171">
        <f t="shared" si="201"/>
        <v>130</v>
      </c>
      <c r="C663" s="143"/>
      <c r="D663" s="131"/>
      <c r="E663" s="146"/>
      <c r="F663" s="284" t="s">
        <v>652</v>
      </c>
      <c r="G663" s="199" t="s">
        <v>665</v>
      </c>
      <c r="H663" s="388">
        <v>120</v>
      </c>
      <c r="I663" s="388"/>
      <c r="J663" s="388">
        <f t="shared" si="225"/>
        <v>120</v>
      </c>
      <c r="K663" s="145"/>
      <c r="L663" s="527"/>
      <c r="M663" s="527"/>
      <c r="N663" s="527"/>
      <c r="O663" s="145"/>
      <c r="P663" s="166">
        <f t="shared" si="219"/>
        <v>120</v>
      </c>
      <c r="Q663" s="166">
        <f t="shared" ref="Q663" si="226">I663+M663</f>
        <v>0</v>
      </c>
      <c r="R663" s="166">
        <f t="shared" ref="R663" si="227">J663+N663</f>
        <v>120</v>
      </c>
    </row>
    <row r="664" spans="2:18" ht="15" x14ac:dyDescent="0.25">
      <c r="B664" s="171">
        <f t="shared" si="201"/>
        <v>131</v>
      </c>
      <c r="C664" s="143"/>
      <c r="D664" s="29" t="s">
        <v>362</v>
      </c>
      <c r="E664" s="174" t="s">
        <v>289</v>
      </c>
      <c r="F664" s="147" t="s">
        <v>361</v>
      </c>
      <c r="G664" s="236"/>
      <c r="H664" s="425">
        <f>SUM(H665:H667)+H673</f>
        <v>88940</v>
      </c>
      <c r="I664" s="425">
        <f t="shared" ref="I664" si="228">SUM(I665:I667)+I673</f>
        <v>-760</v>
      </c>
      <c r="J664" s="425">
        <f>H664+I664</f>
        <v>88180</v>
      </c>
      <c r="K664" s="334"/>
      <c r="L664" s="851"/>
      <c r="M664" s="851"/>
      <c r="N664" s="851"/>
      <c r="O664" s="334"/>
      <c r="P664" s="330">
        <f t="shared" si="219"/>
        <v>88940</v>
      </c>
      <c r="Q664" s="330">
        <f t="shared" si="223"/>
        <v>-760</v>
      </c>
      <c r="R664" s="330">
        <f t="shared" si="223"/>
        <v>88180</v>
      </c>
    </row>
    <row r="665" spans="2:18" x14ac:dyDescent="0.2">
      <c r="B665" s="171">
        <f t="shared" si="201"/>
        <v>132</v>
      </c>
      <c r="C665" s="143"/>
      <c r="D665" s="144"/>
      <c r="E665" s="144"/>
      <c r="F665" s="144" t="s">
        <v>211</v>
      </c>
      <c r="G665" s="199" t="s">
        <v>505</v>
      </c>
      <c r="H665" s="388">
        <f>42210+2069+1455</f>
        <v>45734</v>
      </c>
      <c r="I665" s="388"/>
      <c r="J665" s="388">
        <f>H665+I665</f>
        <v>45734</v>
      </c>
      <c r="K665" s="145"/>
      <c r="L665" s="527"/>
      <c r="M665" s="527"/>
      <c r="N665" s="527"/>
      <c r="O665" s="145"/>
      <c r="P665" s="166">
        <f t="shared" si="219"/>
        <v>45734</v>
      </c>
      <c r="Q665" s="166">
        <f t="shared" si="223"/>
        <v>0</v>
      </c>
      <c r="R665" s="166">
        <f t="shared" si="223"/>
        <v>45734</v>
      </c>
    </row>
    <row r="666" spans="2:18" x14ac:dyDescent="0.2">
      <c r="B666" s="171">
        <f t="shared" si="201"/>
        <v>133</v>
      </c>
      <c r="C666" s="143"/>
      <c r="D666" s="144"/>
      <c r="E666" s="144"/>
      <c r="F666" s="144" t="s">
        <v>212</v>
      </c>
      <c r="G666" s="199" t="s">
        <v>259</v>
      </c>
      <c r="H666" s="388">
        <f>15693+768+1025</f>
        <v>17486</v>
      </c>
      <c r="I666" s="388"/>
      <c r="J666" s="388">
        <f t="shared" ref="J666:J673" si="229">H666+I666</f>
        <v>17486</v>
      </c>
      <c r="K666" s="145"/>
      <c r="L666" s="527"/>
      <c r="M666" s="527"/>
      <c r="N666" s="527"/>
      <c r="O666" s="145"/>
      <c r="P666" s="166">
        <f t="shared" si="219"/>
        <v>17486</v>
      </c>
      <c r="Q666" s="166">
        <f t="shared" si="223"/>
        <v>0</v>
      </c>
      <c r="R666" s="166">
        <f t="shared" si="223"/>
        <v>17486</v>
      </c>
    </row>
    <row r="667" spans="2:18" x14ac:dyDescent="0.2">
      <c r="B667" s="171">
        <f t="shared" si="201"/>
        <v>134</v>
      </c>
      <c r="C667" s="143"/>
      <c r="D667" s="144"/>
      <c r="E667" s="144"/>
      <c r="F667" s="144" t="s">
        <v>218</v>
      </c>
      <c r="G667" s="199" t="s">
        <v>340</v>
      </c>
      <c r="H667" s="388">
        <f>SUM(H668:H672)</f>
        <v>23670</v>
      </c>
      <c r="I667" s="388">
        <f>SUM(I668:I672)</f>
        <v>-760</v>
      </c>
      <c r="J667" s="388">
        <f t="shared" si="229"/>
        <v>22910</v>
      </c>
      <c r="K667" s="145"/>
      <c r="L667" s="527"/>
      <c r="M667" s="527"/>
      <c r="N667" s="527"/>
      <c r="O667" s="145"/>
      <c r="P667" s="166">
        <f t="shared" si="219"/>
        <v>23670</v>
      </c>
      <c r="Q667" s="166">
        <f t="shared" si="223"/>
        <v>-760</v>
      </c>
      <c r="R667" s="166">
        <f t="shared" si="223"/>
        <v>22910</v>
      </c>
    </row>
    <row r="668" spans="2:18" x14ac:dyDescent="0.2">
      <c r="B668" s="171">
        <f t="shared" si="201"/>
        <v>135</v>
      </c>
      <c r="C668" s="143"/>
      <c r="D668" s="131"/>
      <c r="E668" s="131"/>
      <c r="F668" s="131" t="s">
        <v>199</v>
      </c>
      <c r="G668" s="194" t="s">
        <v>318</v>
      </c>
      <c r="H668" s="526">
        <v>320</v>
      </c>
      <c r="I668" s="526"/>
      <c r="J668" s="526">
        <f t="shared" si="229"/>
        <v>320</v>
      </c>
      <c r="K668" s="145"/>
      <c r="L668" s="527"/>
      <c r="M668" s="527"/>
      <c r="N668" s="527"/>
      <c r="O668" s="145"/>
      <c r="P668" s="167">
        <f t="shared" si="219"/>
        <v>320</v>
      </c>
      <c r="Q668" s="167">
        <f t="shared" ref="Q668:R683" si="230">I668+M668</f>
        <v>0</v>
      </c>
      <c r="R668" s="167">
        <f t="shared" si="230"/>
        <v>320</v>
      </c>
    </row>
    <row r="669" spans="2:18" x14ac:dyDescent="0.2">
      <c r="B669" s="171">
        <f t="shared" si="201"/>
        <v>136</v>
      </c>
      <c r="C669" s="143"/>
      <c r="D669" s="131"/>
      <c r="E669" s="131"/>
      <c r="F669" s="131" t="s">
        <v>200</v>
      </c>
      <c r="G669" s="194" t="s">
        <v>247</v>
      </c>
      <c r="H669" s="526">
        <f>3340+1300-800</f>
        <v>3840</v>
      </c>
      <c r="I669" s="526">
        <v>-760</v>
      </c>
      <c r="J669" s="526">
        <f t="shared" si="229"/>
        <v>3080</v>
      </c>
      <c r="K669" s="145"/>
      <c r="L669" s="527"/>
      <c r="M669" s="527"/>
      <c r="N669" s="527"/>
      <c r="O669" s="145"/>
      <c r="P669" s="167">
        <f t="shared" si="219"/>
        <v>3840</v>
      </c>
      <c r="Q669" s="167">
        <f t="shared" si="230"/>
        <v>-760</v>
      </c>
      <c r="R669" s="167">
        <f t="shared" si="230"/>
        <v>3080</v>
      </c>
    </row>
    <row r="670" spans="2:18" x14ac:dyDescent="0.2">
      <c r="B670" s="171">
        <f t="shared" si="201"/>
        <v>137</v>
      </c>
      <c r="C670" s="143"/>
      <c r="D670" s="131"/>
      <c r="E670" s="178"/>
      <c r="F670" s="131" t="s">
        <v>214</v>
      </c>
      <c r="G670" s="194" t="s">
        <v>261</v>
      </c>
      <c r="H670" s="526">
        <v>2200</v>
      </c>
      <c r="I670" s="526"/>
      <c r="J670" s="526">
        <f t="shared" si="229"/>
        <v>2200</v>
      </c>
      <c r="K670" s="145"/>
      <c r="L670" s="527"/>
      <c r="M670" s="527"/>
      <c r="N670" s="527"/>
      <c r="O670" s="145"/>
      <c r="P670" s="167">
        <f t="shared" si="219"/>
        <v>2200</v>
      </c>
      <c r="Q670" s="167">
        <f t="shared" si="230"/>
        <v>0</v>
      </c>
      <c r="R670" s="167">
        <f t="shared" si="230"/>
        <v>2200</v>
      </c>
    </row>
    <row r="671" spans="2:18" x14ac:dyDescent="0.2">
      <c r="B671" s="171">
        <f t="shared" si="201"/>
        <v>138</v>
      </c>
      <c r="C671" s="143"/>
      <c r="D671" s="131"/>
      <c r="E671" s="146"/>
      <c r="F671" s="131" t="s">
        <v>215</v>
      </c>
      <c r="G671" s="194" t="s">
        <v>346</v>
      </c>
      <c r="H671" s="526">
        <f>14900-137</f>
        <v>14763</v>
      </c>
      <c r="I671" s="526"/>
      <c r="J671" s="526">
        <f t="shared" si="229"/>
        <v>14763</v>
      </c>
      <c r="K671" s="145"/>
      <c r="L671" s="527"/>
      <c r="M671" s="527"/>
      <c r="N671" s="527"/>
      <c r="O671" s="145"/>
      <c r="P671" s="167">
        <f t="shared" si="219"/>
        <v>14763</v>
      </c>
      <c r="Q671" s="167">
        <f t="shared" si="230"/>
        <v>0</v>
      </c>
      <c r="R671" s="167">
        <f t="shared" si="230"/>
        <v>14763</v>
      </c>
    </row>
    <row r="672" spans="2:18" x14ac:dyDescent="0.2">
      <c r="B672" s="171">
        <f t="shared" si="201"/>
        <v>139</v>
      </c>
      <c r="C672" s="143"/>
      <c r="D672" s="131"/>
      <c r="E672" s="146"/>
      <c r="F672" s="131" t="s">
        <v>216</v>
      </c>
      <c r="G672" s="194" t="s">
        <v>248</v>
      </c>
      <c r="H672" s="526">
        <f>1610+937</f>
        <v>2547</v>
      </c>
      <c r="I672" s="526"/>
      <c r="J672" s="526">
        <f t="shared" si="229"/>
        <v>2547</v>
      </c>
      <c r="K672" s="145"/>
      <c r="L672" s="527"/>
      <c r="M672" s="527"/>
      <c r="N672" s="527"/>
      <c r="O672" s="145"/>
      <c r="P672" s="167">
        <f t="shared" si="219"/>
        <v>2547</v>
      </c>
      <c r="Q672" s="167">
        <f t="shared" si="230"/>
        <v>0</v>
      </c>
      <c r="R672" s="167">
        <f t="shared" si="230"/>
        <v>2547</v>
      </c>
    </row>
    <row r="673" spans="2:18" x14ac:dyDescent="0.2">
      <c r="B673" s="171">
        <f t="shared" si="201"/>
        <v>140</v>
      </c>
      <c r="C673" s="143"/>
      <c r="D673" s="131"/>
      <c r="E673" s="146"/>
      <c r="F673" s="284" t="s">
        <v>652</v>
      </c>
      <c r="G673" s="199" t="s">
        <v>665</v>
      </c>
      <c r="H673" s="388">
        <v>2050</v>
      </c>
      <c r="I673" s="388"/>
      <c r="J673" s="388">
        <f t="shared" si="229"/>
        <v>2050</v>
      </c>
      <c r="K673" s="145"/>
      <c r="L673" s="527"/>
      <c r="M673" s="527"/>
      <c r="N673" s="527"/>
      <c r="O673" s="145"/>
      <c r="P673" s="166">
        <f t="shared" si="219"/>
        <v>2050</v>
      </c>
      <c r="Q673" s="166">
        <f t="shared" si="230"/>
        <v>0</v>
      </c>
      <c r="R673" s="166">
        <f t="shared" si="230"/>
        <v>2050</v>
      </c>
    </row>
    <row r="674" spans="2:18" ht="15" x14ac:dyDescent="0.25">
      <c r="B674" s="171">
        <f t="shared" ref="B674:B738" si="231">B673+1</f>
        <v>141</v>
      </c>
      <c r="C674" s="143"/>
      <c r="D674" s="29" t="s">
        <v>364</v>
      </c>
      <c r="E674" s="174" t="s">
        <v>289</v>
      </c>
      <c r="F674" s="147" t="s">
        <v>363</v>
      </c>
      <c r="G674" s="236"/>
      <c r="H674" s="425">
        <f>SUM(H675:H677)+H682</f>
        <v>234926</v>
      </c>
      <c r="I674" s="425">
        <f t="shared" ref="I674" si="232">SUM(I675:I677)+I682</f>
        <v>923</v>
      </c>
      <c r="J674" s="425">
        <f>H674+I674</f>
        <v>235849</v>
      </c>
      <c r="K674" s="334"/>
      <c r="L674" s="851"/>
      <c r="M674" s="851"/>
      <c r="N674" s="851"/>
      <c r="O674" s="334"/>
      <c r="P674" s="330">
        <f t="shared" si="219"/>
        <v>234926</v>
      </c>
      <c r="Q674" s="330">
        <f t="shared" si="230"/>
        <v>923</v>
      </c>
      <c r="R674" s="330">
        <f t="shared" si="230"/>
        <v>235849</v>
      </c>
    </row>
    <row r="675" spans="2:18" x14ac:dyDescent="0.2">
      <c r="B675" s="171">
        <f t="shared" si="231"/>
        <v>142</v>
      </c>
      <c r="C675" s="143"/>
      <c r="D675" s="144"/>
      <c r="E675" s="144"/>
      <c r="F675" s="144" t="s">
        <v>211</v>
      </c>
      <c r="G675" s="199" t="s">
        <v>505</v>
      </c>
      <c r="H675" s="388">
        <f>123650+6099+5108</f>
        <v>134857</v>
      </c>
      <c r="I675" s="388"/>
      <c r="J675" s="388">
        <f>H675+I675</f>
        <v>134857</v>
      </c>
      <c r="K675" s="145"/>
      <c r="L675" s="527"/>
      <c r="M675" s="527"/>
      <c r="N675" s="527"/>
      <c r="O675" s="145"/>
      <c r="P675" s="166">
        <f t="shared" si="219"/>
        <v>134857</v>
      </c>
      <c r="Q675" s="166">
        <f t="shared" si="230"/>
        <v>0</v>
      </c>
      <c r="R675" s="166">
        <f t="shared" si="230"/>
        <v>134857</v>
      </c>
    </row>
    <row r="676" spans="2:18" x14ac:dyDescent="0.2">
      <c r="B676" s="171">
        <f t="shared" si="231"/>
        <v>143</v>
      </c>
      <c r="C676" s="143"/>
      <c r="D676" s="144"/>
      <c r="E676" s="144"/>
      <c r="F676" s="144" t="s">
        <v>212</v>
      </c>
      <c r="G676" s="199" t="s">
        <v>259</v>
      </c>
      <c r="H676" s="388">
        <f>45888+2261+1700</f>
        <v>49849</v>
      </c>
      <c r="I676" s="388"/>
      <c r="J676" s="388">
        <f t="shared" ref="J676:J682" si="233">H676+I676</f>
        <v>49849</v>
      </c>
      <c r="K676" s="145"/>
      <c r="L676" s="527"/>
      <c r="M676" s="527"/>
      <c r="N676" s="527"/>
      <c r="O676" s="145"/>
      <c r="P676" s="166">
        <f t="shared" si="219"/>
        <v>49849</v>
      </c>
      <c r="Q676" s="166">
        <f t="shared" si="230"/>
        <v>0</v>
      </c>
      <c r="R676" s="166">
        <f t="shared" si="230"/>
        <v>49849</v>
      </c>
    </row>
    <row r="677" spans="2:18" x14ac:dyDescent="0.2">
      <c r="B677" s="171">
        <f t="shared" si="231"/>
        <v>144</v>
      </c>
      <c r="C677" s="143"/>
      <c r="D677" s="144"/>
      <c r="E677" s="144"/>
      <c r="F677" s="144" t="s">
        <v>218</v>
      </c>
      <c r="G677" s="199" t="s">
        <v>340</v>
      </c>
      <c r="H677" s="388">
        <f>SUM(H678:H681)</f>
        <v>47650</v>
      </c>
      <c r="I677" s="388">
        <f>I678+I679+I680+I681+I60</f>
        <v>923</v>
      </c>
      <c r="J677" s="388">
        <f t="shared" si="233"/>
        <v>48573</v>
      </c>
      <c r="K677" s="145"/>
      <c r="L677" s="527"/>
      <c r="M677" s="527"/>
      <c r="N677" s="527"/>
      <c r="O677" s="145"/>
      <c r="P677" s="166">
        <f t="shared" si="219"/>
        <v>47650</v>
      </c>
      <c r="Q677" s="166">
        <f t="shared" si="230"/>
        <v>923</v>
      </c>
      <c r="R677" s="166">
        <f t="shared" si="230"/>
        <v>48573</v>
      </c>
    </row>
    <row r="678" spans="2:18" x14ac:dyDescent="0.2">
      <c r="B678" s="171">
        <f t="shared" si="231"/>
        <v>145</v>
      </c>
      <c r="C678" s="143"/>
      <c r="D678" s="131"/>
      <c r="E678" s="131"/>
      <c r="F678" s="131" t="s">
        <v>199</v>
      </c>
      <c r="G678" s="194" t="s">
        <v>318</v>
      </c>
      <c r="H678" s="526">
        <f>27000+2280</f>
        <v>29280</v>
      </c>
      <c r="I678" s="526"/>
      <c r="J678" s="526">
        <f t="shared" si="233"/>
        <v>29280</v>
      </c>
      <c r="K678" s="145"/>
      <c r="L678" s="527"/>
      <c r="M678" s="527"/>
      <c r="N678" s="527"/>
      <c r="O678" s="145"/>
      <c r="P678" s="167">
        <f t="shared" ref="P678:P692" si="234">H678+L678</f>
        <v>29280</v>
      </c>
      <c r="Q678" s="167">
        <f t="shared" si="230"/>
        <v>0</v>
      </c>
      <c r="R678" s="167">
        <f t="shared" si="230"/>
        <v>29280</v>
      </c>
    </row>
    <row r="679" spans="2:18" x14ac:dyDescent="0.2">
      <c r="B679" s="171">
        <f t="shared" si="231"/>
        <v>146</v>
      </c>
      <c r="C679" s="143"/>
      <c r="D679" s="131"/>
      <c r="E679" s="131"/>
      <c r="F679" s="131" t="s">
        <v>200</v>
      </c>
      <c r="G679" s="194" t="s">
        <v>247</v>
      </c>
      <c r="H679" s="526">
        <v>8400</v>
      </c>
      <c r="I679" s="526">
        <v>923</v>
      </c>
      <c r="J679" s="526">
        <f t="shared" si="233"/>
        <v>9323</v>
      </c>
      <c r="K679" s="145"/>
      <c r="L679" s="527"/>
      <c r="M679" s="527"/>
      <c r="N679" s="527"/>
      <c r="O679" s="145"/>
      <c r="P679" s="167">
        <f t="shared" si="234"/>
        <v>8400</v>
      </c>
      <c r="Q679" s="167">
        <f t="shared" si="230"/>
        <v>923</v>
      </c>
      <c r="R679" s="167">
        <f t="shared" si="230"/>
        <v>9323</v>
      </c>
    </row>
    <row r="680" spans="2:18" x14ac:dyDescent="0.2">
      <c r="B680" s="171">
        <f t="shared" si="231"/>
        <v>147</v>
      </c>
      <c r="C680" s="143"/>
      <c r="D680" s="131"/>
      <c r="E680" s="146"/>
      <c r="F680" s="131" t="s">
        <v>215</v>
      </c>
      <c r="G680" s="194" t="s">
        <v>346</v>
      </c>
      <c r="H680" s="526">
        <v>4700</v>
      </c>
      <c r="I680" s="526"/>
      <c r="J680" s="526">
        <f t="shared" si="233"/>
        <v>4700</v>
      </c>
      <c r="K680" s="145"/>
      <c r="L680" s="527"/>
      <c r="M680" s="527"/>
      <c r="N680" s="527"/>
      <c r="O680" s="145"/>
      <c r="P680" s="167">
        <f t="shared" si="234"/>
        <v>4700</v>
      </c>
      <c r="Q680" s="167">
        <f t="shared" si="230"/>
        <v>0</v>
      </c>
      <c r="R680" s="167">
        <f t="shared" si="230"/>
        <v>4700</v>
      </c>
    </row>
    <row r="681" spans="2:18" x14ac:dyDescent="0.2">
      <c r="B681" s="171">
        <f t="shared" si="231"/>
        <v>148</v>
      </c>
      <c r="C681" s="143"/>
      <c r="D681" s="131"/>
      <c r="E681" s="146"/>
      <c r="F681" s="131" t="s">
        <v>216</v>
      </c>
      <c r="G681" s="194" t="s">
        <v>248</v>
      </c>
      <c r="H681" s="526">
        <v>5270</v>
      </c>
      <c r="I681" s="526"/>
      <c r="J681" s="526">
        <f t="shared" si="233"/>
        <v>5270</v>
      </c>
      <c r="K681" s="145"/>
      <c r="L681" s="527"/>
      <c r="M681" s="527"/>
      <c r="N681" s="527"/>
      <c r="O681" s="145"/>
      <c r="P681" s="167">
        <f t="shared" si="234"/>
        <v>5270</v>
      </c>
      <c r="Q681" s="167">
        <f t="shared" si="230"/>
        <v>0</v>
      </c>
      <c r="R681" s="167">
        <f t="shared" si="230"/>
        <v>5270</v>
      </c>
    </row>
    <row r="682" spans="2:18" x14ac:dyDescent="0.2">
      <c r="B682" s="171">
        <f t="shared" si="231"/>
        <v>149</v>
      </c>
      <c r="C682" s="143"/>
      <c r="D682" s="131"/>
      <c r="E682" s="146"/>
      <c r="F682" s="284" t="s">
        <v>652</v>
      </c>
      <c r="G682" s="199" t="s">
        <v>665</v>
      </c>
      <c r="H682" s="388">
        <v>2570</v>
      </c>
      <c r="I682" s="388"/>
      <c r="J682" s="388">
        <f t="shared" si="233"/>
        <v>2570</v>
      </c>
      <c r="K682" s="145"/>
      <c r="L682" s="527"/>
      <c r="M682" s="527"/>
      <c r="N682" s="527"/>
      <c r="O682" s="145"/>
      <c r="P682" s="166">
        <f t="shared" si="234"/>
        <v>2570</v>
      </c>
      <c r="Q682" s="166">
        <f t="shared" si="230"/>
        <v>0</v>
      </c>
      <c r="R682" s="166">
        <f t="shared" si="230"/>
        <v>2570</v>
      </c>
    </row>
    <row r="683" spans="2:18" ht="15" x14ac:dyDescent="0.25">
      <c r="B683" s="171">
        <f t="shared" si="231"/>
        <v>150</v>
      </c>
      <c r="C683" s="143"/>
      <c r="D683" s="29"/>
      <c r="E683" s="174" t="s">
        <v>289</v>
      </c>
      <c r="F683" s="147" t="s">
        <v>601</v>
      </c>
      <c r="G683" s="236"/>
      <c r="H683" s="425">
        <f>SUM(H684:H686)+H692</f>
        <v>377215</v>
      </c>
      <c r="I683" s="425">
        <f t="shared" ref="I683" si="235">SUM(I684:I686)+I692</f>
        <v>3</v>
      </c>
      <c r="J683" s="425">
        <f>H683+I683</f>
        <v>377218</v>
      </c>
      <c r="K683" s="334"/>
      <c r="L683" s="851"/>
      <c r="M683" s="851"/>
      <c r="N683" s="851"/>
      <c r="O683" s="334"/>
      <c r="P683" s="330">
        <f t="shared" si="234"/>
        <v>377215</v>
      </c>
      <c r="Q683" s="330">
        <f t="shared" si="230"/>
        <v>3</v>
      </c>
      <c r="R683" s="330">
        <f t="shared" si="230"/>
        <v>377218</v>
      </c>
    </row>
    <row r="684" spans="2:18" x14ac:dyDescent="0.2">
      <c r="B684" s="171">
        <f t="shared" si="231"/>
        <v>151</v>
      </c>
      <c r="C684" s="143"/>
      <c r="D684" s="144"/>
      <c r="E684" s="144"/>
      <c r="F684" s="144" t="s">
        <v>211</v>
      </c>
      <c r="G684" s="199" t="s">
        <v>505</v>
      </c>
      <c r="H684" s="388">
        <f>204325+10027</f>
        <v>214352</v>
      </c>
      <c r="I684" s="388"/>
      <c r="J684" s="388">
        <f>H684+I684</f>
        <v>214352</v>
      </c>
      <c r="K684" s="145"/>
      <c r="L684" s="527"/>
      <c r="M684" s="527"/>
      <c r="N684" s="527"/>
      <c r="O684" s="145"/>
      <c r="P684" s="166">
        <f t="shared" si="234"/>
        <v>214352</v>
      </c>
      <c r="Q684" s="166">
        <f t="shared" ref="Q684:R692" si="236">I684+M684</f>
        <v>0</v>
      </c>
      <c r="R684" s="166">
        <f t="shared" si="236"/>
        <v>214352</v>
      </c>
    </row>
    <row r="685" spans="2:18" x14ac:dyDescent="0.2">
      <c r="B685" s="171">
        <f t="shared" si="231"/>
        <v>152</v>
      </c>
      <c r="C685" s="143"/>
      <c r="D685" s="144"/>
      <c r="E685" s="144"/>
      <c r="F685" s="144" t="s">
        <v>212</v>
      </c>
      <c r="G685" s="199" t="s">
        <v>259</v>
      </c>
      <c r="H685" s="388">
        <f>74679+3659</f>
        <v>78338</v>
      </c>
      <c r="I685" s="388"/>
      <c r="J685" s="388">
        <f t="shared" ref="J685:J692" si="237">H685+I685</f>
        <v>78338</v>
      </c>
      <c r="K685" s="145"/>
      <c r="L685" s="527"/>
      <c r="M685" s="527"/>
      <c r="N685" s="527"/>
      <c r="O685" s="145"/>
      <c r="P685" s="166">
        <f t="shared" si="234"/>
        <v>78338</v>
      </c>
      <c r="Q685" s="166">
        <f t="shared" si="236"/>
        <v>0</v>
      </c>
      <c r="R685" s="166">
        <f t="shared" si="236"/>
        <v>78338</v>
      </c>
    </row>
    <row r="686" spans="2:18" x14ac:dyDescent="0.2">
      <c r="B686" s="171">
        <f t="shared" si="231"/>
        <v>153</v>
      </c>
      <c r="C686" s="143"/>
      <c r="D686" s="144"/>
      <c r="E686" s="144"/>
      <c r="F686" s="144" t="s">
        <v>218</v>
      </c>
      <c r="G686" s="199" t="s">
        <v>340</v>
      </c>
      <c r="H686" s="388">
        <f>SUM(H687:H691)</f>
        <v>82580</v>
      </c>
      <c r="I686" s="388">
        <f>I687+I688+I689+I690+I691</f>
        <v>3</v>
      </c>
      <c r="J686" s="388">
        <f t="shared" si="237"/>
        <v>82583</v>
      </c>
      <c r="K686" s="145"/>
      <c r="L686" s="527"/>
      <c r="M686" s="527"/>
      <c r="N686" s="527"/>
      <c r="O686" s="145"/>
      <c r="P686" s="166">
        <f t="shared" si="234"/>
        <v>82580</v>
      </c>
      <c r="Q686" s="166">
        <f t="shared" si="236"/>
        <v>3</v>
      </c>
      <c r="R686" s="166">
        <f t="shared" si="236"/>
        <v>82583</v>
      </c>
    </row>
    <row r="687" spans="2:18" x14ac:dyDescent="0.2">
      <c r="B687" s="171">
        <f t="shared" si="231"/>
        <v>154</v>
      </c>
      <c r="C687" s="143"/>
      <c r="D687" s="131"/>
      <c r="E687" s="131"/>
      <c r="F687" s="131" t="s">
        <v>199</v>
      </c>
      <c r="G687" s="194" t="s">
        <v>318</v>
      </c>
      <c r="H687" s="526">
        <v>53230</v>
      </c>
      <c r="I687" s="526"/>
      <c r="J687" s="526">
        <f t="shared" si="237"/>
        <v>53230</v>
      </c>
      <c r="K687" s="145"/>
      <c r="L687" s="527"/>
      <c r="M687" s="527"/>
      <c r="N687" s="527"/>
      <c r="O687" s="145"/>
      <c r="P687" s="167">
        <f t="shared" si="234"/>
        <v>53230</v>
      </c>
      <c r="Q687" s="167">
        <f t="shared" si="236"/>
        <v>0</v>
      </c>
      <c r="R687" s="167">
        <f t="shared" si="236"/>
        <v>53230</v>
      </c>
    </row>
    <row r="688" spans="2:18" x14ac:dyDescent="0.2">
      <c r="B688" s="171">
        <f t="shared" si="231"/>
        <v>155</v>
      </c>
      <c r="C688" s="143"/>
      <c r="D688" s="131"/>
      <c r="E688" s="131"/>
      <c r="F688" s="131" t="s">
        <v>200</v>
      </c>
      <c r="G688" s="194" t="s">
        <v>247</v>
      </c>
      <c r="H688" s="526">
        <v>13300</v>
      </c>
      <c r="I688" s="526">
        <v>3</v>
      </c>
      <c r="J688" s="526">
        <f t="shared" si="237"/>
        <v>13303</v>
      </c>
      <c r="K688" s="145"/>
      <c r="L688" s="527"/>
      <c r="M688" s="527"/>
      <c r="N688" s="527"/>
      <c r="O688" s="145"/>
      <c r="P688" s="167">
        <f t="shared" si="234"/>
        <v>13300</v>
      </c>
      <c r="Q688" s="167">
        <f t="shared" si="236"/>
        <v>3</v>
      </c>
      <c r="R688" s="167">
        <f t="shared" si="236"/>
        <v>13303</v>
      </c>
    </row>
    <row r="689" spans="2:18" x14ac:dyDescent="0.2">
      <c r="B689" s="171">
        <f t="shared" si="231"/>
        <v>156</v>
      </c>
      <c r="C689" s="143"/>
      <c r="D689" s="131"/>
      <c r="E689" s="146"/>
      <c r="F689" s="131" t="s">
        <v>214</v>
      </c>
      <c r="G689" s="194" t="s">
        <v>261</v>
      </c>
      <c r="H689" s="382">
        <v>150</v>
      </c>
      <c r="I689" s="382">
        <v>726</v>
      </c>
      <c r="J689" s="526">
        <f t="shared" si="237"/>
        <v>876</v>
      </c>
      <c r="K689" s="328"/>
      <c r="L689" s="527"/>
      <c r="M689" s="527"/>
      <c r="N689" s="527"/>
      <c r="O689" s="328"/>
      <c r="P689" s="167">
        <f t="shared" si="234"/>
        <v>150</v>
      </c>
      <c r="Q689" s="167">
        <f t="shared" si="236"/>
        <v>726</v>
      </c>
      <c r="R689" s="167">
        <f t="shared" si="236"/>
        <v>876</v>
      </c>
    </row>
    <row r="690" spans="2:18" x14ac:dyDescent="0.2">
      <c r="B690" s="171">
        <f t="shared" si="231"/>
        <v>157</v>
      </c>
      <c r="C690" s="143"/>
      <c r="D690" s="131"/>
      <c r="E690" s="146"/>
      <c r="F690" s="131" t="s">
        <v>215</v>
      </c>
      <c r="G690" s="194" t="s">
        <v>346</v>
      </c>
      <c r="H690" s="526">
        <v>7300</v>
      </c>
      <c r="I690" s="526"/>
      <c r="J690" s="526">
        <f t="shared" si="237"/>
        <v>7300</v>
      </c>
      <c r="K690" s="145"/>
      <c r="L690" s="527"/>
      <c r="M690" s="527"/>
      <c r="N690" s="527"/>
      <c r="O690" s="145"/>
      <c r="P690" s="167">
        <f t="shared" si="234"/>
        <v>7300</v>
      </c>
      <c r="Q690" s="167">
        <f t="shared" si="236"/>
        <v>0</v>
      </c>
      <c r="R690" s="167">
        <f t="shared" si="236"/>
        <v>7300</v>
      </c>
    </row>
    <row r="691" spans="2:18" x14ac:dyDescent="0.2">
      <c r="B691" s="171">
        <f t="shared" si="231"/>
        <v>158</v>
      </c>
      <c r="C691" s="143"/>
      <c r="D691" s="131"/>
      <c r="E691" s="146"/>
      <c r="F691" s="131" t="s">
        <v>216</v>
      </c>
      <c r="G691" s="194" t="s">
        <v>248</v>
      </c>
      <c r="H691" s="526">
        <v>8600</v>
      </c>
      <c r="I691" s="526">
        <v>-726</v>
      </c>
      <c r="J691" s="526">
        <f t="shared" si="237"/>
        <v>7874</v>
      </c>
      <c r="K691" s="145"/>
      <c r="L691" s="527"/>
      <c r="M691" s="527"/>
      <c r="N691" s="527"/>
      <c r="O691" s="145"/>
      <c r="P691" s="167">
        <f t="shared" si="234"/>
        <v>8600</v>
      </c>
      <c r="Q691" s="167">
        <f t="shared" si="236"/>
        <v>-726</v>
      </c>
      <c r="R691" s="167">
        <f t="shared" si="236"/>
        <v>7874</v>
      </c>
    </row>
    <row r="692" spans="2:18" x14ac:dyDescent="0.2">
      <c r="B692" s="171">
        <f t="shared" si="231"/>
        <v>159</v>
      </c>
      <c r="C692" s="143"/>
      <c r="D692" s="131"/>
      <c r="E692" s="146"/>
      <c r="F692" s="284" t="s">
        <v>652</v>
      </c>
      <c r="G692" s="199" t="s">
        <v>665</v>
      </c>
      <c r="H692" s="388">
        <v>1945</v>
      </c>
      <c r="I692" s="388"/>
      <c r="J692" s="388">
        <f t="shared" si="237"/>
        <v>1945</v>
      </c>
      <c r="K692" s="145"/>
      <c r="L692" s="527"/>
      <c r="M692" s="527"/>
      <c r="N692" s="527"/>
      <c r="O692" s="145"/>
      <c r="P692" s="166">
        <f t="shared" si="234"/>
        <v>1945</v>
      </c>
      <c r="Q692" s="166">
        <f t="shared" si="236"/>
        <v>0</v>
      </c>
      <c r="R692" s="166">
        <f t="shared" si="236"/>
        <v>1945</v>
      </c>
    </row>
    <row r="693" spans="2:18" x14ac:dyDescent="0.2">
      <c r="B693" s="171">
        <f t="shared" si="231"/>
        <v>160</v>
      </c>
      <c r="C693" s="143"/>
      <c r="D693" s="131"/>
      <c r="E693" s="146"/>
      <c r="F693" s="144"/>
      <c r="G693" s="199"/>
      <c r="H693" s="526"/>
      <c r="I693" s="526"/>
      <c r="J693" s="526"/>
      <c r="K693" s="145"/>
      <c r="L693" s="527"/>
      <c r="M693" s="527"/>
      <c r="N693" s="527"/>
      <c r="O693" s="145"/>
      <c r="P693" s="167"/>
      <c r="Q693" s="167"/>
      <c r="R693" s="167"/>
    </row>
    <row r="694" spans="2:18" x14ac:dyDescent="0.2">
      <c r="B694" s="171">
        <f t="shared" si="231"/>
        <v>161</v>
      </c>
      <c r="C694" s="143"/>
      <c r="D694" s="131"/>
      <c r="E694" s="146"/>
      <c r="F694" s="144" t="s">
        <v>214</v>
      </c>
      <c r="G694" s="199" t="s">
        <v>692</v>
      </c>
      <c r="H694" s="526">
        <f>30000-3500-18551-4210-3660</f>
        <v>79</v>
      </c>
      <c r="I694" s="526"/>
      <c r="J694" s="526">
        <f>H694+I694</f>
        <v>79</v>
      </c>
      <c r="K694" s="145"/>
      <c r="L694" s="527"/>
      <c r="M694" s="527"/>
      <c r="N694" s="527"/>
      <c r="O694" s="145"/>
      <c r="P694" s="167">
        <f>H694+L694</f>
        <v>79</v>
      </c>
      <c r="Q694" s="167">
        <f t="shared" ref="Q694:R694" si="238">I694+M694</f>
        <v>0</v>
      </c>
      <c r="R694" s="167">
        <f t="shared" si="238"/>
        <v>79</v>
      </c>
    </row>
    <row r="695" spans="2:18" x14ac:dyDescent="0.2">
      <c r="B695" s="171">
        <f t="shared" si="231"/>
        <v>162</v>
      </c>
      <c r="C695" s="143"/>
      <c r="D695" s="131"/>
      <c r="E695" s="146"/>
      <c r="F695" s="144"/>
      <c r="G695" s="199"/>
      <c r="H695" s="526"/>
      <c r="I695" s="526"/>
      <c r="J695" s="526"/>
      <c r="K695" s="145"/>
      <c r="L695" s="527"/>
      <c r="M695" s="527"/>
      <c r="N695" s="527"/>
      <c r="O695" s="145"/>
      <c r="P695" s="167"/>
      <c r="Q695" s="167"/>
      <c r="R695" s="167"/>
    </row>
    <row r="696" spans="2:18" x14ac:dyDescent="0.2">
      <c r="B696" s="171">
        <f t="shared" si="231"/>
        <v>163</v>
      </c>
      <c r="C696" s="143"/>
      <c r="D696" s="131"/>
      <c r="E696" s="146"/>
      <c r="F696" s="131" t="s">
        <v>217</v>
      </c>
      <c r="G696" s="199" t="s">
        <v>512</v>
      </c>
      <c r="H696" s="388">
        <v>40013</v>
      </c>
      <c r="I696" s="388"/>
      <c r="J696" s="388">
        <f t="shared" ref="J696:J698" si="239">H696+I696</f>
        <v>40013</v>
      </c>
      <c r="K696" s="145"/>
      <c r="L696" s="527"/>
      <c r="M696" s="527"/>
      <c r="N696" s="527"/>
      <c r="O696" s="145"/>
      <c r="P696" s="166">
        <f>H696+L696</f>
        <v>40013</v>
      </c>
      <c r="Q696" s="166">
        <f t="shared" ref="Q696:R698" si="240">I696+M696</f>
        <v>0</v>
      </c>
      <c r="R696" s="166">
        <f t="shared" si="240"/>
        <v>40013</v>
      </c>
    </row>
    <row r="697" spans="2:18" x14ac:dyDescent="0.2">
      <c r="B697" s="171">
        <f t="shared" si="231"/>
        <v>164</v>
      </c>
      <c r="C697" s="143"/>
      <c r="D697" s="131"/>
      <c r="E697" s="146"/>
      <c r="F697" s="131" t="s">
        <v>217</v>
      </c>
      <c r="G697" s="199" t="s">
        <v>513</v>
      </c>
      <c r="H697" s="388">
        <v>83226</v>
      </c>
      <c r="I697" s="388"/>
      <c r="J697" s="388">
        <f t="shared" si="239"/>
        <v>83226</v>
      </c>
      <c r="K697" s="145"/>
      <c r="L697" s="527"/>
      <c r="M697" s="527"/>
      <c r="N697" s="527"/>
      <c r="O697" s="145"/>
      <c r="P697" s="166">
        <f>H697+L697</f>
        <v>83226</v>
      </c>
      <c r="Q697" s="166">
        <f t="shared" si="240"/>
        <v>0</v>
      </c>
      <c r="R697" s="166">
        <f t="shared" si="240"/>
        <v>83226</v>
      </c>
    </row>
    <row r="698" spans="2:18" x14ac:dyDescent="0.2">
      <c r="B698" s="171">
        <f t="shared" si="231"/>
        <v>165</v>
      </c>
      <c r="C698" s="143"/>
      <c r="D698" s="131"/>
      <c r="E698" s="146"/>
      <c r="F698" s="131" t="s">
        <v>217</v>
      </c>
      <c r="G698" s="199" t="s">
        <v>514</v>
      </c>
      <c r="H698" s="388">
        <v>67221</v>
      </c>
      <c r="I698" s="388"/>
      <c r="J698" s="388">
        <f t="shared" si="239"/>
        <v>67221</v>
      </c>
      <c r="K698" s="145"/>
      <c r="L698" s="527"/>
      <c r="M698" s="527"/>
      <c r="N698" s="527"/>
      <c r="O698" s="145"/>
      <c r="P698" s="166">
        <f>H698+L698</f>
        <v>67221</v>
      </c>
      <c r="Q698" s="166">
        <f t="shared" si="240"/>
        <v>0</v>
      </c>
      <c r="R698" s="166">
        <f t="shared" si="240"/>
        <v>67221</v>
      </c>
    </row>
    <row r="699" spans="2:18" x14ac:dyDescent="0.2">
      <c r="B699" s="171">
        <f t="shared" si="231"/>
        <v>166</v>
      </c>
      <c r="C699" s="143"/>
      <c r="D699" s="131"/>
      <c r="E699" s="146"/>
      <c r="F699" s="131"/>
      <c r="G699" s="199"/>
      <c r="H699" s="388"/>
      <c r="I699" s="388"/>
      <c r="J699" s="388"/>
      <c r="K699" s="145"/>
      <c r="L699" s="527"/>
      <c r="M699" s="527"/>
      <c r="N699" s="527"/>
      <c r="O699" s="145"/>
      <c r="P699" s="167"/>
      <c r="Q699" s="167"/>
      <c r="R699" s="167"/>
    </row>
    <row r="700" spans="2:18" ht="15.75" x14ac:dyDescent="0.25">
      <c r="B700" s="171">
        <f t="shared" si="231"/>
        <v>167</v>
      </c>
      <c r="C700" s="21">
        <v>2</v>
      </c>
      <c r="D700" s="126" t="s">
        <v>107</v>
      </c>
      <c r="E700" s="22"/>
      <c r="F700" s="22"/>
      <c r="G700" s="195"/>
      <c r="H700" s="413">
        <f>H701+H711+H736+H759+H786+H811+H835+H859+H881+H903</f>
        <v>6429622</v>
      </c>
      <c r="I700" s="413">
        <f>I701+I711+I736+I759+I786+I811+I835+I859+I881+I903</f>
        <v>66503</v>
      </c>
      <c r="J700" s="413">
        <f>H700+I700</f>
        <v>6496125</v>
      </c>
      <c r="K700" s="112"/>
      <c r="L700" s="855">
        <f>L701+L711+L736+L759+L786+L811+L835+L859+L881</f>
        <v>129216</v>
      </c>
      <c r="M700" s="855">
        <f t="shared" ref="M700" si="241">M701+M711+M736+M759+M786+M811+M835+M859+M881</f>
        <v>0</v>
      </c>
      <c r="N700" s="855">
        <f t="shared" ref="N700" si="242">L700+M700</f>
        <v>129216</v>
      </c>
      <c r="O700" s="112"/>
      <c r="P700" s="391">
        <f t="shared" ref="P700:P732" si="243">H700+L700</f>
        <v>6558838</v>
      </c>
      <c r="Q700" s="391">
        <f t="shared" ref="Q700:R715" si="244">I700+M700</f>
        <v>66503</v>
      </c>
      <c r="R700" s="391">
        <f t="shared" si="244"/>
        <v>6625341</v>
      </c>
    </row>
    <row r="701" spans="2:18" ht="15" x14ac:dyDescent="0.25">
      <c r="B701" s="171">
        <f t="shared" si="231"/>
        <v>168</v>
      </c>
      <c r="C701" s="143"/>
      <c r="D701" s="152" t="s">
        <v>4</v>
      </c>
      <c r="E701" s="147"/>
      <c r="F701" s="147" t="s">
        <v>245</v>
      </c>
      <c r="G701" s="236"/>
      <c r="H701" s="425">
        <f>H703+H704+H705</f>
        <v>105269</v>
      </c>
      <c r="I701" s="425">
        <f t="shared" ref="I701" si="245">I703+I704+I705</f>
        <v>-14495</v>
      </c>
      <c r="J701" s="425">
        <f>H701+I701</f>
        <v>90774</v>
      </c>
      <c r="K701" s="331"/>
      <c r="L701" s="848"/>
      <c r="M701" s="848"/>
      <c r="N701" s="848"/>
      <c r="O701" s="331"/>
      <c r="P701" s="332">
        <f t="shared" si="243"/>
        <v>105269</v>
      </c>
      <c r="Q701" s="332">
        <f t="shared" si="244"/>
        <v>-14495</v>
      </c>
      <c r="R701" s="332">
        <f t="shared" si="244"/>
        <v>90774</v>
      </c>
    </row>
    <row r="702" spans="2:18" ht="15" x14ac:dyDescent="0.25">
      <c r="B702" s="171">
        <f t="shared" si="231"/>
        <v>169</v>
      </c>
      <c r="C702" s="143"/>
      <c r="D702" s="515"/>
      <c r="E702" s="518" t="s">
        <v>428</v>
      </c>
      <c r="F702" s="518" t="s">
        <v>687</v>
      </c>
      <c r="G702" s="517"/>
      <c r="H702" s="519">
        <f>H703+H704+H705</f>
        <v>105269</v>
      </c>
      <c r="I702" s="519">
        <f t="shared" ref="I702" si="246">I703+I704+I705</f>
        <v>-14495</v>
      </c>
      <c r="J702" s="519">
        <f>H702+I702</f>
        <v>90774</v>
      </c>
      <c r="K702" s="331"/>
      <c r="L702" s="856"/>
      <c r="M702" s="856"/>
      <c r="N702" s="856"/>
      <c r="O702" s="331"/>
      <c r="P702" s="520">
        <f t="shared" si="243"/>
        <v>105269</v>
      </c>
      <c r="Q702" s="520">
        <f t="shared" si="244"/>
        <v>-14495</v>
      </c>
      <c r="R702" s="520">
        <f t="shared" si="244"/>
        <v>90774</v>
      </c>
    </row>
    <row r="703" spans="2:18" x14ac:dyDescent="0.2">
      <c r="B703" s="171">
        <f t="shared" si="231"/>
        <v>170</v>
      </c>
      <c r="C703" s="143"/>
      <c r="D703" s="144"/>
      <c r="E703" s="144"/>
      <c r="F703" s="144" t="s">
        <v>211</v>
      </c>
      <c r="G703" s="199" t="s">
        <v>505</v>
      </c>
      <c r="H703" s="529">
        <f>57940+2150</f>
        <v>60090</v>
      </c>
      <c r="I703" s="529">
        <v>-4110</v>
      </c>
      <c r="J703" s="529">
        <f>H703+I703</f>
        <v>55980</v>
      </c>
      <c r="K703" s="336"/>
      <c r="L703" s="402"/>
      <c r="M703" s="402"/>
      <c r="N703" s="402"/>
      <c r="O703" s="336"/>
      <c r="P703" s="166">
        <f t="shared" si="243"/>
        <v>60090</v>
      </c>
      <c r="Q703" s="166">
        <f t="shared" si="244"/>
        <v>-4110</v>
      </c>
      <c r="R703" s="166">
        <f t="shared" si="244"/>
        <v>55980</v>
      </c>
    </row>
    <row r="704" spans="2:18" x14ac:dyDescent="0.2">
      <c r="B704" s="171">
        <f t="shared" si="231"/>
        <v>171</v>
      </c>
      <c r="C704" s="143"/>
      <c r="D704" s="144"/>
      <c r="E704" s="144"/>
      <c r="F704" s="144" t="s">
        <v>212</v>
      </c>
      <c r="G704" s="199" t="s">
        <v>259</v>
      </c>
      <c r="H704" s="529">
        <f>20250+1756</f>
        <v>22006</v>
      </c>
      <c r="I704" s="529">
        <v>-1448</v>
      </c>
      <c r="J704" s="529">
        <f t="shared" ref="J704:J710" si="247">H704+I704</f>
        <v>20558</v>
      </c>
      <c r="K704" s="336"/>
      <c r="L704" s="402"/>
      <c r="M704" s="402"/>
      <c r="N704" s="402"/>
      <c r="O704" s="336"/>
      <c r="P704" s="166">
        <f t="shared" si="243"/>
        <v>22006</v>
      </c>
      <c r="Q704" s="166">
        <f t="shared" si="244"/>
        <v>-1448</v>
      </c>
      <c r="R704" s="166">
        <f t="shared" si="244"/>
        <v>20558</v>
      </c>
    </row>
    <row r="705" spans="2:18" x14ac:dyDescent="0.2">
      <c r="B705" s="171">
        <f t="shared" si="231"/>
        <v>172</v>
      </c>
      <c r="C705" s="143"/>
      <c r="D705" s="144"/>
      <c r="E705" s="144"/>
      <c r="F705" s="144" t="s">
        <v>218</v>
      </c>
      <c r="G705" s="199" t="s">
        <v>340</v>
      </c>
      <c r="H705" s="529">
        <f>SUM(H706:H710)</f>
        <v>23173</v>
      </c>
      <c r="I705" s="529">
        <f>SUM(I706:I710)</f>
        <v>-8937</v>
      </c>
      <c r="J705" s="529">
        <f t="shared" si="247"/>
        <v>14236</v>
      </c>
      <c r="K705" s="336"/>
      <c r="L705" s="402"/>
      <c r="M705" s="402"/>
      <c r="N705" s="402"/>
      <c r="O705" s="336"/>
      <c r="P705" s="166">
        <f t="shared" si="243"/>
        <v>23173</v>
      </c>
      <c r="Q705" s="166">
        <f t="shared" si="244"/>
        <v>-8937</v>
      </c>
      <c r="R705" s="166">
        <f t="shared" si="244"/>
        <v>14236</v>
      </c>
    </row>
    <row r="706" spans="2:18" x14ac:dyDescent="0.2">
      <c r="B706" s="171">
        <f t="shared" si="231"/>
        <v>173</v>
      </c>
      <c r="C706" s="143"/>
      <c r="D706" s="144"/>
      <c r="E706" s="144"/>
      <c r="F706" s="131" t="s">
        <v>199</v>
      </c>
      <c r="G706" s="194" t="s">
        <v>246</v>
      </c>
      <c r="H706" s="399">
        <f>6345+8461</f>
        <v>14806</v>
      </c>
      <c r="I706" s="399">
        <v>-9100</v>
      </c>
      <c r="J706" s="399">
        <f t="shared" si="247"/>
        <v>5706</v>
      </c>
      <c r="K706" s="336"/>
      <c r="L706" s="402"/>
      <c r="M706" s="402"/>
      <c r="N706" s="402"/>
      <c r="O706" s="336"/>
      <c r="P706" s="167">
        <f t="shared" si="243"/>
        <v>14806</v>
      </c>
      <c r="Q706" s="167">
        <f t="shared" si="244"/>
        <v>-9100</v>
      </c>
      <c r="R706" s="167">
        <f t="shared" si="244"/>
        <v>5706</v>
      </c>
    </row>
    <row r="707" spans="2:18" x14ac:dyDescent="0.2">
      <c r="B707" s="171">
        <f t="shared" si="231"/>
        <v>174</v>
      </c>
      <c r="C707" s="143"/>
      <c r="D707" s="144"/>
      <c r="E707" s="144"/>
      <c r="F707" s="131" t="s">
        <v>200</v>
      </c>
      <c r="G707" s="194" t="s">
        <v>247</v>
      </c>
      <c r="H707" s="399">
        <v>4700</v>
      </c>
      <c r="I707" s="399">
        <v>163</v>
      </c>
      <c r="J707" s="399">
        <f t="shared" si="247"/>
        <v>4863</v>
      </c>
      <c r="K707" s="336"/>
      <c r="L707" s="402"/>
      <c r="M707" s="402"/>
      <c r="N707" s="402"/>
      <c r="O707" s="336"/>
      <c r="P707" s="167">
        <f t="shared" si="243"/>
        <v>4700</v>
      </c>
      <c r="Q707" s="167">
        <f t="shared" si="244"/>
        <v>163</v>
      </c>
      <c r="R707" s="167">
        <f t="shared" si="244"/>
        <v>4863</v>
      </c>
    </row>
    <row r="708" spans="2:18" x14ac:dyDescent="0.2">
      <c r="B708" s="171">
        <f t="shared" si="231"/>
        <v>175</v>
      </c>
      <c r="C708" s="143"/>
      <c r="D708" s="144"/>
      <c r="E708" s="144"/>
      <c r="F708" s="131" t="s">
        <v>214</v>
      </c>
      <c r="G708" s="194" t="s">
        <v>261</v>
      </c>
      <c r="H708" s="399">
        <v>1000</v>
      </c>
      <c r="I708" s="399"/>
      <c r="J708" s="399">
        <f t="shared" si="247"/>
        <v>1000</v>
      </c>
      <c r="K708" s="336"/>
      <c r="L708" s="402"/>
      <c r="M708" s="402"/>
      <c r="N708" s="402"/>
      <c r="O708" s="336"/>
      <c r="P708" s="167">
        <f t="shared" si="243"/>
        <v>1000</v>
      </c>
      <c r="Q708" s="167">
        <f t="shared" si="244"/>
        <v>0</v>
      </c>
      <c r="R708" s="167">
        <f t="shared" si="244"/>
        <v>1000</v>
      </c>
    </row>
    <row r="709" spans="2:18" x14ac:dyDescent="0.2">
      <c r="B709" s="171">
        <f t="shared" si="231"/>
        <v>176</v>
      </c>
      <c r="C709" s="143"/>
      <c r="D709" s="144"/>
      <c r="E709" s="144"/>
      <c r="F709" s="131" t="s">
        <v>216</v>
      </c>
      <c r="G709" s="194" t="s">
        <v>248</v>
      </c>
      <c r="H709" s="399">
        <v>2460</v>
      </c>
      <c r="I709" s="399"/>
      <c r="J709" s="399">
        <f t="shared" si="247"/>
        <v>2460</v>
      </c>
      <c r="K709" s="336"/>
      <c r="L709" s="402"/>
      <c r="M709" s="402"/>
      <c r="N709" s="402"/>
      <c r="O709" s="336"/>
      <c r="P709" s="167">
        <f t="shared" si="243"/>
        <v>2460</v>
      </c>
      <c r="Q709" s="167">
        <f t="shared" si="244"/>
        <v>0</v>
      </c>
      <c r="R709" s="167">
        <f t="shared" si="244"/>
        <v>2460</v>
      </c>
    </row>
    <row r="710" spans="2:18" x14ac:dyDescent="0.2">
      <c r="B710" s="171">
        <f t="shared" si="231"/>
        <v>177</v>
      </c>
      <c r="C710" s="143"/>
      <c r="D710" s="165"/>
      <c r="E710" s="165"/>
      <c r="F710" s="169" t="s">
        <v>218</v>
      </c>
      <c r="G710" s="194" t="s">
        <v>791</v>
      </c>
      <c r="H710" s="430">
        <v>207</v>
      </c>
      <c r="I710" s="430"/>
      <c r="J710" s="529">
        <f t="shared" si="247"/>
        <v>207</v>
      </c>
      <c r="K710" s="336"/>
      <c r="L710" s="529"/>
      <c r="M710" s="529"/>
      <c r="N710" s="529"/>
      <c r="O710" s="341"/>
      <c r="P710" s="168">
        <f t="shared" si="243"/>
        <v>207</v>
      </c>
      <c r="Q710" s="168">
        <f t="shared" si="244"/>
        <v>0</v>
      </c>
      <c r="R710" s="168">
        <f t="shared" si="244"/>
        <v>207</v>
      </c>
    </row>
    <row r="711" spans="2:18" ht="15" x14ac:dyDescent="0.25">
      <c r="B711" s="171">
        <f t="shared" si="231"/>
        <v>178</v>
      </c>
      <c r="C711" s="76"/>
      <c r="D711" s="265">
        <v>2</v>
      </c>
      <c r="E711" s="265"/>
      <c r="F711" s="265" t="s">
        <v>365</v>
      </c>
      <c r="G711" s="266"/>
      <c r="H711" s="427">
        <f>H712+H723</f>
        <v>1090554</v>
      </c>
      <c r="I711" s="427">
        <f t="shared" ref="I711" si="248">I712+I723</f>
        <v>35444</v>
      </c>
      <c r="J711" s="427">
        <f>H711+I711</f>
        <v>1125998</v>
      </c>
      <c r="K711" s="333"/>
      <c r="L711" s="857"/>
      <c r="M711" s="857"/>
      <c r="N711" s="857"/>
      <c r="O711" s="333"/>
      <c r="P711" s="338">
        <f t="shared" si="243"/>
        <v>1090554</v>
      </c>
      <c r="Q711" s="338">
        <f t="shared" si="244"/>
        <v>35444</v>
      </c>
      <c r="R711" s="338">
        <f t="shared" si="244"/>
        <v>1125998</v>
      </c>
    </row>
    <row r="712" spans="2:18" ht="14.25" x14ac:dyDescent="0.2">
      <c r="B712" s="171">
        <f t="shared" si="231"/>
        <v>179</v>
      </c>
      <c r="C712" s="76"/>
      <c r="D712" s="515"/>
      <c r="E712" s="521" t="s">
        <v>428</v>
      </c>
      <c r="F712" s="518" t="s">
        <v>687</v>
      </c>
      <c r="G712" s="517"/>
      <c r="H712" s="519">
        <f>H713+H714+H715+H722</f>
        <v>399510</v>
      </c>
      <c r="I712" s="519">
        <f t="shared" ref="I712" si="249">I713+I714+I715+I722</f>
        <v>-1980</v>
      </c>
      <c r="J712" s="519">
        <f>H712+I712</f>
        <v>397530</v>
      </c>
      <c r="K712" s="333"/>
      <c r="L712" s="856"/>
      <c r="M712" s="856"/>
      <c r="N712" s="856"/>
      <c r="O712" s="333"/>
      <c r="P712" s="520">
        <f t="shared" si="243"/>
        <v>399510</v>
      </c>
      <c r="Q712" s="520">
        <f t="shared" si="244"/>
        <v>-1980</v>
      </c>
      <c r="R712" s="520">
        <f t="shared" si="244"/>
        <v>397530</v>
      </c>
    </row>
    <row r="713" spans="2:18" x14ac:dyDescent="0.2">
      <c r="B713" s="171">
        <f t="shared" si="231"/>
        <v>180</v>
      </c>
      <c r="C713" s="143"/>
      <c r="D713" s="131"/>
      <c r="E713" s="144"/>
      <c r="F713" s="144" t="s">
        <v>211</v>
      </c>
      <c r="G713" s="199" t="s">
        <v>505</v>
      </c>
      <c r="H713" s="529">
        <f>244146-2572</f>
        <v>241574</v>
      </c>
      <c r="I713" s="529">
        <v>8348</v>
      </c>
      <c r="J713" s="529">
        <f>H713+I713</f>
        <v>249922</v>
      </c>
      <c r="K713" s="336"/>
      <c r="L713" s="402"/>
      <c r="M713" s="402"/>
      <c r="N713" s="402"/>
      <c r="O713" s="336"/>
      <c r="P713" s="166">
        <f t="shared" si="243"/>
        <v>241574</v>
      </c>
      <c r="Q713" s="166">
        <f t="shared" si="244"/>
        <v>8348</v>
      </c>
      <c r="R713" s="166">
        <f t="shared" si="244"/>
        <v>249922</v>
      </c>
    </row>
    <row r="714" spans="2:18" x14ac:dyDescent="0.2">
      <c r="B714" s="171">
        <f t="shared" si="231"/>
        <v>181</v>
      </c>
      <c r="C714" s="143"/>
      <c r="D714" s="131"/>
      <c r="E714" s="144"/>
      <c r="F714" s="144" t="s">
        <v>212</v>
      </c>
      <c r="G714" s="199" t="s">
        <v>259</v>
      </c>
      <c r="H714" s="529">
        <f>85440-898</f>
        <v>84542</v>
      </c>
      <c r="I714" s="529">
        <v>2929</v>
      </c>
      <c r="J714" s="529">
        <f t="shared" ref="J714:J722" si="250">H714+I714</f>
        <v>87471</v>
      </c>
      <c r="K714" s="336"/>
      <c r="L714" s="402"/>
      <c r="M714" s="402"/>
      <c r="N714" s="402"/>
      <c r="O714" s="336"/>
      <c r="P714" s="166">
        <f t="shared" si="243"/>
        <v>84542</v>
      </c>
      <c r="Q714" s="166">
        <f t="shared" si="244"/>
        <v>2929</v>
      </c>
      <c r="R714" s="166">
        <f t="shared" si="244"/>
        <v>87471</v>
      </c>
    </row>
    <row r="715" spans="2:18" x14ac:dyDescent="0.2">
      <c r="B715" s="171">
        <f t="shared" si="231"/>
        <v>182</v>
      </c>
      <c r="C715" s="143"/>
      <c r="D715" s="131"/>
      <c r="E715" s="144"/>
      <c r="F715" s="144" t="s">
        <v>218</v>
      </c>
      <c r="G715" s="199" t="s">
        <v>340</v>
      </c>
      <c r="H715" s="529">
        <f>SUM(H716:H721)</f>
        <v>69754</v>
      </c>
      <c r="I715" s="529">
        <f>SUM(I716:I721)</f>
        <v>-12896</v>
      </c>
      <c r="J715" s="529">
        <f t="shared" si="250"/>
        <v>56858</v>
      </c>
      <c r="K715" s="336"/>
      <c r="L715" s="402"/>
      <c r="M715" s="402"/>
      <c r="N715" s="402"/>
      <c r="O715" s="336"/>
      <c r="P715" s="166">
        <f t="shared" si="243"/>
        <v>69754</v>
      </c>
      <c r="Q715" s="166">
        <f t="shared" si="244"/>
        <v>-12896</v>
      </c>
      <c r="R715" s="166">
        <f t="shared" si="244"/>
        <v>56858</v>
      </c>
    </row>
    <row r="716" spans="2:18" x14ac:dyDescent="0.2">
      <c r="B716" s="171">
        <f t="shared" si="231"/>
        <v>183</v>
      </c>
      <c r="C716" s="130"/>
      <c r="D716" s="131"/>
      <c r="E716" s="131"/>
      <c r="F716" s="131" t="s">
        <v>213</v>
      </c>
      <c r="G716" s="194" t="s">
        <v>255</v>
      </c>
      <c r="H716" s="399">
        <v>16</v>
      </c>
      <c r="I716" s="399"/>
      <c r="J716" s="399">
        <f t="shared" si="250"/>
        <v>16</v>
      </c>
      <c r="K716" s="339"/>
      <c r="L716" s="434"/>
      <c r="M716" s="434"/>
      <c r="N716" s="434"/>
      <c r="O716" s="339"/>
      <c r="P716" s="167">
        <f t="shared" si="243"/>
        <v>16</v>
      </c>
      <c r="Q716" s="167">
        <f t="shared" ref="Q716:R732" si="251">I716+M716</f>
        <v>0</v>
      </c>
      <c r="R716" s="167">
        <f t="shared" si="251"/>
        <v>16</v>
      </c>
    </row>
    <row r="717" spans="2:18" x14ac:dyDescent="0.2">
      <c r="B717" s="171">
        <f t="shared" si="231"/>
        <v>184</v>
      </c>
      <c r="C717" s="130"/>
      <c r="D717" s="131"/>
      <c r="E717" s="131"/>
      <c r="F717" s="131" t="s">
        <v>199</v>
      </c>
      <c r="G717" s="194" t="s">
        <v>318</v>
      </c>
      <c r="H717" s="399">
        <v>44016</v>
      </c>
      <c r="I717" s="399">
        <v>-12896</v>
      </c>
      <c r="J717" s="399">
        <f t="shared" si="250"/>
        <v>31120</v>
      </c>
      <c r="K717" s="339"/>
      <c r="L717" s="434"/>
      <c r="M717" s="434"/>
      <c r="N717" s="434"/>
      <c r="O717" s="339"/>
      <c r="P717" s="167">
        <f t="shared" si="243"/>
        <v>44016</v>
      </c>
      <c r="Q717" s="167">
        <f t="shared" si="251"/>
        <v>-12896</v>
      </c>
      <c r="R717" s="167">
        <f t="shared" si="251"/>
        <v>31120</v>
      </c>
    </row>
    <row r="718" spans="2:18" x14ac:dyDescent="0.2">
      <c r="B718" s="171">
        <f t="shared" si="231"/>
        <v>185</v>
      </c>
      <c r="C718" s="130"/>
      <c r="D718" s="131"/>
      <c r="E718" s="131"/>
      <c r="F718" s="131" t="s">
        <v>200</v>
      </c>
      <c r="G718" s="194" t="s">
        <v>247</v>
      </c>
      <c r="H718" s="399">
        <v>11390</v>
      </c>
      <c r="I718" s="399"/>
      <c r="J718" s="399">
        <f t="shared" si="250"/>
        <v>11390</v>
      </c>
      <c r="K718" s="339"/>
      <c r="L718" s="434"/>
      <c r="M718" s="434"/>
      <c r="N718" s="434"/>
      <c r="O718" s="339"/>
      <c r="P718" s="167">
        <f t="shared" si="243"/>
        <v>11390</v>
      </c>
      <c r="Q718" s="167">
        <f t="shared" si="251"/>
        <v>0</v>
      </c>
      <c r="R718" s="167">
        <f t="shared" si="251"/>
        <v>11390</v>
      </c>
    </row>
    <row r="719" spans="2:18" x14ac:dyDescent="0.2">
      <c r="B719" s="171">
        <f t="shared" si="231"/>
        <v>186</v>
      </c>
      <c r="C719" s="143"/>
      <c r="D719" s="131"/>
      <c r="E719" s="146"/>
      <c r="F719" s="131" t="s">
        <v>201</v>
      </c>
      <c r="G719" s="194" t="s">
        <v>366</v>
      </c>
      <c r="H719" s="399">
        <v>10</v>
      </c>
      <c r="I719" s="399"/>
      <c r="J719" s="399">
        <f t="shared" si="250"/>
        <v>10</v>
      </c>
      <c r="K719" s="336"/>
      <c r="L719" s="402"/>
      <c r="M719" s="402"/>
      <c r="N719" s="402"/>
      <c r="O719" s="336"/>
      <c r="P719" s="167">
        <f t="shared" si="243"/>
        <v>10</v>
      </c>
      <c r="Q719" s="167">
        <f t="shared" si="251"/>
        <v>0</v>
      </c>
      <c r="R719" s="167">
        <f t="shared" si="251"/>
        <v>10</v>
      </c>
    </row>
    <row r="720" spans="2:18" x14ac:dyDescent="0.2">
      <c r="B720" s="171">
        <f t="shared" si="231"/>
        <v>187</v>
      </c>
      <c r="C720" s="76"/>
      <c r="D720" s="131"/>
      <c r="E720" s="146"/>
      <c r="F720" s="131" t="s">
        <v>214</v>
      </c>
      <c r="G720" s="194" t="s">
        <v>261</v>
      </c>
      <c r="H720" s="399">
        <f>1532+4304</f>
        <v>5836</v>
      </c>
      <c r="I720" s="399"/>
      <c r="J720" s="399">
        <f t="shared" si="250"/>
        <v>5836</v>
      </c>
      <c r="K720" s="339"/>
      <c r="L720" s="434"/>
      <c r="M720" s="434"/>
      <c r="N720" s="434"/>
      <c r="O720" s="339"/>
      <c r="P720" s="167">
        <f t="shared" si="243"/>
        <v>5836</v>
      </c>
      <c r="Q720" s="167">
        <f t="shared" si="251"/>
        <v>0</v>
      </c>
      <c r="R720" s="167">
        <f t="shared" si="251"/>
        <v>5836</v>
      </c>
    </row>
    <row r="721" spans="2:18" x14ac:dyDescent="0.2">
      <c r="B721" s="171">
        <f t="shared" si="231"/>
        <v>188</v>
      </c>
      <c r="C721" s="130"/>
      <c r="D721" s="131"/>
      <c r="E721" s="146"/>
      <c r="F721" s="131" t="s">
        <v>216</v>
      </c>
      <c r="G721" s="194" t="s">
        <v>248</v>
      </c>
      <c r="H721" s="399">
        <v>8486</v>
      </c>
      <c r="I721" s="399"/>
      <c r="J721" s="399">
        <f t="shared" si="250"/>
        <v>8486</v>
      </c>
      <c r="K721" s="339"/>
      <c r="L721" s="434"/>
      <c r="M721" s="434"/>
      <c r="N721" s="434"/>
      <c r="O721" s="339"/>
      <c r="P721" s="167">
        <f t="shared" si="243"/>
        <v>8486</v>
      </c>
      <c r="Q721" s="167">
        <f t="shared" si="251"/>
        <v>0</v>
      </c>
      <c r="R721" s="167">
        <f t="shared" si="251"/>
        <v>8486</v>
      </c>
    </row>
    <row r="722" spans="2:18" x14ac:dyDescent="0.2">
      <c r="B722" s="171">
        <f t="shared" si="231"/>
        <v>189</v>
      </c>
      <c r="C722" s="130"/>
      <c r="D722" s="131"/>
      <c r="E722" s="436"/>
      <c r="F722" s="284" t="s">
        <v>217</v>
      </c>
      <c r="G722" s="199" t="s">
        <v>371</v>
      </c>
      <c r="H722" s="529">
        <f>3440+200</f>
        <v>3640</v>
      </c>
      <c r="I722" s="529">
        <v>-361</v>
      </c>
      <c r="J722" s="529">
        <f t="shared" si="250"/>
        <v>3279</v>
      </c>
      <c r="K722" s="340"/>
      <c r="L722" s="399"/>
      <c r="M722" s="399"/>
      <c r="N722" s="399"/>
      <c r="O722" s="340"/>
      <c r="P722" s="530">
        <f t="shared" si="243"/>
        <v>3640</v>
      </c>
      <c r="Q722" s="530">
        <f t="shared" si="251"/>
        <v>-361</v>
      </c>
      <c r="R722" s="530">
        <f t="shared" si="251"/>
        <v>3279</v>
      </c>
    </row>
    <row r="723" spans="2:18" ht="14.25" x14ac:dyDescent="0.2">
      <c r="B723" s="171">
        <f t="shared" si="231"/>
        <v>190</v>
      </c>
      <c r="C723" s="130"/>
      <c r="D723" s="131"/>
      <c r="E723" s="521" t="s">
        <v>685</v>
      </c>
      <c r="F723" s="518" t="s">
        <v>686</v>
      </c>
      <c r="G723" s="515"/>
      <c r="H723" s="522">
        <f>H724+H725+H726+H735</f>
        <v>691044</v>
      </c>
      <c r="I723" s="522">
        <f>I724+I725+I726+I735</f>
        <v>37424</v>
      </c>
      <c r="J723" s="522">
        <f>H723+I723</f>
        <v>728468</v>
      </c>
      <c r="K723" s="339"/>
      <c r="L723" s="856"/>
      <c r="M723" s="856"/>
      <c r="N723" s="856"/>
      <c r="O723" s="339"/>
      <c r="P723" s="520">
        <f t="shared" si="243"/>
        <v>691044</v>
      </c>
      <c r="Q723" s="520">
        <f t="shared" si="251"/>
        <v>37424</v>
      </c>
      <c r="R723" s="520">
        <f t="shared" si="251"/>
        <v>728468</v>
      </c>
    </row>
    <row r="724" spans="2:18" x14ac:dyDescent="0.2">
      <c r="B724" s="171">
        <f t="shared" si="231"/>
        <v>191</v>
      </c>
      <c r="C724" s="130"/>
      <c r="D724" s="131"/>
      <c r="E724" s="165"/>
      <c r="F724" s="144" t="s">
        <v>211</v>
      </c>
      <c r="G724" s="199" t="s">
        <v>505</v>
      </c>
      <c r="H724" s="462">
        <f>375019+8890-3858</f>
        <v>380051</v>
      </c>
      <c r="I724" s="462">
        <v>23052</v>
      </c>
      <c r="J724" s="462">
        <f>H724+I724</f>
        <v>403103</v>
      </c>
      <c r="K724" s="339"/>
      <c r="L724" s="399"/>
      <c r="M724" s="399"/>
      <c r="N724" s="399"/>
      <c r="O724" s="339"/>
      <c r="P724" s="530">
        <f t="shared" si="243"/>
        <v>380051</v>
      </c>
      <c r="Q724" s="530">
        <f t="shared" si="251"/>
        <v>23052</v>
      </c>
      <c r="R724" s="530">
        <f t="shared" si="251"/>
        <v>403103</v>
      </c>
    </row>
    <row r="725" spans="2:18" x14ac:dyDescent="0.2">
      <c r="B725" s="171">
        <f t="shared" si="231"/>
        <v>192</v>
      </c>
      <c r="C725" s="130"/>
      <c r="D725" s="131"/>
      <c r="E725" s="165"/>
      <c r="F725" s="144" t="s">
        <v>212</v>
      </c>
      <c r="G725" s="199" t="s">
        <v>259</v>
      </c>
      <c r="H725" s="462">
        <f>131260+3110-1348</f>
        <v>133022</v>
      </c>
      <c r="I725" s="462">
        <v>8082</v>
      </c>
      <c r="J725" s="462">
        <f t="shared" ref="J725:J735" si="252">H725+I725</f>
        <v>141104</v>
      </c>
      <c r="K725" s="339"/>
      <c r="L725" s="399"/>
      <c r="M725" s="399"/>
      <c r="N725" s="399"/>
      <c r="O725" s="339"/>
      <c r="P725" s="530">
        <f t="shared" si="243"/>
        <v>133022</v>
      </c>
      <c r="Q725" s="530">
        <f t="shared" si="251"/>
        <v>8082</v>
      </c>
      <c r="R725" s="530">
        <f t="shared" si="251"/>
        <v>141104</v>
      </c>
    </row>
    <row r="726" spans="2:18" x14ac:dyDescent="0.2">
      <c r="B726" s="171">
        <f t="shared" si="231"/>
        <v>193</v>
      </c>
      <c r="C726" s="130"/>
      <c r="D726" s="131"/>
      <c r="E726" s="165"/>
      <c r="F726" s="144" t="s">
        <v>218</v>
      </c>
      <c r="G726" s="199" t="s">
        <v>340</v>
      </c>
      <c r="H726" s="529">
        <f>SUM(H727:H734)</f>
        <v>172511</v>
      </c>
      <c r="I726" s="529">
        <f>SUM(I727:I734)</f>
        <v>9461</v>
      </c>
      <c r="J726" s="462">
        <f t="shared" si="252"/>
        <v>181972</v>
      </c>
      <c r="K726" s="339"/>
      <c r="L726" s="399"/>
      <c r="M726" s="399"/>
      <c r="N726" s="399"/>
      <c r="O726" s="339"/>
      <c r="P726" s="530">
        <f t="shared" si="243"/>
        <v>172511</v>
      </c>
      <c r="Q726" s="530">
        <f t="shared" si="251"/>
        <v>9461</v>
      </c>
      <c r="R726" s="530">
        <f t="shared" si="251"/>
        <v>181972</v>
      </c>
    </row>
    <row r="727" spans="2:18" x14ac:dyDescent="0.2">
      <c r="B727" s="171">
        <f t="shared" si="231"/>
        <v>194</v>
      </c>
      <c r="C727" s="130"/>
      <c r="D727" s="131"/>
      <c r="E727" s="165"/>
      <c r="F727" s="131" t="s">
        <v>213</v>
      </c>
      <c r="G727" s="194" t="s">
        <v>255</v>
      </c>
      <c r="H727" s="430">
        <v>24</v>
      </c>
      <c r="I727" s="430"/>
      <c r="J727" s="430">
        <f t="shared" si="252"/>
        <v>24</v>
      </c>
      <c r="K727" s="339"/>
      <c r="L727" s="399"/>
      <c r="M727" s="399"/>
      <c r="N727" s="399"/>
      <c r="O727" s="339"/>
      <c r="P727" s="168">
        <f t="shared" si="243"/>
        <v>24</v>
      </c>
      <c r="Q727" s="168">
        <f t="shared" si="251"/>
        <v>0</v>
      </c>
      <c r="R727" s="168">
        <f t="shared" si="251"/>
        <v>24</v>
      </c>
    </row>
    <row r="728" spans="2:18" x14ac:dyDescent="0.2">
      <c r="B728" s="171">
        <f t="shared" si="231"/>
        <v>195</v>
      </c>
      <c r="C728" s="130"/>
      <c r="D728" s="131"/>
      <c r="E728" s="165"/>
      <c r="F728" s="131" t="s">
        <v>199</v>
      </c>
      <c r="G728" s="194" t="s">
        <v>318</v>
      </c>
      <c r="H728" s="430">
        <v>122099</v>
      </c>
      <c r="I728" s="430">
        <v>8275</v>
      </c>
      <c r="J728" s="430">
        <f t="shared" si="252"/>
        <v>130374</v>
      </c>
      <c r="K728" s="339"/>
      <c r="L728" s="399"/>
      <c r="M728" s="399"/>
      <c r="N728" s="399"/>
      <c r="O728" s="339"/>
      <c r="P728" s="168">
        <f t="shared" si="243"/>
        <v>122099</v>
      </c>
      <c r="Q728" s="168">
        <f t="shared" si="251"/>
        <v>8275</v>
      </c>
      <c r="R728" s="168">
        <f t="shared" si="251"/>
        <v>130374</v>
      </c>
    </row>
    <row r="729" spans="2:18" x14ac:dyDescent="0.2">
      <c r="B729" s="171">
        <f t="shared" si="231"/>
        <v>196</v>
      </c>
      <c r="C729" s="130"/>
      <c r="D729" s="131"/>
      <c r="E729" s="165"/>
      <c r="F729" s="131" t="s">
        <v>200</v>
      </c>
      <c r="G729" s="194" t="s">
        <v>247</v>
      </c>
      <c r="H729" s="430">
        <v>17085</v>
      </c>
      <c r="I729" s="430">
        <v>1211</v>
      </c>
      <c r="J729" s="430">
        <f t="shared" si="252"/>
        <v>18296</v>
      </c>
      <c r="K729" s="339"/>
      <c r="L729" s="399"/>
      <c r="M729" s="399"/>
      <c r="N729" s="399"/>
      <c r="O729" s="339"/>
      <c r="P729" s="168">
        <f t="shared" si="243"/>
        <v>17085</v>
      </c>
      <c r="Q729" s="168">
        <f t="shared" si="251"/>
        <v>1211</v>
      </c>
      <c r="R729" s="168">
        <f t="shared" si="251"/>
        <v>18296</v>
      </c>
    </row>
    <row r="730" spans="2:18" x14ac:dyDescent="0.2">
      <c r="B730" s="171">
        <f t="shared" si="231"/>
        <v>197</v>
      </c>
      <c r="C730" s="130"/>
      <c r="D730" s="131"/>
      <c r="E730" s="165"/>
      <c r="F730" s="131" t="s">
        <v>201</v>
      </c>
      <c r="G730" s="194" t="s">
        <v>366</v>
      </c>
      <c r="H730" s="430">
        <v>15</v>
      </c>
      <c r="I730" s="430"/>
      <c r="J730" s="430">
        <f t="shared" si="252"/>
        <v>15</v>
      </c>
      <c r="K730" s="339"/>
      <c r="L730" s="399"/>
      <c r="M730" s="399"/>
      <c r="N730" s="399"/>
      <c r="O730" s="339"/>
      <c r="P730" s="168">
        <f t="shared" si="243"/>
        <v>15</v>
      </c>
      <c r="Q730" s="168">
        <f t="shared" si="251"/>
        <v>0</v>
      </c>
      <c r="R730" s="168">
        <f t="shared" si="251"/>
        <v>15</v>
      </c>
    </row>
    <row r="731" spans="2:18" x14ac:dyDescent="0.2">
      <c r="B731" s="171">
        <f t="shared" si="231"/>
        <v>198</v>
      </c>
      <c r="C731" s="130"/>
      <c r="D731" s="131"/>
      <c r="E731" s="165"/>
      <c r="F731" s="131" t="s">
        <v>214</v>
      </c>
      <c r="G731" s="194" t="s">
        <v>261</v>
      </c>
      <c r="H731" s="430">
        <f>4498+6455</f>
        <v>10953</v>
      </c>
      <c r="I731" s="430"/>
      <c r="J731" s="430">
        <f t="shared" si="252"/>
        <v>10953</v>
      </c>
      <c r="K731" s="339"/>
      <c r="L731" s="399"/>
      <c r="M731" s="399"/>
      <c r="N731" s="399"/>
      <c r="O731" s="339"/>
      <c r="P731" s="168">
        <f t="shared" si="243"/>
        <v>10953</v>
      </c>
      <c r="Q731" s="168">
        <f t="shared" si="251"/>
        <v>0</v>
      </c>
      <c r="R731" s="168">
        <f t="shared" si="251"/>
        <v>10953</v>
      </c>
    </row>
    <row r="732" spans="2:18" x14ac:dyDescent="0.2">
      <c r="B732" s="171">
        <f t="shared" si="231"/>
        <v>199</v>
      </c>
      <c r="C732" s="130"/>
      <c r="D732" s="131"/>
      <c r="E732" s="165"/>
      <c r="F732" s="131" t="s">
        <v>215</v>
      </c>
      <c r="G732" s="194" t="s">
        <v>876</v>
      </c>
      <c r="H732" s="430">
        <v>0</v>
      </c>
      <c r="I732" s="430">
        <v>25</v>
      </c>
      <c r="J732" s="430">
        <f t="shared" si="252"/>
        <v>25</v>
      </c>
      <c r="K732" s="339"/>
      <c r="L732" s="399"/>
      <c r="M732" s="399"/>
      <c r="N732" s="399"/>
      <c r="O732" s="339"/>
      <c r="P732" s="168">
        <f t="shared" si="243"/>
        <v>0</v>
      </c>
      <c r="Q732" s="168">
        <f t="shared" si="251"/>
        <v>25</v>
      </c>
      <c r="R732" s="168">
        <f t="shared" si="251"/>
        <v>25</v>
      </c>
    </row>
    <row r="733" spans="2:18" x14ac:dyDescent="0.2">
      <c r="B733" s="171">
        <f t="shared" si="231"/>
        <v>200</v>
      </c>
      <c r="C733" s="130"/>
      <c r="D733" s="131"/>
      <c r="E733" s="165"/>
      <c r="F733" s="131" t="s">
        <v>216</v>
      </c>
      <c r="G733" s="194" t="s">
        <v>248</v>
      </c>
      <c r="H733" s="430">
        <v>22329</v>
      </c>
      <c r="I733" s="430">
        <v>-50</v>
      </c>
      <c r="J733" s="430">
        <f t="shared" si="252"/>
        <v>22279</v>
      </c>
      <c r="K733" s="339"/>
      <c r="L733" s="399"/>
      <c r="M733" s="399"/>
      <c r="N733" s="399"/>
      <c r="O733" s="339"/>
      <c r="P733" s="168">
        <f t="shared" ref="P733:P764" si="253">H733+L733</f>
        <v>22329</v>
      </c>
      <c r="Q733" s="168">
        <f t="shared" ref="Q733:R748" si="254">I733+M733</f>
        <v>-50</v>
      </c>
      <c r="R733" s="168">
        <f t="shared" si="254"/>
        <v>22279</v>
      </c>
    </row>
    <row r="734" spans="2:18" x14ac:dyDescent="0.2">
      <c r="B734" s="171">
        <f t="shared" si="231"/>
        <v>201</v>
      </c>
      <c r="C734" s="130"/>
      <c r="D734" s="131"/>
      <c r="E734" s="165"/>
      <c r="F734" s="169" t="s">
        <v>218</v>
      </c>
      <c r="G734" s="194" t="s">
        <v>791</v>
      </c>
      <c r="H734" s="430">
        <v>6</v>
      </c>
      <c r="I734" s="430"/>
      <c r="J734" s="430">
        <f t="shared" si="252"/>
        <v>6</v>
      </c>
      <c r="K734" s="339"/>
      <c r="L734" s="399"/>
      <c r="M734" s="399"/>
      <c r="N734" s="399"/>
      <c r="O734" s="339"/>
      <c r="P734" s="168">
        <f t="shared" si="253"/>
        <v>6</v>
      </c>
      <c r="Q734" s="168">
        <f t="shared" si="254"/>
        <v>0</v>
      </c>
      <c r="R734" s="168">
        <f t="shared" si="254"/>
        <v>6</v>
      </c>
    </row>
    <row r="735" spans="2:18" x14ac:dyDescent="0.2">
      <c r="B735" s="171">
        <f t="shared" si="231"/>
        <v>202</v>
      </c>
      <c r="C735" s="130"/>
      <c r="D735" s="131"/>
      <c r="E735" s="165"/>
      <c r="F735" s="284" t="s">
        <v>217</v>
      </c>
      <c r="G735" s="199" t="s">
        <v>371</v>
      </c>
      <c r="H735" s="462">
        <f>5160+300</f>
        <v>5460</v>
      </c>
      <c r="I735" s="462">
        <v>-3171</v>
      </c>
      <c r="J735" s="462">
        <f t="shared" si="252"/>
        <v>2289</v>
      </c>
      <c r="K735" s="339"/>
      <c r="L735" s="399"/>
      <c r="M735" s="399"/>
      <c r="N735" s="399"/>
      <c r="O735" s="339"/>
      <c r="P735" s="530">
        <f t="shared" si="253"/>
        <v>5460</v>
      </c>
      <c r="Q735" s="530">
        <f t="shared" si="254"/>
        <v>-3171</v>
      </c>
      <c r="R735" s="530">
        <f t="shared" si="254"/>
        <v>2289</v>
      </c>
    </row>
    <row r="736" spans="2:18" ht="15" x14ac:dyDescent="0.25">
      <c r="B736" s="171">
        <f t="shared" si="231"/>
        <v>203</v>
      </c>
      <c r="C736" s="143"/>
      <c r="D736" s="260" t="s">
        <v>6</v>
      </c>
      <c r="E736" s="265" t="s">
        <v>429</v>
      </c>
      <c r="F736" s="265" t="s">
        <v>367</v>
      </c>
      <c r="G736" s="266"/>
      <c r="H736" s="427">
        <f>H737+H747</f>
        <v>1341347</v>
      </c>
      <c r="I736" s="427">
        <f t="shared" ref="I736" si="255">I737+I747</f>
        <v>-287</v>
      </c>
      <c r="J736" s="427">
        <f>H736+I736</f>
        <v>1341060</v>
      </c>
      <c r="K736" s="334"/>
      <c r="L736" s="426"/>
      <c r="M736" s="426"/>
      <c r="N736" s="426"/>
      <c r="O736" s="334"/>
      <c r="P736" s="345">
        <f t="shared" si="253"/>
        <v>1341347</v>
      </c>
      <c r="Q736" s="345">
        <f t="shared" si="254"/>
        <v>-287</v>
      </c>
      <c r="R736" s="345">
        <f t="shared" si="254"/>
        <v>1341060</v>
      </c>
    </row>
    <row r="737" spans="2:18" ht="14.25" x14ac:dyDescent="0.2">
      <c r="B737" s="171">
        <f t="shared" si="231"/>
        <v>204</v>
      </c>
      <c r="C737" s="76"/>
      <c r="D737" s="515"/>
      <c r="E737" s="521" t="s">
        <v>428</v>
      </c>
      <c r="F737" s="518" t="s">
        <v>687</v>
      </c>
      <c r="G737" s="517"/>
      <c r="H737" s="519">
        <f>H738+H739+H740+H746</f>
        <v>514731</v>
      </c>
      <c r="I737" s="519">
        <f t="shared" ref="I737" si="256">I738+I739+I740+I746</f>
        <v>-55632</v>
      </c>
      <c r="J737" s="519">
        <f>H737+I737</f>
        <v>459099</v>
      </c>
      <c r="K737" s="333"/>
      <c r="L737" s="856"/>
      <c r="M737" s="856"/>
      <c r="N737" s="856"/>
      <c r="O737" s="333"/>
      <c r="P737" s="520">
        <f t="shared" si="253"/>
        <v>514731</v>
      </c>
      <c r="Q737" s="520">
        <f t="shared" si="254"/>
        <v>-55632</v>
      </c>
      <c r="R737" s="520">
        <f t="shared" si="254"/>
        <v>459099</v>
      </c>
    </row>
    <row r="738" spans="2:18" x14ac:dyDescent="0.2">
      <c r="B738" s="171">
        <f t="shared" si="231"/>
        <v>205</v>
      </c>
      <c r="C738" s="143"/>
      <c r="D738" s="144"/>
      <c r="E738" s="144"/>
      <c r="F738" s="144" t="s">
        <v>211</v>
      </c>
      <c r="G738" s="199" t="s">
        <v>505</v>
      </c>
      <c r="H738" s="529">
        <f>298656+14480</f>
        <v>313136</v>
      </c>
      <c r="I738" s="529">
        <v>-27981</v>
      </c>
      <c r="J738" s="529">
        <f>H738+I738</f>
        <v>285155</v>
      </c>
      <c r="K738" s="336"/>
      <c r="L738" s="402"/>
      <c r="M738" s="402"/>
      <c r="N738" s="402"/>
      <c r="O738" s="336"/>
      <c r="P738" s="530">
        <f t="shared" si="253"/>
        <v>313136</v>
      </c>
      <c r="Q738" s="530">
        <f t="shared" si="254"/>
        <v>-27981</v>
      </c>
      <c r="R738" s="530">
        <f t="shared" si="254"/>
        <v>285155</v>
      </c>
    </row>
    <row r="739" spans="2:18" x14ac:dyDescent="0.2">
      <c r="B739" s="171">
        <f t="shared" ref="B739:B802" si="257">B738+1</f>
        <v>206</v>
      </c>
      <c r="C739" s="143"/>
      <c r="D739" s="144"/>
      <c r="E739" s="144"/>
      <c r="F739" s="144" t="s">
        <v>212</v>
      </c>
      <c r="G739" s="199" t="s">
        <v>259</v>
      </c>
      <c r="H739" s="529">
        <f>104530+5028</f>
        <v>109558</v>
      </c>
      <c r="I739" s="529">
        <v>-9750</v>
      </c>
      <c r="J739" s="529">
        <f t="shared" ref="J739:J746" si="258">H739+I739</f>
        <v>99808</v>
      </c>
      <c r="K739" s="336"/>
      <c r="L739" s="402"/>
      <c r="M739" s="402"/>
      <c r="N739" s="402"/>
      <c r="O739" s="336"/>
      <c r="P739" s="166">
        <f t="shared" si="253"/>
        <v>109558</v>
      </c>
      <c r="Q739" s="166">
        <f t="shared" si="254"/>
        <v>-9750</v>
      </c>
      <c r="R739" s="166">
        <f t="shared" si="254"/>
        <v>99808</v>
      </c>
    </row>
    <row r="740" spans="2:18" x14ac:dyDescent="0.2">
      <c r="B740" s="171">
        <f t="shared" si="257"/>
        <v>207</v>
      </c>
      <c r="C740" s="130"/>
      <c r="D740" s="131"/>
      <c r="E740" s="131"/>
      <c r="F740" s="144" t="s">
        <v>218</v>
      </c>
      <c r="G740" s="199" t="s">
        <v>340</v>
      </c>
      <c r="H740" s="529">
        <f>SUM(H741:H745)</f>
        <v>88647</v>
      </c>
      <c r="I740" s="529">
        <f>SUM(I741:I745)</f>
        <v>-18194</v>
      </c>
      <c r="J740" s="529">
        <f t="shared" si="258"/>
        <v>70453</v>
      </c>
      <c r="K740" s="339"/>
      <c r="L740" s="434"/>
      <c r="M740" s="434"/>
      <c r="N740" s="434"/>
      <c r="O740" s="339"/>
      <c r="P740" s="166">
        <f t="shared" si="253"/>
        <v>88647</v>
      </c>
      <c r="Q740" s="166">
        <f t="shared" si="254"/>
        <v>-18194</v>
      </c>
      <c r="R740" s="166">
        <f t="shared" si="254"/>
        <v>70453</v>
      </c>
    </row>
    <row r="741" spans="2:18" x14ac:dyDescent="0.2">
      <c r="B741" s="171">
        <f t="shared" si="257"/>
        <v>208</v>
      </c>
      <c r="C741" s="130"/>
      <c r="D741" s="131"/>
      <c r="E741" s="131"/>
      <c r="F741" s="131" t="s">
        <v>213</v>
      </c>
      <c r="G741" s="194" t="s">
        <v>255</v>
      </c>
      <c r="H741" s="399">
        <v>20</v>
      </c>
      <c r="I741" s="399">
        <v>-20</v>
      </c>
      <c r="J741" s="399">
        <f t="shared" si="258"/>
        <v>0</v>
      </c>
      <c r="K741" s="339"/>
      <c r="L741" s="434"/>
      <c r="M741" s="434"/>
      <c r="N741" s="434"/>
      <c r="O741" s="339"/>
      <c r="P741" s="167">
        <f t="shared" si="253"/>
        <v>20</v>
      </c>
      <c r="Q741" s="167">
        <f t="shared" si="254"/>
        <v>-20</v>
      </c>
      <c r="R741" s="167">
        <f t="shared" si="254"/>
        <v>0</v>
      </c>
    </row>
    <row r="742" spans="2:18" x14ac:dyDescent="0.2">
      <c r="B742" s="171">
        <f t="shared" si="257"/>
        <v>209</v>
      </c>
      <c r="C742" s="130"/>
      <c r="D742" s="131"/>
      <c r="E742" s="131"/>
      <c r="F742" s="131" t="s">
        <v>199</v>
      </c>
      <c r="G742" s="194" t="s">
        <v>318</v>
      </c>
      <c r="H742" s="399">
        <f>48376+10517</f>
        <v>58893</v>
      </c>
      <c r="I742" s="399">
        <v>-12080</v>
      </c>
      <c r="J742" s="399">
        <f t="shared" si="258"/>
        <v>46813</v>
      </c>
      <c r="K742" s="339"/>
      <c r="L742" s="434"/>
      <c r="M742" s="434"/>
      <c r="N742" s="434"/>
      <c r="O742" s="339"/>
      <c r="P742" s="167">
        <f t="shared" si="253"/>
        <v>58893</v>
      </c>
      <c r="Q742" s="167">
        <f t="shared" si="254"/>
        <v>-12080</v>
      </c>
      <c r="R742" s="167">
        <f t="shared" si="254"/>
        <v>46813</v>
      </c>
    </row>
    <row r="743" spans="2:18" x14ac:dyDescent="0.2">
      <c r="B743" s="171">
        <f t="shared" si="257"/>
        <v>210</v>
      </c>
      <c r="C743" s="130"/>
      <c r="D743" s="131"/>
      <c r="E743" s="131"/>
      <c r="F743" s="131" t="s">
        <v>200</v>
      </c>
      <c r="G743" s="194" t="s">
        <v>247</v>
      </c>
      <c r="H743" s="399">
        <v>12046</v>
      </c>
      <c r="I743" s="399">
        <v>-2360</v>
      </c>
      <c r="J743" s="399">
        <f t="shared" si="258"/>
        <v>9686</v>
      </c>
      <c r="K743" s="339"/>
      <c r="L743" s="434"/>
      <c r="M743" s="434"/>
      <c r="N743" s="434"/>
      <c r="O743" s="339"/>
      <c r="P743" s="167">
        <f t="shared" si="253"/>
        <v>12046</v>
      </c>
      <c r="Q743" s="167">
        <f t="shared" si="254"/>
        <v>-2360</v>
      </c>
      <c r="R743" s="167">
        <f t="shared" si="254"/>
        <v>9686</v>
      </c>
    </row>
    <row r="744" spans="2:18" x14ac:dyDescent="0.2">
      <c r="B744" s="171">
        <f t="shared" si="257"/>
        <v>211</v>
      </c>
      <c r="C744" s="130"/>
      <c r="D744" s="131"/>
      <c r="E744" s="131"/>
      <c r="F744" s="131" t="s">
        <v>214</v>
      </c>
      <c r="G744" s="194" t="s">
        <v>261</v>
      </c>
      <c r="H744" s="399">
        <v>4460</v>
      </c>
      <c r="I744" s="399">
        <v>-1000</v>
      </c>
      <c r="J744" s="399">
        <f t="shared" si="258"/>
        <v>3460</v>
      </c>
      <c r="K744" s="339"/>
      <c r="L744" s="434"/>
      <c r="M744" s="434"/>
      <c r="N744" s="434"/>
      <c r="O744" s="339"/>
      <c r="P744" s="167">
        <f t="shared" si="253"/>
        <v>4460</v>
      </c>
      <c r="Q744" s="167">
        <f t="shared" si="254"/>
        <v>-1000</v>
      </c>
      <c r="R744" s="167">
        <f t="shared" si="254"/>
        <v>3460</v>
      </c>
    </row>
    <row r="745" spans="2:18" x14ac:dyDescent="0.2">
      <c r="B745" s="171">
        <f t="shared" si="257"/>
        <v>212</v>
      </c>
      <c r="C745" s="130"/>
      <c r="D745" s="131"/>
      <c r="E745" s="131"/>
      <c r="F745" s="131" t="s">
        <v>216</v>
      </c>
      <c r="G745" s="194" t="s">
        <v>248</v>
      </c>
      <c r="H745" s="430">
        <v>13228</v>
      </c>
      <c r="I745" s="430">
        <v>-2734</v>
      </c>
      <c r="J745" s="399">
        <f t="shared" si="258"/>
        <v>10494</v>
      </c>
      <c r="K745" s="340"/>
      <c r="L745" s="399"/>
      <c r="M745" s="399"/>
      <c r="N745" s="399"/>
      <c r="O745" s="340"/>
      <c r="P745" s="168">
        <f t="shared" si="253"/>
        <v>13228</v>
      </c>
      <c r="Q745" s="168">
        <f t="shared" si="254"/>
        <v>-2734</v>
      </c>
      <c r="R745" s="168">
        <f t="shared" si="254"/>
        <v>10494</v>
      </c>
    </row>
    <row r="746" spans="2:18" x14ac:dyDescent="0.2">
      <c r="B746" s="171">
        <f t="shared" si="257"/>
        <v>213</v>
      </c>
      <c r="C746" s="130"/>
      <c r="D746" s="131"/>
      <c r="E746" s="131"/>
      <c r="F746" s="144" t="s">
        <v>217</v>
      </c>
      <c r="G746" s="199" t="s">
        <v>371</v>
      </c>
      <c r="H746" s="529">
        <f>3830-440</f>
        <v>3390</v>
      </c>
      <c r="I746" s="529">
        <v>293</v>
      </c>
      <c r="J746" s="529">
        <f t="shared" si="258"/>
        <v>3683</v>
      </c>
      <c r="K746" s="344"/>
      <c r="L746" s="399"/>
      <c r="M746" s="399"/>
      <c r="N746" s="399"/>
      <c r="O746" s="344"/>
      <c r="P746" s="166">
        <f t="shared" si="253"/>
        <v>3390</v>
      </c>
      <c r="Q746" s="166">
        <f t="shared" si="254"/>
        <v>293</v>
      </c>
      <c r="R746" s="166">
        <f t="shared" si="254"/>
        <v>3683</v>
      </c>
    </row>
    <row r="747" spans="2:18" ht="14.25" x14ac:dyDescent="0.2">
      <c r="B747" s="171">
        <f t="shared" si="257"/>
        <v>214</v>
      </c>
      <c r="C747" s="130"/>
      <c r="D747" s="131"/>
      <c r="E747" s="521" t="s">
        <v>685</v>
      </c>
      <c r="F747" s="518" t="s">
        <v>686</v>
      </c>
      <c r="G747" s="515"/>
      <c r="H747" s="522">
        <f>H748+H749+H750+H758</f>
        <v>826616</v>
      </c>
      <c r="I747" s="522">
        <f t="shared" ref="I747" si="259">I748+I749+I750+I758</f>
        <v>55345</v>
      </c>
      <c r="J747" s="522">
        <f>H747+I747</f>
        <v>881961</v>
      </c>
      <c r="K747" s="339"/>
      <c r="L747" s="856"/>
      <c r="M747" s="856"/>
      <c r="N747" s="856"/>
      <c r="O747" s="339"/>
      <c r="P747" s="520">
        <f t="shared" si="253"/>
        <v>826616</v>
      </c>
      <c r="Q747" s="520">
        <f t="shared" si="254"/>
        <v>55345</v>
      </c>
      <c r="R747" s="520">
        <f t="shared" si="254"/>
        <v>881961</v>
      </c>
    </row>
    <row r="748" spans="2:18" x14ac:dyDescent="0.2">
      <c r="B748" s="171">
        <f t="shared" si="257"/>
        <v>215</v>
      </c>
      <c r="C748" s="130"/>
      <c r="D748" s="131"/>
      <c r="E748" s="165"/>
      <c r="F748" s="144" t="s">
        <v>211</v>
      </c>
      <c r="G748" s="199" t="s">
        <v>505</v>
      </c>
      <c r="H748" s="462">
        <f>458464+21720</f>
        <v>480184</v>
      </c>
      <c r="I748" s="462">
        <v>58206</v>
      </c>
      <c r="J748" s="462">
        <f>H748+I748</f>
        <v>538390</v>
      </c>
      <c r="K748" s="339"/>
      <c r="L748" s="399"/>
      <c r="M748" s="399"/>
      <c r="N748" s="399"/>
      <c r="O748" s="339"/>
      <c r="P748" s="530">
        <f t="shared" si="253"/>
        <v>480184</v>
      </c>
      <c r="Q748" s="530">
        <f t="shared" si="254"/>
        <v>58206</v>
      </c>
      <c r="R748" s="530">
        <f t="shared" si="254"/>
        <v>538390</v>
      </c>
    </row>
    <row r="749" spans="2:18" x14ac:dyDescent="0.2">
      <c r="B749" s="171">
        <f t="shared" si="257"/>
        <v>216</v>
      </c>
      <c r="C749" s="130"/>
      <c r="D749" s="131"/>
      <c r="E749" s="165"/>
      <c r="F749" s="144" t="s">
        <v>212</v>
      </c>
      <c r="G749" s="199" t="s">
        <v>259</v>
      </c>
      <c r="H749" s="462">
        <f>160290+7542</f>
        <v>167832</v>
      </c>
      <c r="I749" s="462">
        <v>20417</v>
      </c>
      <c r="J749" s="462">
        <f t="shared" ref="J749:J758" si="260">H749+I749</f>
        <v>188249</v>
      </c>
      <c r="K749" s="339"/>
      <c r="L749" s="399"/>
      <c r="M749" s="399"/>
      <c r="N749" s="399"/>
      <c r="O749" s="339"/>
      <c r="P749" s="530">
        <f t="shared" si="253"/>
        <v>167832</v>
      </c>
      <c r="Q749" s="530">
        <f t="shared" ref="Q749:R764" si="261">I749+M749</f>
        <v>20417</v>
      </c>
      <c r="R749" s="530">
        <f t="shared" si="261"/>
        <v>188249</v>
      </c>
    </row>
    <row r="750" spans="2:18" x14ac:dyDescent="0.2">
      <c r="B750" s="171">
        <f t="shared" si="257"/>
        <v>217</v>
      </c>
      <c r="C750" s="130"/>
      <c r="D750" s="131"/>
      <c r="E750" s="165"/>
      <c r="F750" s="144" t="s">
        <v>218</v>
      </c>
      <c r="G750" s="199" t="s">
        <v>340</v>
      </c>
      <c r="H750" s="462">
        <f>SUM(H751:H757)</f>
        <v>174490</v>
      </c>
      <c r="I750" s="462">
        <f>SUM(I751:I757)</f>
        <v>-21803</v>
      </c>
      <c r="J750" s="462">
        <f t="shared" si="260"/>
        <v>152687</v>
      </c>
      <c r="K750" s="339"/>
      <c r="L750" s="399"/>
      <c r="M750" s="399"/>
      <c r="N750" s="399"/>
      <c r="O750" s="339"/>
      <c r="P750" s="530">
        <f t="shared" si="253"/>
        <v>174490</v>
      </c>
      <c r="Q750" s="530">
        <f t="shared" si="261"/>
        <v>-21803</v>
      </c>
      <c r="R750" s="530">
        <f t="shared" si="261"/>
        <v>152687</v>
      </c>
    </row>
    <row r="751" spans="2:18" x14ac:dyDescent="0.2">
      <c r="B751" s="171">
        <f t="shared" si="257"/>
        <v>218</v>
      </c>
      <c r="C751" s="130"/>
      <c r="D751" s="131"/>
      <c r="E751" s="165"/>
      <c r="F751" s="131" t="s">
        <v>213</v>
      </c>
      <c r="G751" s="194" t="s">
        <v>255</v>
      </c>
      <c r="H751" s="430">
        <v>30</v>
      </c>
      <c r="I751" s="430"/>
      <c r="J751" s="430">
        <f t="shared" si="260"/>
        <v>30</v>
      </c>
      <c r="K751" s="339"/>
      <c r="L751" s="399"/>
      <c r="M751" s="399"/>
      <c r="N751" s="399"/>
      <c r="O751" s="339"/>
      <c r="P751" s="168">
        <f t="shared" si="253"/>
        <v>30</v>
      </c>
      <c r="Q751" s="168">
        <f t="shared" si="261"/>
        <v>0</v>
      </c>
      <c r="R751" s="168">
        <f t="shared" si="261"/>
        <v>30</v>
      </c>
    </row>
    <row r="752" spans="2:18" x14ac:dyDescent="0.2">
      <c r="B752" s="171">
        <f t="shared" si="257"/>
        <v>219</v>
      </c>
      <c r="C752" s="130"/>
      <c r="D752" s="131"/>
      <c r="E752" s="165"/>
      <c r="F752" s="131" t="s">
        <v>199</v>
      </c>
      <c r="G752" s="194" t="s">
        <v>318</v>
      </c>
      <c r="H752" s="430">
        <f>82564+15776</f>
        <v>98340</v>
      </c>
      <c r="I752" s="430">
        <v>-18000</v>
      </c>
      <c r="J752" s="430">
        <f t="shared" si="260"/>
        <v>80340</v>
      </c>
      <c r="K752" s="339"/>
      <c r="L752" s="399"/>
      <c r="M752" s="399"/>
      <c r="N752" s="399"/>
      <c r="O752" s="339"/>
      <c r="P752" s="168">
        <f t="shared" si="253"/>
        <v>98340</v>
      </c>
      <c r="Q752" s="168">
        <f t="shared" si="261"/>
        <v>-18000</v>
      </c>
      <c r="R752" s="168">
        <f t="shared" si="261"/>
        <v>80340</v>
      </c>
    </row>
    <row r="753" spans="2:18" x14ac:dyDescent="0.2">
      <c r="B753" s="171">
        <f t="shared" si="257"/>
        <v>220</v>
      </c>
      <c r="C753" s="130"/>
      <c r="D753" s="131"/>
      <c r="E753" s="165"/>
      <c r="F753" s="131" t="s">
        <v>200</v>
      </c>
      <c r="G753" s="194" t="s">
        <v>247</v>
      </c>
      <c r="H753" s="430">
        <v>23094</v>
      </c>
      <c r="I753" s="430">
        <v>149</v>
      </c>
      <c r="J753" s="430">
        <f t="shared" si="260"/>
        <v>23243</v>
      </c>
      <c r="K753" s="339"/>
      <c r="L753" s="399"/>
      <c r="M753" s="399"/>
      <c r="N753" s="399"/>
      <c r="O753" s="339"/>
      <c r="P753" s="168">
        <f t="shared" si="253"/>
        <v>23094</v>
      </c>
      <c r="Q753" s="168">
        <f t="shared" si="261"/>
        <v>149</v>
      </c>
      <c r="R753" s="168">
        <f t="shared" si="261"/>
        <v>23243</v>
      </c>
    </row>
    <row r="754" spans="2:18" x14ac:dyDescent="0.2">
      <c r="B754" s="171">
        <f t="shared" si="257"/>
        <v>221</v>
      </c>
      <c r="C754" s="130"/>
      <c r="D754" s="131"/>
      <c r="E754" s="165"/>
      <c r="F754" s="131" t="s">
        <v>214</v>
      </c>
      <c r="G754" s="194" t="s">
        <v>261</v>
      </c>
      <c r="H754" s="430">
        <v>12690</v>
      </c>
      <c r="I754" s="430">
        <v>-1190</v>
      </c>
      <c r="J754" s="430">
        <f t="shared" si="260"/>
        <v>11500</v>
      </c>
      <c r="K754" s="339"/>
      <c r="L754" s="399"/>
      <c r="M754" s="399"/>
      <c r="N754" s="399"/>
      <c r="O754" s="339"/>
      <c r="P754" s="168">
        <f t="shared" si="253"/>
        <v>12690</v>
      </c>
      <c r="Q754" s="168">
        <f t="shared" si="261"/>
        <v>-1190</v>
      </c>
      <c r="R754" s="168">
        <f t="shared" si="261"/>
        <v>11500</v>
      </c>
    </row>
    <row r="755" spans="2:18" x14ac:dyDescent="0.2">
      <c r="B755" s="171">
        <f t="shared" si="257"/>
        <v>222</v>
      </c>
      <c r="C755" s="130"/>
      <c r="D755" s="131"/>
      <c r="E755" s="165"/>
      <c r="F755" s="131" t="s">
        <v>215</v>
      </c>
      <c r="G755" s="194" t="s">
        <v>634</v>
      </c>
      <c r="H755" s="430">
        <v>20000</v>
      </c>
      <c r="I755" s="430">
        <v>800</v>
      </c>
      <c r="J755" s="430">
        <f t="shared" si="260"/>
        <v>20800</v>
      </c>
      <c r="K755" s="339"/>
      <c r="L755" s="399"/>
      <c r="M755" s="399"/>
      <c r="N755" s="399"/>
      <c r="O755" s="339"/>
      <c r="P755" s="168">
        <f t="shared" si="253"/>
        <v>20000</v>
      </c>
      <c r="Q755" s="168">
        <f t="shared" si="261"/>
        <v>800</v>
      </c>
      <c r="R755" s="168">
        <f t="shared" si="261"/>
        <v>20800</v>
      </c>
    </row>
    <row r="756" spans="2:18" x14ac:dyDescent="0.2">
      <c r="B756" s="171">
        <f t="shared" si="257"/>
        <v>223</v>
      </c>
      <c r="C756" s="130"/>
      <c r="D756" s="131"/>
      <c r="E756" s="165"/>
      <c r="F756" s="131" t="s">
        <v>216</v>
      </c>
      <c r="G756" s="194" t="s">
        <v>248</v>
      </c>
      <c r="H756" s="430">
        <v>19842</v>
      </c>
      <c r="I756" s="430">
        <v>-3562</v>
      </c>
      <c r="J756" s="430">
        <f t="shared" si="260"/>
        <v>16280</v>
      </c>
      <c r="K756" s="339"/>
      <c r="L756" s="399"/>
      <c r="M756" s="399"/>
      <c r="N756" s="399"/>
      <c r="O756" s="339"/>
      <c r="P756" s="168">
        <f t="shared" si="253"/>
        <v>19842</v>
      </c>
      <c r="Q756" s="168">
        <f t="shared" si="261"/>
        <v>-3562</v>
      </c>
      <c r="R756" s="168">
        <f t="shared" si="261"/>
        <v>16280</v>
      </c>
    </row>
    <row r="757" spans="2:18" x14ac:dyDescent="0.2">
      <c r="B757" s="171">
        <f t="shared" si="257"/>
        <v>224</v>
      </c>
      <c r="C757" s="130"/>
      <c r="D757" s="131"/>
      <c r="E757" s="165"/>
      <c r="F757" s="131" t="s">
        <v>218</v>
      </c>
      <c r="G757" s="194" t="s">
        <v>791</v>
      </c>
      <c r="H757" s="430">
        <v>494</v>
      </c>
      <c r="I757" s="430"/>
      <c r="J757" s="430">
        <f t="shared" si="260"/>
        <v>494</v>
      </c>
      <c r="K757" s="339"/>
      <c r="L757" s="399"/>
      <c r="M757" s="399"/>
      <c r="N757" s="399"/>
      <c r="O757" s="339"/>
      <c r="P757" s="168">
        <f t="shared" si="253"/>
        <v>494</v>
      </c>
      <c r="Q757" s="168">
        <f t="shared" si="261"/>
        <v>0</v>
      </c>
      <c r="R757" s="168">
        <f t="shared" si="261"/>
        <v>494</v>
      </c>
    </row>
    <row r="758" spans="2:18" x14ac:dyDescent="0.2">
      <c r="B758" s="171">
        <f t="shared" si="257"/>
        <v>225</v>
      </c>
      <c r="C758" s="130"/>
      <c r="D758" s="131"/>
      <c r="E758" s="165"/>
      <c r="F758" s="284" t="s">
        <v>217</v>
      </c>
      <c r="G758" s="199" t="s">
        <v>371</v>
      </c>
      <c r="H758" s="462">
        <f>4770-660</f>
        <v>4110</v>
      </c>
      <c r="I758" s="462">
        <v>-1475</v>
      </c>
      <c r="J758" s="462">
        <f t="shared" si="260"/>
        <v>2635</v>
      </c>
      <c r="K758" s="339"/>
      <c r="L758" s="399"/>
      <c r="M758" s="399"/>
      <c r="N758" s="399"/>
      <c r="O758" s="339"/>
      <c r="P758" s="530">
        <f t="shared" si="253"/>
        <v>4110</v>
      </c>
      <c r="Q758" s="530">
        <f t="shared" si="261"/>
        <v>-1475</v>
      </c>
      <c r="R758" s="530">
        <f t="shared" si="261"/>
        <v>2635</v>
      </c>
    </row>
    <row r="759" spans="2:18" ht="15" x14ac:dyDescent="0.25">
      <c r="B759" s="171">
        <f t="shared" si="257"/>
        <v>226</v>
      </c>
      <c r="C759" s="130"/>
      <c r="D759" s="261" t="s">
        <v>7</v>
      </c>
      <c r="E759" s="147" t="s">
        <v>429</v>
      </c>
      <c r="F759" s="147" t="s">
        <v>368</v>
      </c>
      <c r="G759" s="236"/>
      <c r="H759" s="425">
        <f>H760+H772</f>
        <v>952854</v>
      </c>
      <c r="I759" s="425">
        <f t="shared" ref="I759" si="262">I760+I772</f>
        <v>13826</v>
      </c>
      <c r="J759" s="425">
        <f>H759+I759</f>
        <v>966680</v>
      </c>
      <c r="K759" s="132"/>
      <c r="L759" s="849">
        <f>L760+L772</f>
        <v>95216</v>
      </c>
      <c r="M759" s="849">
        <f t="shared" ref="M759" si="263">M760+M772</f>
        <v>0</v>
      </c>
      <c r="N759" s="849">
        <f t="shared" ref="N759:N785" si="264">L759+M759</f>
        <v>95216</v>
      </c>
      <c r="O759" s="132"/>
      <c r="P759" s="330">
        <f t="shared" si="253"/>
        <v>1048070</v>
      </c>
      <c r="Q759" s="330">
        <f t="shared" si="261"/>
        <v>13826</v>
      </c>
      <c r="R759" s="330">
        <f t="shared" si="261"/>
        <v>1061896</v>
      </c>
    </row>
    <row r="760" spans="2:18" ht="14.25" x14ac:dyDescent="0.2">
      <c r="B760" s="171">
        <f t="shared" si="257"/>
        <v>227</v>
      </c>
      <c r="C760" s="76"/>
      <c r="D760" s="515"/>
      <c r="E760" s="521" t="s">
        <v>428</v>
      </c>
      <c r="F760" s="518" t="s">
        <v>687</v>
      </c>
      <c r="G760" s="517"/>
      <c r="H760" s="519">
        <f>H761+H762+H763+H770+H769</f>
        <v>376421</v>
      </c>
      <c r="I760" s="519">
        <f t="shared" ref="I760" si="265">I761+I762+I763+I770+I769</f>
        <v>9133</v>
      </c>
      <c r="J760" s="519">
        <f>H760+I760</f>
        <v>385554</v>
      </c>
      <c r="K760" s="333"/>
      <c r="L760" s="523">
        <f>L771</f>
        <v>2500</v>
      </c>
      <c r="M760" s="523">
        <f t="shared" ref="M760" si="266">M771</f>
        <v>0</v>
      </c>
      <c r="N760" s="523">
        <f t="shared" si="264"/>
        <v>2500</v>
      </c>
      <c r="O760" s="333"/>
      <c r="P760" s="520">
        <f t="shared" si="253"/>
        <v>378921</v>
      </c>
      <c r="Q760" s="520">
        <f t="shared" si="261"/>
        <v>9133</v>
      </c>
      <c r="R760" s="520">
        <f t="shared" si="261"/>
        <v>388054</v>
      </c>
    </row>
    <row r="761" spans="2:18" x14ac:dyDescent="0.2">
      <c r="B761" s="171">
        <f t="shared" si="257"/>
        <v>228</v>
      </c>
      <c r="C761" s="130"/>
      <c r="D761" s="131"/>
      <c r="E761" s="131"/>
      <c r="F761" s="144" t="s">
        <v>211</v>
      </c>
      <c r="G761" s="199" t="s">
        <v>505</v>
      </c>
      <c r="H761" s="529">
        <f>203353+21682</f>
        <v>225035</v>
      </c>
      <c r="I761" s="529">
        <v>9303</v>
      </c>
      <c r="J761" s="529">
        <f>H761+I761</f>
        <v>234338</v>
      </c>
      <c r="K761" s="339"/>
      <c r="L761" s="434"/>
      <c r="M761" s="434"/>
      <c r="N761" s="434"/>
      <c r="O761" s="339"/>
      <c r="P761" s="242">
        <f t="shared" si="253"/>
        <v>225035</v>
      </c>
      <c r="Q761" s="242">
        <f t="shared" si="261"/>
        <v>9303</v>
      </c>
      <c r="R761" s="242">
        <f t="shared" si="261"/>
        <v>234338</v>
      </c>
    </row>
    <row r="762" spans="2:18" x14ac:dyDescent="0.2">
      <c r="B762" s="171">
        <f t="shared" si="257"/>
        <v>229</v>
      </c>
      <c r="C762" s="130"/>
      <c r="D762" s="131"/>
      <c r="E762" s="131"/>
      <c r="F762" s="144" t="s">
        <v>212</v>
      </c>
      <c r="G762" s="199" t="s">
        <v>259</v>
      </c>
      <c r="H762" s="529">
        <f>71580+7632</f>
        <v>79212</v>
      </c>
      <c r="I762" s="529">
        <v>3033</v>
      </c>
      <c r="J762" s="529">
        <f t="shared" ref="J762:J770" si="267">H762+I762</f>
        <v>82245</v>
      </c>
      <c r="K762" s="339"/>
      <c r="L762" s="434"/>
      <c r="M762" s="434"/>
      <c r="N762" s="434"/>
      <c r="O762" s="339"/>
      <c r="P762" s="242">
        <f t="shared" si="253"/>
        <v>79212</v>
      </c>
      <c r="Q762" s="242">
        <f t="shared" si="261"/>
        <v>3033</v>
      </c>
      <c r="R762" s="242">
        <f t="shared" si="261"/>
        <v>82245</v>
      </c>
    </row>
    <row r="763" spans="2:18" x14ac:dyDescent="0.2">
      <c r="B763" s="171">
        <f t="shared" si="257"/>
        <v>230</v>
      </c>
      <c r="C763" s="130"/>
      <c r="D763" s="131"/>
      <c r="E763" s="131"/>
      <c r="F763" s="144" t="s">
        <v>218</v>
      </c>
      <c r="G763" s="199" t="s">
        <v>340</v>
      </c>
      <c r="H763" s="529">
        <f>SUM(H764:H768)</f>
        <v>71521</v>
      </c>
      <c r="I763" s="529">
        <f>SUM(I764:I768)</f>
        <v>-3673</v>
      </c>
      <c r="J763" s="529">
        <f t="shared" si="267"/>
        <v>67848</v>
      </c>
      <c r="K763" s="339"/>
      <c r="L763" s="434"/>
      <c r="M763" s="434"/>
      <c r="N763" s="434"/>
      <c r="O763" s="339"/>
      <c r="P763" s="242">
        <f t="shared" si="253"/>
        <v>71521</v>
      </c>
      <c r="Q763" s="242">
        <f t="shared" si="261"/>
        <v>-3673</v>
      </c>
      <c r="R763" s="242">
        <f t="shared" si="261"/>
        <v>67848</v>
      </c>
    </row>
    <row r="764" spans="2:18" x14ac:dyDescent="0.2">
      <c r="B764" s="171">
        <f t="shared" si="257"/>
        <v>231</v>
      </c>
      <c r="C764" s="130"/>
      <c r="D764" s="131"/>
      <c r="E764" s="131"/>
      <c r="F764" s="131" t="s">
        <v>213</v>
      </c>
      <c r="G764" s="194" t="s">
        <v>255</v>
      </c>
      <c r="H764" s="399">
        <v>113</v>
      </c>
      <c r="I764" s="399">
        <v>-83</v>
      </c>
      <c r="J764" s="399">
        <f t="shared" si="267"/>
        <v>30</v>
      </c>
      <c r="K764" s="339"/>
      <c r="L764" s="434"/>
      <c r="M764" s="434"/>
      <c r="N764" s="434"/>
      <c r="O764" s="339"/>
      <c r="P764" s="167">
        <f t="shared" si="253"/>
        <v>113</v>
      </c>
      <c r="Q764" s="167">
        <f t="shared" si="261"/>
        <v>-83</v>
      </c>
      <c r="R764" s="167">
        <f t="shared" si="261"/>
        <v>30</v>
      </c>
    </row>
    <row r="765" spans="2:18" x14ac:dyDescent="0.2">
      <c r="B765" s="171">
        <f t="shared" si="257"/>
        <v>232</v>
      </c>
      <c r="C765" s="130"/>
      <c r="D765" s="131"/>
      <c r="E765" s="131"/>
      <c r="F765" s="131" t="s">
        <v>199</v>
      </c>
      <c r="G765" s="194" t="s">
        <v>318</v>
      </c>
      <c r="H765" s="399">
        <v>24300</v>
      </c>
      <c r="I765" s="399">
        <v>-2972</v>
      </c>
      <c r="J765" s="399">
        <f t="shared" si="267"/>
        <v>21328</v>
      </c>
      <c r="K765" s="339"/>
      <c r="L765" s="434"/>
      <c r="M765" s="434"/>
      <c r="N765" s="434"/>
      <c r="O765" s="339"/>
      <c r="P765" s="167">
        <f t="shared" ref="P765:P796" si="268">H765+L765</f>
        <v>24300</v>
      </c>
      <c r="Q765" s="167">
        <f t="shared" ref="Q765:R780" si="269">I765+M765</f>
        <v>-2972</v>
      </c>
      <c r="R765" s="167">
        <f t="shared" si="269"/>
        <v>21328</v>
      </c>
    </row>
    <row r="766" spans="2:18" x14ac:dyDescent="0.2">
      <c r="B766" s="171">
        <f t="shared" si="257"/>
        <v>233</v>
      </c>
      <c r="C766" s="130"/>
      <c r="D766" s="131"/>
      <c r="E766" s="131"/>
      <c r="F766" s="131" t="s">
        <v>200</v>
      </c>
      <c r="G766" s="194" t="s">
        <v>247</v>
      </c>
      <c r="H766" s="399">
        <f>11792+10236</f>
        <v>22028</v>
      </c>
      <c r="I766" s="399">
        <v>-4558</v>
      </c>
      <c r="J766" s="399">
        <f t="shared" si="267"/>
        <v>17470</v>
      </c>
      <c r="K766" s="339"/>
      <c r="L766" s="434"/>
      <c r="M766" s="434"/>
      <c r="N766" s="434"/>
      <c r="O766" s="339"/>
      <c r="P766" s="167">
        <f t="shared" si="268"/>
        <v>22028</v>
      </c>
      <c r="Q766" s="167">
        <f t="shared" si="269"/>
        <v>-4558</v>
      </c>
      <c r="R766" s="167">
        <f t="shared" si="269"/>
        <v>17470</v>
      </c>
    </row>
    <row r="767" spans="2:18" x14ac:dyDescent="0.2">
      <c r="B767" s="171">
        <f t="shared" si="257"/>
        <v>234</v>
      </c>
      <c r="C767" s="130"/>
      <c r="D767" s="131"/>
      <c r="E767" s="131"/>
      <c r="F767" s="131" t="s">
        <v>214</v>
      </c>
      <c r="G767" s="194" t="s">
        <v>261</v>
      </c>
      <c r="H767" s="399">
        <v>10350</v>
      </c>
      <c r="I767" s="399">
        <v>5018</v>
      </c>
      <c r="J767" s="399">
        <f t="shared" si="267"/>
        <v>15368</v>
      </c>
      <c r="K767" s="339"/>
      <c r="L767" s="434"/>
      <c r="M767" s="434"/>
      <c r="N767" s="434"/>
      <c r="O767" s="339"/>
      <c r="P767" s="167">
        <f t="shared" si="268"/>
        <v>10350</v>
      </c>
      <c r="Q767" s="167">
        <f t="shared" si="269"/>
        <v>5018</v>
      </c>
      <c r="R767" s="167">
        <f t="shared" si="269"/>
        <v>15368</v>
      </c>
    </row>
    <row r="768" spans="2:18" x14ac:dyDescent="0.2">
      <c r="B768" s="171">
        <f t="shared" si="257"/>
        <v>235</v>
      </c>
      <c r="C768" s="130"/>
      <c r="D768" s="131"/>
      <c r="E768" s="131"/>
      <c r="F768" s="131" t="s">
        <v>216</v>
      </c>
      <c r="G768" s="194" t="s">
        <v>248</v>
      </c>
      <c r="H768" s="399">
        <f>14130+600</f>
        <v>14730</v>
      </c>
      <c r="I768" s="399">
        <v>-1078</v>
      </c>
      <c r="J768" s="399">
        <f t="shared" si="267"/>
        <v>13652</v>
      </c>
      <c r="K768" s="339"/>
      <c r="L768" s="434"/>
      <c r="M768" s="434"/>
      <c r="N768" s="434"/>
      <c r="O768" s="339"/>
      <c r="P768" s="167">
        <f t="shared" si="268"/>
        <v>14730</v>
      </c>
      <c r="Q768" s="167">
        <f t="shared" si="269"/>
        <v>-1078</v>
      </c>
      <c r="R768" s="167">
        <f t="shared" si="269"/>
        <v>13652</v>
      </c>
    </row>
    <row r="769" spans="2:18" x14ac:dyDescent="0.2">
      <c r="B769" s="171">
        <f t="shared" si="257"/>
        <v>236</v>
      </c>
      <c r="C769" s="130"/>
      <c r="D769" s="131"/>
      <c r="E769" s="131"/>
      <c r="F769" s="144" t="s">
        <v>217</v>
      </c>
      <c r="G769" s="199" t="s">
        <v>506</v>
      </c>
      <c r="H769" s="529">
        <v>225</v>
      </c>
      <c r="I769" s="529">
        <v>-30</v>
      </c>
      <c r="J769" s="529">
        <f t="shared" si="267"/>
        <v>195</v>
      </c>
      <c r="K769" s="336"/>
      <c r="L769" s="402"/>
      <c r="M769" s="402"/>
      <c r="N769" s="402"/>
      <c r="O769" s="336"/>
      <c r="P769" s="166">
        <f t="shared" si="268"/>
        <v>225</v>
      </c>
      <c r="Q769" s="166">
        <f t="shared" si="269"/>
        <v>-30</v>
      </c>
      <c r="R769" s="166">
        <f t="shared" si="269"/>
        <v>195</v>
      </c>
    </row>
    <row r="770" spans="2:18" x14ac:dyDescent="0.2">
      <c r="B770" s="171">
        <f t="shared" si="257"/>
        <v>237</v>
      </c>
      <c r="C770" s="130"/>
      <c r="D770" s="131"/>
      <c r="E770" s="131"/>
      <c r="F770" s="144" t="s">
        <v>217</v>
      </c>
      <c r="G770" s="199" t="s">
        <v>371</v>
      </c>
      <c r="H770" s="529">
        <v>428</v>
      </c>
      <c r="I770" s="529">
        <v>500</v>
      </c>
      <c r="J770" s="529">
        <f t="shared" si="267"/>
        <v>928</v>
      </c>
      <c r="K770" s="336"/>
      <c r="L770" s="402"/>
      <c r="M770" s="402"/>
      <c r="N770" s="402"/>
      <c r="O770" s="336"/>
      <c r="P770" s="166">
        <f t="shared" si="268"/>
        <v>428</v>
      </c>
      <c r="Q770" s="166">
        <f t="shared" si="269"/>
        <v>500</v>
      </c>
      <c r="R770" s="166">
        <f t="shared" si="269"/>
        <v>928</v>
      </c>
    </row>
    <row r="771" spans="2:18" x14ac:dyDescent="0.2">
      <c r="B771" s="171">
        <f t="shared" si="257"/>
        <v>238</v>
      </c>
      <c r="C771" s="130"/>
      <c r="D771" s="131"/>
      <c r="E771" s="169"/>
      <c r="F771" s="144" t="s">
        <v>606</v>
      </c>
      <c r="G771" s="199" t="s">
        <v>653</v>
      </c>
      <c r="H771" s="529"/>
      <c r="I771" s="529"/>
      <c r="J771" s="529"/>
      <c r="K771" s="336"/>
      <c r="L771" s="402">
        <v>2500</v>
      </c>
      <c r="M771" s="402"/>
      <c r="N771" s="402">
        <f t="shared" si="264"/>
        <v>2500</v>
      </c>
      <c r="O771" s="336"/>
      <c r="P771" s="166">
        <f t="shared" si="268"/>
        <v>2500</v>
      </c>
      <c r="Q771" s="166">
        <f t="shared" si="269"/>
        <v>0</v>
      </c>
      <c r="R771" s="166">
        <f t="shared" si="269"/>
        <v>2500</v>
      </c>
    </row>
    <row r="772" spans="2:18" x14ac:dyDescent="0.2">
      <c r="B772" s="171">
        <f t="shared" si="257"/>
        <v>239</v>
      </c>
      <c r="C772" s="130"/>
      <c r="D772" s="131"/>
      <c r="E772" s="521" t="s">
        <v>685</v>
      </c>
      <c r="F772" s="518" t="s">
        <v>686</v>
      </c>
      <c r="G772" s="515"/>
      <c r="H772" s="522">
        <f>H773+H774+H775+H783+H782</f>
        <v>576433</v>
      </c>
      <c r="I772" s="522">
        <f t="shared" ref="I772" si="270">I773+I774+I775+I783+I782</f>
        <v>4693</v>
      </c>
      <c r="J772" s="522">
        <f>H772+I772</f>
        <v>581126</v>
      </c>
      <c r="K772" s="339"/>
      <c r="L772" s="523">
        <f>L784+L785</f>
        <v>92716</v>
      </c>
      <c r="M772" s="523">
        <f t="shared" ref="M772" si="271">M784+M785</f>
        <v>0</v>
      </c>
      <c r="N772" s="523">
        <f t="shared" si="264"/>
        <v>92716</v>
      </c>
      <c r="O772" s="339"/>
      <c r="P772" s="520">
        <f t="shared" si="268"/>
        <v>669149</v>
      </c>
      <c r="Q772" s="520">
        <f t="shared" si="269"/>
        <v>4693</v>
      </c>
      <c r="R772" s="520">
        <f t="shared" si="269"/>
        <v>673842</v>
      </c>
    </row>
    <row r="773" spans="2:18" x14ac:dyDescent="0.2">
      <c r="B773" s="171">
        <f t="shared" si="257"/>
        <v>240</v>
      </c>
      <c r="C773" s="130"/>
      <c r="D773" s="131"/>
      <c r="E773" s="165"/>
      <c r="F773" s="144" t="s">
        <v>211</v>
      </c>
      <c r="G773" s="199" t="s">
        <v>505</v>
      </c>
      <c r="H773" s="462">
        <f>332387+26049</f>
        <v>358436</v>
      </c>
      <c r="I773" s="462">
        <v>6832</v>
      </c>
      <c r="J773" s="462">
        <f>H773+I773</f>
        <v>365268</v>
      </c>
      <c r="K773" s="339"/>
      <c r="L773" s="399"/>
      <c r="M773" s="399"/>
      <c r="N773" s="399"/>
      <c r="O773" s="339"/>
      <c r="P773" s="530">
        <f t="shared" si="268"/>
        <v>358436</v>
      </c>
      <c r="Q773" s="530">
        <f t="shared" si="269"/>
        <v>6832</v>
      </c>
      <c r="R773" s="530">
        <f t="shared" si="269"/>
        <v>365268</v>
      </c>
    </row>
    <row r="774" spans="2:18" x14ac:dyDescent="0.2">
      <c r="B774" s="171">
        <f t="shared" si="257"/>
        <v>241</v>
      </c>
      <c r="C774" s="130"/>
      <c r="D774" s="131"/>
      <c r="E774" s="165"/>
      <c r="F774" s="144" t="s">
        <v>212</v>
      </c>
      <c r="G774" s="199" t="s">
        <v>259</v>
      </c>
      <c r="H774" s="462">
        <f>117000+9170</f>
        <v>126170</v>
      </c>
      <c r="I774" s="462">
        <v>2405</v>
      </c>
      <c r="J774" s="462">
        <f t="shared" ref="J774:J783" si="272">H774+I774</f>
        <v>128575</v>
      </c>
      <c r="K774" s="339"/>
      <c r="L774" s="399"/>
      <c r="M774" s="399"/>
      <c r="N774" s="399"/>
      <c r="O774" s="339"/>
      <c r="P774" s="530">
        <f t="shared" si="268"/>
        <v>126170</v>
      </c>
      <c r="Q774" s="530">
        <f t="shared" si="269"/>
        <v>2405</v>
      </c>
      <c r="R774" s="530">
        <f t="shared" si="269"/>
        <v>128575</v>
      </c>
    </row>
    <row r="775" spans="2:18" x14ac:dyDescent="0.2">
      <c r="B775" s="171">
        <f t="shared" si="257"/>
        <v>242</v>
      </c>
      <c r="C775" s="130"/>
      <c r="D775" s="131"/>
      <c r="E775" s="165"/>
      <c r="F775" s="144" t="s">
        <v>218</v>
      </c>
      <c r="G775" s="199" t="s">
        <v>340</v>
      </c>
      <c r="H775" s="529">
        <f>SUM(H776:H781)</f>
        <v>91030</v>
      </c>
      <c r="I775" s="529">
        <f>SUM(I776:I781)</f>
        <v>-9237</v>
      </c>
      <c r="J775" s="462">
        <f t="shared" si="272"/>
        <v>81793</v>
      </c>
      <c r="K775" s="339"/>
      <c r="L775" s="399"/>
      <c r="M775" s="399"/>
      <c r="N775" s="399"/>
      <c r="O775" s="339"/>
      <c r="P775" s="530">
        <f t="shared" si="268"/>
        <v>91030</v>
      </c>
      <c r="Q775" s="530">
        <f t="shared" si="269"/>
        <v>-9237</v>
      </c>
      <c r="R775" s="530">
        <f t="shared" si="269"/>
        <v>81793</v>
      </c>
    </row>
    <row r="776" spans="2:18" x14ac:dyDescent="0.2">
      <c r="B776" s="171">
        <f t="shared" si="257"/>
        <v>243</v>
      </c>
      <c r="C776" s="130"/>
      <c r="D776" s="131"/>
      <c r="E776" s="165"/>
      <c r="F776" s="131" t="s">
        <v>213</v>
      </c>
      <c r="G776" s="194" t="s">
        <v>255</v>
      </c>
      <c r="H776" s="430">
        <v>137</v>
      </c>
      <c r="I776" s="430">
        <v>-120</v>
      </c>
      <c r="J776" s="430">
        <f t="shared" si="272"/>
        <v>17</v>
      </c>
      <c r="K776" s="339"/>
      <c r="L776" s="399"/>
      <c r="M776" s="399"/>
      <c r="N776" s="399"/>
      <c r="O776" s="339"/>
      <c r="P776" s="168">
        <f t="shared" si="268"/>
        <v>137</v>
      </c>
      <c r="Q776" s="168">
        <f t="shared" si="269"/>
        <v>-120</v>
      </c>
      <c r="R776" s="168">
        <f t="shared" si="269"/>
        <v>17</v>
      </c>
    </row>
    <row r="777" spans="2:18" x14ac:dyDescent="0.2">
      <c r="B777" s="171">
        <f t="shared" si="257"/>
        <v>244</v>
      </c>
      <c r="C777" s="130"/>
      <c r="D777" s="131"/>
      <c r="E777" s="165"/>
      <c r="F777" s="131" t="s">
        <v>199</v>
      </c>
      <c r="G777" s="194" t="s">
        <v>318</v>
      </c>
      <c r="H777" s="430">
        <v>31700</v>
      </c>
      <c r="I777" s="430">
        <v>-2615</v>
      </c>
      <c r="J777" s="430">
        <f t="shared" si="272"/>
        <v>29085</v>
      </c>
      <c r="K777" s="339"/>
      <c r="L777" s="399"/>
      <c r="M777" s="399"/>
      <c r="N777" s="399"/>
      <c r="O777" s="339"/>
      <c r="P777" s="168">
        <f t="shared" si="268"/>
        <v>31700</v>
      </c>
      <c r="Q777" s="168">
        <f t="shared" si="269"/>
        <v>-2615</v>
      </c>
      <c r="R777" s="168">
        <f t="shared" si="269"/>
        <v>29085</v>
      </c>
    </row>
    <row r="778" spans="2:18" x14ac:dyDescent="0.2">
      <c r="B778" s="171">
        <f t="shared" si="257"/>
        <v>245</v>
      </c>
      <c r="C778" s="130"/>
      <c r="D778" s="131"/>
      <c r="E778" s="165"/>
      <c r="F778" s="131" t="s">
        <v>200</v>
      </c>
      <c r="G778" s="194" t="s">
        <v>247</v>
      </c>
      <c r="H778" s="430">
        <f>14413+12266</f>
        <v>26679</v>
      </c>
      <c r="I778" s="430">
        <v>-10456</v>
      </c>
      <c r="J778" s="430">
        <f t="shared" si="272"/>
        <v>16223</v>
      </c>
      <c r="K778" s="339"/>
      <c r="L778" s="399"/>
      <c r="M778" s="399"/>
      <c r="N778" s="399"/>
      <c r="O778" s="339"/>
      <c r="P778" s="168">
        <f t="shared" si="268"/>
        <v>26679</v>
      </c>
      <c r="Q778" s="168">
        <f t="shared" si="269"/>
        <v>-10456</v>
      </c>
      <c r="R778" s="168">
        <f t="shared" si="269"/>
        <v>16223</v>
      </c>
    </row>
    <row r="779" spans="2:18" x14ac:dyDescent="0.2">
      <c r="B779" s="171">
        <f t="shared" si="257"/>
        <v>246</v>
      </c>
      <c r="C779" s="130"/>
      <c r="D779" s="131"/>
      <c r="E779" s="165"/>
      <c r="F779" s="131" t="s">
        <v>214</v>
      </c>
      <c r="G779" s="194" t="s">
        <v>261</v>
      </c>
      <c r="H779" s="430">
        <v>12650</v>
      </c>
      <c r="I779" s="430">
        <v>6174</v>
      </c>
      <c r="J779" s="430">
        <f t="shared" si="272"/>
        <v>18824</v>
      </c>
      <c r="K779" s="339"/>
      <c r="L779" s="399"/>
      <c r="M779" s="399"/>
      <c r="N779" s="399"/>
      <c r="O779" s="339"/>
      <c r="P779" s="168">
        <f t="shared" si="268"/>
        <v>12650</v>
      </c>
      <c r="Q779" s="168">
        <f t="shared" si="269"/>
        <v>6174</v>
      </c>
      <c r="R779" s="168">
        <f t="shared" si="269"/>
        <v>18824</v>
      </c>
    </row>
    <row r="780" spans="2:18" x14ac:dyDescent="0.2">
      <c r="B780" s="171">
        <f t="shared" si="257"/>
        <v>247</v>
      </c>
      <c r="C780" s="130"/>
      <c r="D780" s="131"/>
      <c r="E780" s="165"/>
      <c r="F780" s="131" t="s">
        <v>216</v>
      </c>
      <c r="G780" s="194" t="s">
        <v>248</v>
      </c>
      <c r="H780" s="430">
        <v>17270</v>
      </c>
      <c r="I780" s="430">
        <v>-2220</v>
      </c>
      <c r="J780" s="430">
        <f t="shared" si="272"/>
        <v>15050</v>
      </c>
      <c r="K780" s="339"/>
      <c r="L780" s="399"/>
      <c r="M780" s="399"/>
      <c r="N780" s="399"/>
      <c r="O780" s="339"/>
      <c r="P780" s="168">
        <f t="shared" si="268"/>
        <v>17270</v>
      </c>
      <c r="Q780" s="168">
        <f t="shared" si="269"/>
        <v>-2220</v>
      </c>
      <c r="R780" s="168">
        <f t="shared" si="269"/>
        <v>15050</v>
      </c>
    </row>
    <row r="781" spans="2:18" x14ac:dyDescent="0.2">
      <c r="B781" s="171">
        <f t="shared" si="257"/>
        <v>248</v>
      </c>
      <c r="C781" s="130"/>
      <c r="D781" s="131"/>
      <c r="E781" s="165"/>
      <c r="F781" s="131" t="s">
        <v>218</v>
      </c>
      <c r="G781" s="194" t="s">
        <v>791</v>
      </c>
      <c r="H781" s="430">
        <v>2594</v>
      </c>
      <c r="I781" s="430"/>
      <c r="J781" s="430">
        <f t="shared" si="272"/>
        <v>2594</v>
      </c>
      <c r="K781" s="339"/>
      <c r="L781" s="399"/>
      <c r="M781" s="399"/>
      <c r="N781" s="399"/>
      <c r="O781" s="339"/>
      <c r="P781" s="168">
        <f t="shared" si="268"/>
        <v>2594</v>
      </c>
      <c r="Q781" s="168">
        <f t="shared" ref="Q781:R796" si="273">I781+M781</f>
        <v>0</v>
      </c>
      <c r="R781" s="168">
        <f t="shared" si="273"/>
        <v>2594</v>
      </c>
    </row>
    <row r="782" spans="2:18" x14ac:dyDescent="0.2">
      <c r="B782" s="171">
        <f t="shared" si="257"/>
        <v>249</v>
      </c>
      <c r="C782" s="130"/>
      <c r="D782" s="131"/>
      <c r="E782" s="165"/>
      <c r="F782" s="284" t="s">
        <v>217</v>
      </c>
      <c r="G782" s="199" t="s">
        <v>506</v>
      </c>
      <c r="H782" s="462">
        <v>275</v>
      </c>
      <c r="I782" s="462"/>
      <c r="J782" s="462">
        <f t="shared" si="272"/>
        <v>275</v>
      </c>
      <c r="K782" s="339"/>
      <c r="L782" s="399"/>
      <c r="M782" s="399"/>
      <c r="N782" s="399"/>
      <c r="O782" s="339"/>
      <c r="P782" s="168">
        <f t="shared" si="268"/>
        <v>275</v>
      </c>
      <c r="Q782" s="168">
        <f t="shared" si="273"/>
        <v>0</v>
      </c>
      <c r="R782" s="168">
        <f t="shared" si="273"/>
        <v>275</v>
      </c>
    </row>
    <row r="783" spans="2:18" x14ac:dyDescent="0.2">
      <c r="B783" s="171">
        <f t="shared" si="257"/>
        <v>250</v>
      </c>
      <c r="C783" s="130"/>
      <c r="D783" s="131"/>
      <c r="E783" s="165"/>
      <c r="F783" s="284" t="s">
        <v>217</v>
      </c>
      <c r="G783" s="199" t="s">
        <v>371</v>
      </c>
      <c r="H783" s="462">
        <v>522</v>
      </c>
      <c r="I783" s="462">
        <v>4693</v>
      </c>
      <c r="J783" s="462">
        <f t="shared" si="272"/>
        <v>5215</v>
      </c>
      <c r="K783" s="339"/>
      <c r="L783" s="399"/>
      <c r="M783" s="399"/>
      <c r="N783" s="399"/>
      <c r="O783" s="339"/>
      <c r="P783" s="530">
        <f t="shared" si="268"/>
        <v>522</v>
      </c>
      <c r="Q783" s="530">
        <f t="shared" si="273"/>
        <v>4693</v>
      </c>
      <c r="R783" s="530">
        <f t="shared" si="273"/>
        <v>5215</v>
      </c>
    </row>
    <row r="784" spans="2:18" x14ac:dyDescent="0.2">
      <c r="B784" s="171">
        <f t="shared" si="257"/>
        <v>251</v>
      </c>
      <c r="C784" s="130"/>
      <c r="D784" s="131"/>
      <c r="E784" s="165"/>
      <c r="F784" s="284" t="s">
        <v>432</v>
      </c>
      <c r="G784" s="199" t="s">
        <v>758</v>
      </c>
      <c r="H784" s="462"/>
      <c r="I784" s="462"/>
      <c r="J784" s="462"/>
      <c r="K784" s="339"/>
      <c r="L784" s="529">
        <f>2680+36</f>
        <v>2716</v>
      </c>
      <c r="M784" s="529"/>
      <c r="N784" s="529">
        <f t="shared" si="264"/>
        <v>2716</v>
      </c>
      <c r="O784" s="339"/>
      <c r="P784" s="530">
        <f t="shared" si="268"/>
        <v>2716</v>
      </c>
      <c r="Q784" s="530">
        <f t="shared" si="273"/>
        <v>0</v>
      </c>
      <c r="R784" s="530">
        <f t="shared" si="273"/>
        <v>2716</v>
      </c>
    </row>
    <row r="785" spans="2:18" x14ac:dyDescent="0.2">
      <c r="B785" s="171">
        <f t="shared" si="257"/>
        <v>252</v>
      </c>
      <c r="C785" s="130"/>
      <c r="D785" s="131"/>
      <c r="E785" s="165"/>
      <c r="F785" s="284" t="s">
        <v>321</v>
      </c>
      <c r="G785" s="199" t="s">
        <v>842</v>
      </c>
      <c r="H785" s="462"/>
      <c r="I785" s="462"/>
      <c r="J785" s="462"/>
      <c r="K785" s="339"/>
      <c r="L785" s="402">
        <f>70000+20000</f>
        <v>90000</v>
      </c>
      <c r="M785" s="402"/>
      <c r="N785" s="402">
        <f t="shared" si="264"/>
        <v>90000</v>
      </c>
      <c r="O785" s="339"/>
      <c r="P785" s="530">
        <f t="shared" si="268"/>
        <v>90000</v>
      </c>
      <c r="Q785" s="530">
        <f t="shared" si="273"/>
        <v>0</v>
      </c>
      <c r="R785" s="530">
        <f t="shared" si="273"/>
        <v>90000</v>
      </c>
    </row>
    <row r="786" spans="2:18" ht="15" x14ac:dyDescent="0.25">
      <c r="B786" s="171">
        <f t="shared" si="257"/>
        <v>253</v>
      </c>
      <c r="C786" s="130"/>
      <c r="D786" s="261" t="s">
        <v>8</v>
      </c>
      <c r="E786" s="147" t="s">
        <v>429</v>
      </c>
      <c r="F786" s="147" t="s">
        <v>369</v>
      </c>
      <c r="G786" s="236"/>
      <c r="H786" s="425">
        <f>H787+H799</f>
        <v>950887</v>
      </c>
      <c r="I786" s="425">
        <f t="shared" ref="I786" si="274">I787+I799</f>
        <v>7959</v>
      </c>
      <c r="J786" s="425">
        <f>H786+I786</f>
        <v>958846</v>
      </c>
      <c r="K786" s="132"/>
      <c r="L786" s="858"/>
      <c r="M786" s="858"/>
      <c r="N786" s="858"/>
      <c r="O786" s="132"/>
      <c r="P786" s="330">
        <f t="shared" si="268"/>
        <v>950887</v>
      </c>
      <c r="Q786" s="330">
        <f t="shared" si="273"/>
        <v>7959</v>
      </c>
      <c r="R786" s="330">
        <f t="shared" si="273"/>
        <v>958846</v>
      </c>
    </row>
    <row r="787" spans="2:18" ht="14.25" x14ac:dyDescent="0.2">
      <c r="B787" s="171">
        <f t="shared" si="257"/>
        <v>254</v>
      </c>
      <c r="C787" s="76"/>
      <c r="D787" s="515"/>
      <c r="E787" s="521" t="s">
        <v>428</v>
      </c>
      <c r="F787" s="518" t="s">
        <v>687</v>
      </c>
      <c r="G787" s="517"/>
      <c r="H787" s="519">
        <f>H788+H789+H790+H798</f>
        <v>420125</v>
      </c>
      <c r="I787" s="519">
        <f t="shared" ref="I787" si="275">I788+I789+I790+I798</f>
        <v>3766</v>
      </c>
      <c r="J787" s="519">
        <f>H787+I787</f>
        <v>423891</v>
      </c>
      <c r="K787" s="333"/>
      <c r="L787" s="856"/>
      <c r="M787" s="856"/>
      <c r="N787" s="856"/>
      <c r="O787" s="333"/>
      <c r="P787" s="520">
        <f t="shared" si="268"/>
        <v>420125</v>
      </c>
      <c r="Q787" s="520">
        <f t="shared" si="273"/>
        <v>3766</v>
      </c>
      <c r="R787" s="520">
        <f t="shared" si="273"/>
        <v>423891</v>
      </c>
    </row>
    <row r="788" spans="2:18" x14ac:dyDescent="0.2">
      <c r="B788" s="171">
        <f t="shared" si="257"/>
        <v>255</v>
      </c>
      <c r="C788" s="130"/>
      <c r="D788" s="131"/>
      <c r="E788" s="131"/>
      <c r="F788" s="144" t="s">
        <v>211</v>
      </c>
      <c r="G788" s="199" t="s">
        <v>505</v>
      </c>
      <c r="H788" s="529">
        <f>234360+12900</f>
        <v>247260</v>
      </c>
      <c r="I788" s="529">
        <v>16840</v>
      </c>
      <c r="J788" s="529">
        <f>H788+I788</f>
        <v>264100</v>
      </c>
      <c r="K788" s="339"/>
      <c r="L788" s="434"/>
      <c r="M788" s="434"/>
      <c r="N788" s="434"/>
      <c r="O788" s="339"/>
      <c r="P788" s="166">
        <f t="shared" si="268"/>
        <v>247260</v>
      </c>
      <c r="Q788" s="166">
        <f t="shared" si="273"/>
        <v>16840</v>
      </c>
      <c r="R788" s="166">
        <f t="shared" si="273"/>
        <v>264100</v>
      </c>
    </row>
    <row r="789" spans="2:18" x14ac:dyDescent="0.2">
      <c r="B789" s="171">
        <f t="shared" si="257"/>
        <v>256</v>
      </c>
      <c r="C789" s="130"/>
      <c r="D789" s="131"/>
      <c r="E789" s="131"/>
      <c r="F789" s="144" t="s">
        <v>212</v>
      </c>
      <c r="G789" s="199" t="s">
        <v>259</v>
      </c>
      <c r="H789" s="529">
        <f>85990+5000</f>
        <v>90990</v>
      </c>
      <c r="I789" s="529">
        <v>4855</v>
      </c>
      <c r="J789" s="529">
        <f t="shared" ref="J789:J798" si="276">H789+I789</f>
        <v>95845</v>
      </c>
      <c r="K789" s="339"/>
      <c r="L789" s="434"/>
      <c r="M789" s="434"/>
      <c r="N789" s="434"/>
      <c r="O789" s="339"/>
      <c r="P789" s="166">
        <f t="shared" si="268"/>
        <v>90990</v>
      </c>
      <c r="Q789" s="166">
        <f t="shared" si="273"/>
        <v>4855</v>
      </c>
      <c r="R789" s="166">
        <f t="shared" si="273"/>
        <v>95845</v>
      </c>
    </row>
    <row r="790" spans="2:18" x14ac:dyDescent="0.2">
      <c r="B790" s="171">
        <f t="shared" si="257"/>
        <v>257</v>
      </c>
      <c r="C790" s="130"/>
      <c r="D790" s="131"/>
      <c r="E790" s="131"/>
      <c r="F790" s="144" t="s">
        <v>218</v>
      </c>
      <c r="G790" s="199" t="s">
        <v>340</v>
      </c>
      <c r="H790" s="529">
        <f>SUM(H791:H797)</f>
        <v>72885</v>
      </c>
      <c r="I790" s="529">
        <f>SUM(I791:I797)</f>
        <v>-16039</v>
      </c>
      <c r="J790" s="529">
        <f t="shared" si="276"/>
        <v>56846</v>
      </c>
      <c r="K790" s="339"/>
      <c r="L790" s="434"/>
      <c r="M790" s="434"/>
      <c r="N790" s="434"/>
      <c r="O790" s="339"/>
      <c r="P790" s="166">
        <f t="shared" si="268"/>
        <v>72885</v>
      </c>
      <c r="Q790" s="166">
        <f t="shared" si="273"/>
        <v>-16039</v>
      </c>
      <c r="R790" s="166">
        <f t="shared" si="273"/>
        <v>56846</v>
      </c>
    </row>
    <row r="791" spans="2:18" x14ac:dyDescent="0.2">
      <c r="B791" s="171">
        <f t="shared" si="257"/>
        <v>258</v>
      </c>
      <c r="C791" s="130"/>
      <c r="D791" s="131"/>
      <c r="E791" s="131"/>
      <c r="F791" s="131" t="s">
        <v>213</v>
      </c>
      <c r="G791" s="194" t="s">
        <v>255</v>
      </c>
      <c r="H791" s="399">
        <v>270</v>
      </c>
      <c r="I791" s="399">
        <v>-270</v>
      </c>
      <c r="J791" s="399">
        <f t="shared" si="276"/>
        <v>0</v>
      </c>
      <c r="K791" s="339"/>
      <c r="L791" s="434"/>
      <c r="M791" s="434"/>
      <c r="N791" s="434"/>
      <c r="O791" s="339"/>
      <c r="P791" s="167">
        <f t="shared" si="268"/>
        <v>270</v>
      </c>
      <c r="Q791" s="167">
        <f t="shared" si="273"/>
        <v>-270</v>
      </c>
      <c r="R791" s="167">
        <f t="shared" si="273"/>
        <v>0</v>
      </c>
    </row>
    <row r="792" spans="2:18" x14ac:dyDescent="0.2">
      <c r="B792" s="171">
        <f t="shared" si="257"/>
        <v>259</v>
      </c>
      <c r="C792" s="130"/>
      <c r="D792" s="131"/>
      <c r="E792" s="131"/>
      <c r="F792" s="131" t="s">
        <v>199</v>
      </c>
      <c r="G792" s="194" t="s">
        <v>318</v>
      </c>
      <c r="H792" s="399">
        <v>25425</v>
      </c>
      <c r="I792" s="399">
        <v>-3159</v>
      </c>
      <c r="J792" s="399">
        <f t="shared" si="276"/>
        <v>22266</v>
      </c>
      <c r="K792" s="339"/>
      <c r="L792" s="434"/>
      <c r="M792" s="434"/>
      <c r="N792" s="434"/>
      <c r="O792" s="339"/>
      <c r="P792" s="167">
        <f t="shared" si="268"/>
        <v>25425</v>
      </c>
      <c r="Q792" s="167">
        <f t="shared" si="273"/>
        <v>-3159</v>
      </c>
      <c r="R792" s="167">
        <f t="shared" si="273"/>
        <v>22266</v>
      </c>
    </row>
    <row r="793" spans="2:18" x14ac:dyDescent="0.2">
      <c r="B793" s="171">
        <f t="shared" si="257"/>
        <v>260</v>
      </c>
      <c r="C793" s="130"/>
      <c r="D793" s="131"/>
      <c r="E793" s="131"/>
      <c r="F793" s="131" t="s">
        <v>200</v>
      </c>
      <c r="G793" s="194" t="s">
        <v>247</v>
      </c>
      <c r="H793" s="399">
        <v>13320</v>
      </c>
      <c r="I793" s="399">
        <v>-1500</v>
      </c>
      <c r="J793" s="399">
        <f t="shared" si="276"/>
        <v>11820</v>
      </c>
      <c r="K793" s="339"/>
      <c r="L793" s="434"/>
      <c r="M793" s="434"/>
      <c r="N793" s="434"/>
      <c r="O793" s="339"/>
      <c r="P793" s="167">
        <f t="shared" si="268"/>
        <v>13320</v>
      </c>
      <c r="Q793" s="167">
        <f t="shared" si="273"/>
        <v>-1500</v>
      </c>
      <c r="R793" s="167">
        <f t="shared" si="273"/>
        <v>11820</v>
      </c>
    </row>
    <row r="794" spans="2:18" x14ac:dyDescent="0.2">
      <c r="B794" s="171">
        <f t="shared" si="257"/>
        <v>261</v>
      </c>
      <c r="C794" s="130"/>
      <c r="D794" s="131"/>
      <c r="E794" s="131"/>
      <c r="F794" s="131" t="s">
        <v>201</v>
      </c>
      <c r="G794" s="194" t="s">
        <v>260</v>
      </c>
      <c r="H794" s="399">
        <v>110</v>
      </c>
      <c r="I794" s="399">
        <v>-110</v>
      </c>
      <c r="J794" s="399">
        <f t="shared" si="276"/>
        <v>0</v>
      </c>
      <c r="K794" s="339"/>
      <c r="L794" s="434"/>
      <c r="M794" s="434"/>
      <c r="N794" s="434"/>
      <c r="O794" s="339"/>
      <c r="P794" s="167">
        <f t="shared" si="268"/>
        <v>110</v>
      </c>
      <c r="Q794" s="167">
        <f t="shared" si="273"/>
        <v>-110</v>
      </c>
      <c r="R794" s="167">
        <f t="shared" si="273"/>
        <v>0</v>
      </c>
    </row>
    <row r="795" spans="2:18" x14ac:dyDescent="0.2">
      <c r="B795" s="171">
        <f t="shared" si="257"/>
        <v>262</v>
      </c>
      <c r="C795" s="130"/>
      <c r="D795" s="131"/>
      <c r="E795" s="131"/>
      <c r="F795" s="131" t="s">
        <v>214</v>
      </c>
      <c r="G795" s="194" t="s">
        <v>261</v>
      </c>
      <c r="H795" s="399">
        <f>12270+7000</f>
        <v>19270</v>
      </c>
      <c r="I795" s="399">
        <v>-12000</v>
      </c>
      <c r="J795" s="399">
        <f t="shared" si="276"/>
        <v>7270</v>
      </c>
      <c r="K795" s="339"/>
      <c r="L795" s="434"/>
      <c r="M795" s="434"/>
      <c r="N795" s="434"/>
      <c r="O795" s="339"/>
      <c r="P795" s="167">
        <f t="shared" si="268"/>
        <v>19270</v>
      </c>
      <c r="Q795" s="167">
        <f t="shared" si="273"/>
        <v>-12000</v>
      </c>
      <c r="R795" s="167">
        <f t="shared" si="273"/>
        <v>7270</v>
      </c>
    </row>
    <row r="796" spans="2:18" x14ac:dyDescent="0.2">
      <c r="B796" s="171">
        <f t="shared" si="257"/>
        <v>263</v>
      </c>
      <c r="C796" s="130"/>
      <c r="D796" s="131"/>
      <c r="E796" s="131"/>
      <c r="F796" s="131" t="s">
        <v>215</v>
      </c>
      <c r="G796" s="194" t="s">
        <v>370</v>
      </c>
      <c r="H796" s="430">
        <v>1035</v>
      </c>
      <c r="I796" s="430">
        <v>1000</v>
      </c>
      <c r="J796" s="399">
        <f t="shared" si="276"/>
        <v>2035</v>
      </c>
      <c r="K796" s="340"/>
      <c r="L796" s="399"/>
      <c r="M796" s="399"/>
      <c r="N796" s="399"/>
      <c r="O796" s="340"/>
      <c r="P796" s="168">
        <f t="shared" si="268"/>
        <v>1035</v>
      </c>
      <c r="Q796" s="168">
        <f t="shared" si="273"/>
        <v>1000</v>
      </c>
      <c r="R796" s="168">
        <f t="shared" si="273"/>
        <v>2035</v>
      </c>
    </row>
    <row r="797" spans="2:18" x14ac:dyDescent="0.2">
      <c r="B797" s="171">
        <f t="shared" si="257"/>
        <v>264</v>
      </c>
      <c r="C797" s="130"/>
      <c r="D797" s="131"/>
      <c r="E797" s="131"/>
      <c r="F797" s="131" t="s">
        <v>216</v>
      </c>
      <c r="G797" s="194" t="s">
        <v>248</v>
      </c>
      <c r="H797" s="399">
        <v>13455</v>
      </c>
      <c r="I797" s="399"/>
      <c r="J797" s="399">
        <f t="shared" si="276"/>
        <v>13455</v>
      </c>
      <c r="K797" s="340"/>
      <c r="L797" s="399"/>
      <c r="M797" s="399"/>
      <c r="N797" s="399"/>
      <c r="O797" s="340"/>
      <c r="P797" s="168">
        <f t="shared" ref="P797:P832" si="277">H797+L797</f>
        <v>13455</v>
      </c>
      <c r="Q797" s="168">
        <f t="shared" ref="Q797:R812" si="278">I797+M797</f>
        <v>0</v>
      </c>
      <c r="R797" s="168">
        <f t="shared" si="278"/>
        <v>13455</v>
      </c>
    </row>
    <row r="798" spans="2:18" x14ac:dyDescent="0.2">
      <c r="B798" s="171">
        <f t="shared" si="257"/>
        <v>265</v>
      </c>
      <c r="C798" s="130"/>
      <c r="D798" s="131"/>
      <c r="E798" s="169"/>
      <c r="F798" s="144" t="s">
        <v>217</v>
      </c>
      <c r="G798" s="199" t="s">
        <v>371</v>
      </c>
      <c r="H798" s="529">
        <f>8490+500</f>
        <v>8990</v>
      </c>
      <c r="I798" s="529">
        <v>-1890</v>
      </c>
      <c r="J798" s="529">
        <f t="shared" si="276"/>
        <v>7100</v>
      </c>
      <c r="K798" s="341"/>
      <c r="L798" s="529"/>
      <c r="M798" s="529"/>
      <c r="N798" s="529"/>
      <c r="O798" s="341"/>
      <c r="P798" s="530">
        <f t="shared" si="277"/>
        <v>8990</v>
      </c>
      <c r="Q798" s="530">
        <f t="shared" si="278"/>
        <v>-1890</v>
      </c>
      <c r="R798" s="530">
        <f t="shared" si="278"/>
        <v>7100</v>
      </c>
    </row>
    <row r="799" spans="2:18" ht="14.25" x14ac:dyDescent="0.2">
      <c r="B799" s="171">
        <f t="shared" si="257"/>
        <v>266</v>
      </c>
      <c r="C799" s="130"/>
      <c r="D799" s="131"/>
      <c r="E799" s="521" t="s">
        <v>685</v>
      </c>
      <c r="F799" s="518" t="s">
        <v>686</v>
      </c>
      <c r="G799" s="515"/>
      <c r="H799" s="522">
        <f>H800+H801+H802+H810</f>
        <v>530762</v>
      </c>
      <c r="I799" s="522">
        <f t="shared" ref="I799" si="279">I800+I801+I802+I810</f>
        <v>4193</v>
      </c>
      <c r="J799" s="522">
        <f>H799+I799</f>
        <v>534955</v>
      </c>
      <c r="K799" s="339"/>
      <c r="L799" s="856"/>
      <c r="M799" s="856"/>
      <c r="N799" s="856"/>
      <c r="O799" s="339"/>
      <c r="P799" s="520">
        <f t="shared" si="277"/>
        <v>530762</v>
      </c>
      <c r="Q799" s="520">
        <f t="shared" si="278"/>
        <v>4193</v>
      </c>
      <c r="R799" s="520">
        <f t="shared" si="278"/>
        <v>534955</v>
      </c>
    </row>
    <row r="800" spans="2:18" x14ac:dyDescent="0.2">
      <c r="B800" s="171">
        <f t="shared" si="257"/>
        <v>267</v>
      </c>
      <c r="C800" s="130"/>
      <c r="D800" s="131"/>
      <c r="E800" s="165"/>
      <c r="F800" s="144" t="s">
        <v>211</v>
      </c>
      <c r="G800" s="199" t="s">
        <v>505</v>
      </c>
      <c r="H800" s="462">
        <f>289990+22123-3550</f>
        <v>308563</v>
      </c>
      <c r="I800" s="462">
        <v>18947</v>
      </c>
      <c r="J800" s="462">
        <f>H800+I800</f>
        <v>327510</v>
      </c>
      <c r="K800" s="339"/>
      <c r="L800" s="399"/>
      <c r="M800" s="399"/>
      <c r="N800" s="399"/>
      <c r="O800" s="339"/>
      <c r="P800" s="530">
        <f t="shared" si="277"/>
        <v>308563</v>
      </c>
      <c r="Q800" s="530">
        <f t="shared" si="278"/>
        <v>18947</v>
      </c>
      <c r="R800" s="530">
        <f t="shared" si="278"/>
        <v>327510</v>
      </c>
    </row>
    <row r="801" spans="2:18" x14ac:dyDescent="0.2">
      <c r="B801" s="171">
        <f t="shared" si="257"/>
        <v>268</v>
      </c>
      <c r="C801" s="130"/>
      <c r="D801" s="131"/>
      <c r="E801" s="165"/>
      <c r="F801" s="144" t="s">
        <v>212</v>
      </c>
      <c r="G801" s="199" t="s">
        <v>259</v>
      </c>
      <c r="H801" s="462">
        <f>106345+6746</f>
        <v>113091</v>
      </c>
      <c r="I801" s="462">
        <v>5514</v>
      </c>
      <c r="J801" s="462">
        <f t="shared" ref="J801:J810" si="280">H801+I801</f>
        <v>118605</v>
      </c>
      <c r="K801" s="339"/>
      <c r="L801" s="399"/>
      <c r="M801" s="399"/>
      <c r="N801" s="399"/>
      <c r="O801" s="339"/>
      <c r="P801" s="530">
        <f t="shared" si="277"/>
        <v>113091</v>
      </c>
      <c r="Q801" s="530">
        <f t="shared" si="278"/>
        <v>5514</v>
      </c>
      <c r="R801" s="530">
        <f t="shared" si="278"/>
        <v>118605</v>
      </c>
    </row>
    <row r="802" spans="2:18" x14ac:dyDescent="0.2">
      <c r="B802" s="171">
        <f t="shared" si="257"/>
        <v>269</v>
      </c>
      <c r="C802" s="130"/>
      <c r="D802" s="131"/>
      <c r="E802" s="165"/>
      <c r="F802" s="144" t="s">
        <v>218</v>
      </c>
      <c r="G802" s="199" t="s">
        <v>340</v>
      </c>
      <c r="H802" s="529">
        <f>SUM(H803:H809)</f>
        <v>98068</v>
      </c>
      <c r="I802" s="529">
        <f>SUM(I803:I809)</f>
        <v>-20934</v>
      </c>
      <c r="J802" s="462">
        <f t="shared" si="280"/>
        <v>77134</v>
      </c>
      <c r="K802" s="339"/>
      <c r="L802" s="399"/>
      <c r="M802" s="399"/>
      <c r="N802" s="399"/>
      <c r="O802" s="339"/>
      <c r="P802" s="530">
        <f t="shared" si="277"/>
        <v>98068</v>
      </c>
      <c r="Q802" s="530">
        <f t="shared" si="278"/>
        <v>-20934</v>
      </c>
      <c r="R802" s="530">
        <f t="shared" si="278"/>
        <v>77134</v>
      </c>
    </row>
    <row r="803" spans="2:18" x14ac:dyDescent="0.2">
      <c r="B803" s="171">
        <f t="shared" ref="B803:B867" si="281">B802+1</f>
        <v>270</v>
      </c>
      <c r="C803" s="130"/>
      <c r="D803" s="131"/>
      <c r="E803" s="165"/>
      <c r="F803" s="131" t="s">
        <v>213</v>
      </c>
      <c r="G803" s="194" t="s">
        <v>255</v>
      </c>
      <c r="H803" s="430">
        <v>330</v>
      </c>
      <c r="I803" s="430"/>
      <c r="J803" s="430">
        <f t="shared" si="280"/>
        <v>330</v>
      </c>
      <c r="K803" s="339"/>
      <c r="L803" s="399"/>
      <c r="M803" s="399"/>
      <c r="N803" s="399"/>
      <c r="O803" s="339"/>
      <c r="P803" s="168">
        <f t="shared" si="277"/>
        <v>330</v>
      </c>
      <c r="Q803" s="168">
        <f t="shared" si="278"/>
        <v>0</v>
      </c>
      <c r="R803" s="168">
        <f t="shared" si="278"/>
        <v>330</v>
      </c>
    </row>
    <row r="804" spans="2:18" x14ac:dyDescent="0.2">
      <c r="B804" s="171">
        <f t="shared" si="281"/>
        <v>271</v>
      </c>
      <c r="C804" s="130"/>
      <c r="D804" s="131"/>
      <c r="E804" s="165"/>
      <c r="F804" s="131" t="s">
        <v>199</v>
      </c>
      <c r="G804" s="194" t="s">
        <v>318</v>
      </c>
      <c r="H804" s="430">
        <v>31075</v>
      </c>
      <c r="I804" s="430">
        <v>-6549</v>
      </c>
      <c r="J804" s="430">
        <f t="shared" si="280"/>
        <v>24526</v>
      </c>
      <c r="K804" s="339"/>
      <c r="L804" s="399"/>
      <c r="M804" s="399"/>
      <c r="N804" s="399"/>
      <c r="O804" s="339"/>
      <c r="P804" s="168">
        <f t="shared" si="277"/>
        <v>31075</v>
      </c>
      <c r="Q804" s="168">
        <f t="shared" si="278"/>
        <v>-6549</v>
      </c>
      <c r="R804" s="168">
        <f t="shared" si="278"/>
        <v>24526</v>
      </c>
    </row>
    <row r="805" spans="2:18" x14ac:dyDescent="0.2">
      <c r="B805" s="171">
        <f t="shared" si="281"/>
        <v>272</v>
      </c>
      <c r="C805" s="130"/>
      <c r="D805" s="131"/>
      <c r="E805" s="165"/>
      <c r="F805" s="131" t="s">
        <v>200</v>
      </c>
      <c r="G805" s="194" t="s">
        <v>247</v>
      </c>
      <c r="H805" s="430">
        <v>16485</v>
      </c>
      <c r="I805" s="430">
        <v>615</v>
      </c>
      <c r="J805" s="430">
        <f t="shared" si="280"/>
        <v>17100</v>
      </c>
      <c r="K805" s="339"/>
      <c r="L805" s="399"/>
      <c r="M805" s="399"/>
      <c r="N805" s="399"/>
      <c r="O805" s="339"/>
      <c r="P805" s="168">
        <f t="shared" si="277"/>
        <v>16485</v>
      </c>
      <c r="Q805" s="168">
        <f t="shared" si="278"/>
        <v>615</v>
      </c>
      <c r="R805" s="168">
        <f t="shared" si="278"/>
        <v>17100</v>
      </c>
    </row>
    <row r="806" spans="2:18" x14ac:dyDescent="0.2">
      <c r="B806" s="171">
        <f t="shared" si="281"/>
        <v>273</v>
      </c>
      <c r="C806" s="130"/>
      <c r="D806" s="131"/>
      <c r="E806" s="165"/>
      <c r="F806" s="131" t="s">
        <v>201</v>
      </c>
      <c r="G806" s="194" t="s">
        <v>260</v>
      </c>
      <c r="H806" s="430">
        <v>140</v>
      </c>
      <c r="I806" s="430"/>
      <c r="J806" s="430">
        <f t="shared" si="280"/>
        <v>140</v>
      </c>
      <c r="K806" s="339"/>
      <c r="L806" s="399"/>
      <c r="M806" s="399"/>
      <c r="N806" s="399"/>
      <c r="O806" s="339"/>
      <c r="P806" s="168">
        <f t="shared" si="277"/>
        <v>140</v>
      </c>
      <c r="Q806" s="168">
        <f t="shared" si="278"/>
        <v>0</v>
      </c>
      <c r="R806" s="168">
        <f t="shared" si="278"/>
        <v>140</v>
      </c>
    </row>
    <row r="807" spans="2:18" x14ac:dyDescent="0.2">
      <c r="B807" s="171">
        <f t="shared" si="281"/>
        <v>274</v>
      </c>
      <c r="C807" s="130"/>
      <c r="D807" s="131"/>
      <c r="E807" s="165"/>
      <c r="F807" s="131" t="s">
        <v>214</v>
      </c>
      <c r="G807" s="194" t="s">
        <v>261</v>
      </c>
      <c r="H807" s="430">
        <f>17630+10148</f>
        <v>27778</v>
      </c>
      <c r="I807" s="430">
        <v>-15000</v>
      </c>
      <c r="J807" s="430">
        <f t="shared" si="280"/>
        <v>12778</v>
      </c>
      <c r="K807" s="339"/>
      <c r="L807" s="399"/>
      <c r="M807" s="399"/>
      <c r="N807" s="399"/>
      <c r="O807" s="339"/>
      <c r="P807" s="168">
        <f t="shared" si="277"/>
        <v>27778</v>
      </c>
      <c r="Q807" s="168">
        <f t="shared" si="278"/>
        <v>-15000</v>
      </c>
      <c r="R807" s="168">
        <f t="shared" si="278"/>
        <v>12778</v>
      </c>
    </row>
    <row r="808" spans="2:18" x14ac:dyDescent="0.2">
      <c r="B808" s="171">
        <f t="shared" si="281"/>
        <v>275</v>
      </c>
      <c r="C808" s="130"/>
      <c r="D808" s="131"/>
      <c r="E808" s="165"/>
      <c r="F808" s="131" t="s">
        <v>215</v>
      </c>
      <c r="G808" s="194" t="s">
        <v>634</v>
      </c>
      <c r="H808" s="430">
        <v>1265</v>
      </c>
      <c r="I808" s="430"/>
      <c r="J808" s="430">
        <f t="shared" si="280"/>
        <v>1265</v>
      </c>
      <c r="K808" s="339"/>
      <c r="L808" s="399"/>
      <c r="M808" s="399"/>
      <c r="N808" s="399"/>
      <c r="O808" s="339"/>
      <c r="P808" s="168">
        <f t="shared" si="277"/>
        <v>1265</v>
      </c>
      <c r="Q808" s="168">
        <f t="shared" si="278"/>
        <v>0</v>
      </c>
      <c r="R808" s="168">
        <f t="shared" si="278"/>
        <v>1265</v>
      </c>
    </row>
    <row r="809" spans="2:18" x14ac:dyDescent="0.2">
      <c r="B809" s="171">
        <f t="shared" si="281"/>
        <v>276</v>
      </c>
      <c r="C809" s="130"/>
      <c r="D809" s="131"/>
      <c r="E809" s="165"/>
      <c r="F809" s="131" t="s">
        <v>216</v>
      </c>
      <c r="G809" s="194" t="s">
        <v>248</v>
      </c>
      <c r="H809" s="430">
        <f>17445+3550</f>
        <v>20995</v>
      </c>
      <c r="I809" s="430"/>
      <c r="J809" s="430">
        <f t="shared" si="280"/>
        <v>20995</v>
      </c>
      <c r="K809" s="339"/>
      <c r="L809" s="399"/>
      <c r="M809" s="399"/>
      <c r="N809" s="399"/>
      <c r="O809" s="339"/>
      <c r="P809" s="168">
        <f t="shared" si="277"/>
        <v>20995</v>
      </c>
      <c r="Q809" s="168">
        <f t="shared" si="278"/>
        <v>0</v>
      </c>
      <c r="R809" s="168">
        <f t="shared" si="278"/>
        <v>20995</v>
      </c>
    </row>
    <row r="810" spans="2:18" x14ac:dyDescent="0.2">
      <c r="B810" s="171">
        <f t="shared" si="281"/>
        <v>277</v>
      </c>
      <c r="C810" s="130"/>
      <c r="D810" s="131"/>
      <c r="E810" s="165"/>
      <c r="F810" s="284" t="s">
        <v>217</v>
      </c>
      <c r="G810" s="199" t="s">
        <v>371</v>
      </c>
      <c r="H810" s="462">
        <f>10390+650</f>
        <v>11040</v>
      </c>
      <c r="I810" s="462">
        <v>666</v>
      </c>
      <c r="J810" s="462">
        <f t="shared" si="280"/>
        <v>11706</v>
      </c>
      <c r="K810" s="339"/>
      <c r="L810" s="399"/>
      <c r="M810" s="399"/>
      <c r="N810" s="399"/>
      <c r="O810" s="339"/>
      <c r="P810" s="530">
        <f t="shared" si="277"/>
        <v>11040</v>
      </c>
      <c r="Q810" s="530">
        <f t="shared" si="278"/>
        <v>666</v>
      </c>
      <c r="R810" s="530">
        <f t="shared" si="278"/>
        <v>11706</v>
      </c>
    </row>
    <row r="811" spans="2:18" ht="15" x14ac:dyDescent="0.25">
      <c r="B811" s="171">
        <f t="shared" si="281"/>
        <v>278</v>
      </c>
      <c r="C811" s="130"/>
      <c r="D811" s="261" t="s">
        <v>169</v>
      </c>
      <c r="E811" s="147" t="s">
        <v>429</v>
      </c>
      <c r="F811" s="147" t="s">
        <v>372</v>
      </c>
      <c r="G811" s="236"/>
      <c r="H811" s="425">
        <f>H812+H822</f>
        <v>529350</v>
      </c>
      <c r="I811" s="425">
        <f t="shared" ref="I811" si="282">I812+I822</f>
        <v>9921</v>
      </c>
      <c r="J811" s="425">
        <f>H811+I811</f>
        <v>539271</v>
      </c>
      <c r="K811" s="342"/>
      <c r="L811" s="849">
        <f>L812+L822</f>
        <v>34000</v>
      </c>
      <c r="M811" s="849">
        <f t="shared" ref="M811" si="283">M812+M822</f>
        <v>0</v>
      </c>
      <c r="N811" s="849">
        <f t="shared" ref="N811:N834" si="284">L811+M811</f>
        <v>34000</v>
      </c>
      <c r="O811" s="342"/>
      <c r="P811" s="330">
        <f t="shared" si="277"/>
        <v>563350</v>
      </c>
      <c r="Q811" s="330">
        <f t="shared" si="278"/>
        <v>9921</v>
      </c>
      <c r="R811" s="330">
        <f t="shared" si="278"/>
        <v>573271</v>
      </c>
    </row>
    <row r="812" spans="2:18" ht="14.25" x14ac:dyDescent="0.2">
      <c r="B812" s="171">
        <f t="shared" si="281"/>
        <v>279</v>
      </c>
      <c r="C812" s="76"/>
      <c r="D812" s="515"/>
      <c r="E812" s="521" t="s">
        <v>428</v>
      </c>
      <c r="F812" s="518" t="s">
        <v>687</v>
      </c>
      <c r="G812" s="517"/>
      <c r="H812" s="519">
        <f>H813+H814+H815+H821</f>
        <v>247960</v>
      </c>
      <c r="I812" s="519">
        <f t="shared" ref="I812" si="285">I813+I814+I815+I821</f>
        <v>3799</v>
      </c>
      <c r="J812" s="519">
        <f>H812+I812</f>
        <v>251759</v>
      </c>
      <c r="K812" s="333"/>
      <c r="L812" s="856"/>
      <c r="M812" s="856"/>
      <c r="N812" s="856"/>
      <c r="O812" s="333"/>
      <c r="P812" s="520">
        <f t="shared" si="277"/>
        <v>247960</v>
      </c>
      <c r="Q812" s="520">
        <f t="shared" si="278"/>
        <v>3799</v>
      </c>
      <c r="R812" s="520">
        <f t="shared" si="278"/>
        <v>251759</v>
      </c>
    </row>
    <row r="813" spans="2:18" x14ac:dyDescent="0.2">
      <c r="B813" s="171">
        <f t="shared" si="281"/>
        <v>280</v>
      </c>
      <c r="C813" s="130"/>
      <c r="D813" s="131"/>
      <c r="E813" s="131"/>
      <c r="F813" s="144" t="s">
        <v>211</v>
      </c>
      <c r="G813" s="199" t="s">
        <v>505</v>
      </c>
      <c r="H813" s="529">
        <f>141040+6050</f>
        <v>147090</v>
      </c>
      <c r="I813" s="529">
        <v>8147</v>
      </c>
      <c r="J813" s="529">
        <f>H813+I813</f>
        <v>155237</v>
      </c>
      <c r="K813" s="339"/>
      <c r="L813" s="434"/>
      <c r="M813" s="434"/>
      <c r="N813" s="434"/>
      <c r="O813" s="339"/>
      <c r="P813" s="166">
        <f t="shared" si="277"/>
        <v>147090</v>
      </c>
      <c r="Q813" s="166">
        <f t="shared" ref="Q813:R828" si="286">I813+M813</f>
        <v>8147</v>
      </c>
      <c r="R813" s="166">
        <f t="shared" si="286"/>
        <v>155237</v>
      </c>
    </row>
    <row r="814" spans="2:18" x14ac:dyDescent="0.2">
      <c r="B814" s="171">
        <f t="shared" si="281"/>
        <v>281</v>
      </c>
      <c r="C814" s="130"/>
      <c r="D814" s="131"/>
      <c r="E814" s="131"/>
      <c r="F814" s="144" t="s">
        <v>212</v>
      </c>
      <c r="G814" s="199" t="s">
        <v>259</v>
      </c>
      <c r="H814" s="529">
        <f>50327+1356</f>
        <v>51683</v>
      </c>
      <c r="I814" s="529">
        <v>3607</v>
      </c>
      <c r="J814" s="529">
        <f t="shared" ref="J814:J878" si="287">H814+I814</f>
        <v>55290</v>
      </c>
      <c r="K814" s="339"/>
      <c r="L814" s="434"/>
      <c r="M814" s="434"/>
      <c r="N814" s="434"/>
      <c r="O814" s="339"/>
      <c r="P814" s="166">
        <f t="shared" si="277"/>
        <v>51683</v>
      </c>
      <c r="Q814" s="166">
        <f t="shared" si="286"/>
        <v>3607</v>
      </c>
      <c r="R814" s="166">
        <f t="shared" si="286"/>
        <v>55290</v>
      </c>
    </row>
    <row r="815" spans="2:18" x14ac:dyDescent="0.2">
      <c r="B815" s="171">
        <f t="shared" si="281"/>
        <v>282</v>
      </c>
      <c r="C815" s="130"/>
      <c r="D815" s="131"/>
      <c r="E815" s="131"/>
      <c r="F815" s="144" t="s">
        <v>218</v>
      </c>
      <c r="G815" s="199" t="s">
        <v>340</v>
      </c>
      <c r="H815" s="529">
        <f>SUM(H816:H820)</f>
        <v>46437</v>
      </c>
      <c r="I815" s="529">
        <f>SUM(I816:I820)</f>
        <v>-7547</v>
      </c>
      <c r="J815" s="529">
        <f t="shared" si="287"/>
        <v>38890</v>
      </c>
      <c r="K815" s="339"/>
      <c r="L815" s="434"/>
      <c r="M815" s="434"/>
      <c r="N815" s="434"/>
      <c r="O815" s="339"/>
      <c r="P815" s="166">
        <f t="shared" si="277"/>
        <v>46437</v>
      </c>
      <c r="Q815" s="166">
        <f t="shared" si="286"/>
        <v>-7547</v>
      </c>
      <c r="R815" s="166">
        <f t="shared" si="286"/>
        <v>38890</v>
      </c>
    </row>
    <row r="816" spans="2:18" x14ac:dyDescent="0.2">
      <c r="B816" s="171">
        <f t="shared" si="281"/>
        <v>283</v>
      </c>
      <c r="C816" s="130"/>
      <c r="D816" s="131"/>
      <c r="E816" s="131"/>
      <c r="F816" s="131" t="s">
        <v>213</v>
      </c>
      <c r="G816" s="194" t="s">
        <v>255</v>
      </c>
      <c r="H816" s="399">
        <v>25</v>
      </c>
      <c r="I816" s="399">
        <v>61</v>
      </c>
      <c r="J816" s="399">
        <f t="shared" si="287"/>
        <v>86</v>
      </c>
      <c r="K816" s="339"/>
      <c r="L816" s="434"/>
      <c r="M816" s="434"/>
      <c r="N816" s="434"/>
      <c r="O816" s="339"/>
      <c r="P816" s="167">
        <f t="shared" si="277"/>
        <v>25</v>
      </c>
      <c r="Q816" s="167">
        <f t="shared" si="286"/>
        <v>61</v>
      </c>
      <c r="R816" s="167">
        <f t="shared" si="286"/>
        <v>86</v>
      </c>
    </row>
    <row r="817" spans="2:18" x14ac:dyDescent="0.2">
      <c r="B817" s="171">
        <f t="shared" si="281"/>
        <v>284</v>
      </c>
      <c r="C817" s="130"/>
      <c r="D817" s="131"/>
      <c r="E817" s="131"/>
      <c r="F817" s="131" t="s">
        <v>199</v>
      </c>
      <c r="G817" s="194" t="s">
        <v>318</v>
      </c>
      <c r="H817" s="399">
        <v>21550</v>
      </c>
      <c r="I817" s="399">
        <v>-8578</v>
      </c>
      <c r="J817" s="399">
        <f t="shared" si="287"/>
        <v>12972</v>
      </c>
      <c r="K817" s="339"/>
      <c r="L817" s="434"/>
      <c r="M817" s="434"/>
      <c r="N817" s="434"/>
      <c r="O817" s="339"/>
      <c r="P817" s="167">
        <f t="shared" si="277"/>
        <v>21550</v>
      </c>
      <c r="Q817" s="167">
        <f t="shared" si="286"/>
        <v>-8578</v>
      </c>
      <c r="R817" s="167">
        <f t="shared" si="286"/>
        <v>12972</v>
      </c>
    </row>
    <row r="818" spans="2:18" x14ac:dyDescent="0.2">
      <c r="B818" s="171">
        <f t="shared" si="281"/>
        <v>285</v>
      </c>
      <c r="C818" s="130"/>
      <c r="D818" s="131"/>
      <c r="E818" s="131"/>
      <c r="F818" s="131" t="s">
        <v>200</v>
      </c>
      <c r="G818" s="194" t="s">
        <v>247</v>
      </c>
      <c r="H818" s="399">
        <v>9660</v>
      </c>
      <c r="I818" s="399">
        <v>283</v>
      </c>
      <c r="J818" s="399">
        <f t="shared" si="287"/>
        <v>9943</v>
      </c>
      <c r="K818" s="339"/>
      <c r="L818" s="434"/>
      <c r="M818" s="434"/>
      <c r="N818" s="434"/>
      <c r="O818" s="339"/>
      <c r="P818" s="167">
        <f t="shared" si="277"/>
        <v>9660</v>
      </c>
      <c r="Q818" s="167">
        <f t="shared" si="286"/>
        <v>283</v>
      </c>
      <c r="R818" s="167">
        <f t="shared" si="286"/>
        <v>9943</v>
      </c>
    </row>
    <row r="819" spans="2:18" x14ac:dyDescent="0.2">
      <c r="B819" s="171">
        <f t="shared" si="281"/>
        <v>286</v>
      </c>
      <c r="C819" s="130"/>
      <c r="D819" s="131"/>
      <c r="E819" s="131"/>
      <c r="F819" s="131" t="s">
        <v>214</v>
      </c>
      <c r="G819" s="194" t="s">
        <v>261</v>
      </c>
      <c r="H819" s="399">
        <f>1480+5000</f>
        <v>6480</v>
      </c>
      <c r="I819" s="399">
        <v>-5546</v>
      </c>
      <c r="J819" s="399">
        <f t="shared" si="287"/>
        <v>934</v>
      </c>
      <c r="K819" s="339"/>
      <c r="L819" s="434"/>
      <c r="M819" s="434"/>
      <c r="N819" s="434"/>
      <c r="O819" s="339"/>
      <c r="P819" s="167">
        <f t="shared" si="277"/>
        <v>6480</v>
      </c>
      <c r="Q819" s="167">
        <f t="shared" si="286"/>
        <v>-5546</v>
      </c>
      <c r="R819" s="167">
        <f t="shared" si="286"/>
        <v>934</v>
      </c>
    </row>
    <row r="820" spans="2:18" x14ac:dyDescent="0.2">
      <c r="B820" s="171">
        <f t="shared" si="281"/>
        <v>287</v>
      </c>
      <c r="C820" s="130"/>
      <c r="D820" s="131"/>
      <c r="E820" s="131"/>
      <c r="F820" s="131" t="s">
        <v>216</v>
      </c>
      <c r="G820" s="194" t="s">
        <v>248</v>
      </c>
      <c r="H820" s="399">
        <v>8722</v>
      </c>
      <c r="I820" s="399">
        <v>6233</v>
      </c>
      <c r="J820" s="399">
        <f t="shared" si="287"/>
        <v>14955</v>
      </c>
      <c r="K820" s="339"/>
      <c r="L820" s="434"/>
      <c r="M820" s="434"/>
      <c r="N820" s="434"/>
      <c r="O820" s="339"/>
      <c r="P820" s="167">
        <f t="shared" si="277"/>
        <v>8722</v>
      </c>
      <c r="Q820" s="167">
        <f t="shared" si="286"/>
        <v>6233</v>
      </c>
      <c r="R820" s="167">
        <f t="shared" si="286"/>
        <v>14955</v>
      </c>
    </row>
    <row r="821" spans="2:18" x14ac:dyDescent="0.2">
      <c r="B821" s="171">
        <f t="shared" si="281"/>
        <v>288</v>
      </c>
      <c r="C821" s="130"/>
      <c r="D821" s="131"/>
      <c r="E821" s="131"/>
      <c r="F821" s="284" t="s">
        <v>217</v>
      </c>
      <c r="G821" s="199" t="s">
        <v>371</v>
      </c>
      <c r="H821" s="529">
        <v>2750</v>
      </c>
      <c r="I821" s="529">
        <v>-408</v>
      </c>
      <c r="J821" s="529">
        <f t="shared" si="287"/>
        <v>2342</v>
      </c>
      <c r="K821" s="339"/>
      <c r="L821" s="434"/>
      <c r="M821" s="434"/>
      <c r="N821" s="434"/>
      <c r="O821" s="339"/>
      <c r="P821" s="166">
        <f t="shared" si="277"/>
        <v>2750</v>
      </c>
      <c r="Q821" s="166">
        <f t="shared" si="286"/>
        <v>-408</v>
      </c>
      <c r="R821" s="166">
        <f t="shared" si="286"/>
        <v>2342</v>
      </c>
    </row>
    <row r="822" spans="2:18" ht="15" x14ac:dyDescent="0.25">
      <c r="B822" s="171">
        <f t="shared" si="281"/>
        <v>289</v>
      </c>
      <c r="C822" s="130"/>
      <c r="D822" s="131"/>
      <c r="E822" s="521" t="s">
        <v>685</v>
      </c>
      <c r="F822" s="518" t="s">
        <v>686</v>
      </c>
      <c r="G822" s="601"/>
      <c r="H822" s="522">
        <f>H823+H824+H825+H832</f>
        <v>281390</v>
      </c>
      <c r="I822" s="522">
        <f t="shared" ref="I822" si="288">I823+I824+I825+I832</f>
        <v>6122</v>
      </c>
      <c r="J822" s="522">
        <f t="shared" si="287"/>
        <v>287512</v>
      </c>
      <c r="K822" s="339"/>
      <c r="L822" s="859">
        <f>L834</f>
        <v>34000</v>
      </c>
      <c r="M822" s="859">
        <f t="shared" ref="M822" si="289">M834</f>
        <v>0</v>
      </c>
      <c r="N822" s="859">
        <f t="shared" si="284"/>
        <v>34000</v>
      </c>
      <c r="O822" s="339"/>
      <c r="P822" s="520">
        <f t="shared" si="277"/>
        <v>315390</v>
      </c>
      <c r="Q822" s="520">
        <f t="shared" si="286"/>
        <v>6122</v>
      </c>
      <c r="R822" s="520">
        <f t="shared" si="286"/>
        <v>321512</v>
      </c>
    </row>
    <row r="823" spans="2:18" x14ac:dyDescent="0.2">
      <c r="B823" s="171">
        <f t="shared" si="281"/>
        <v>290</v>
      </c>
      <c r="C823" s="130"/>
      <c r="D823" s="131"/>
      <c r="E823" s="165"/>
      <c r="F823" s="144" t="s">
        <v>211</v>
      </c>
      <c r="G823" s="199" t="s">
        <v>505</v>
      </c>
      <c r="H823" s="462">
        <f>149935+4445+6050</f>
        <v>160430</v>
      </c>
      <c r="I823" s="462">
        <v>8148</v>
      </c>
      <c r="J823" s="462">
        <f t="shared" si="287"/>
        <v>168578</v>
      </c>
      <c r="K823" s="339"/>
      <c r="L823" s="399"/>
      <c r="M823" s="399"/>
      <c r="N823" s="399"/>
      <c r="O823" s="339"/>
      <c r="P823" s="530">
        <f t="shared" si="277"/>
        <v>160430</v>
      </c>
      <c r="Q823" s="530">
        <f t="shared" si="286"/>
        <v>8148</v>
      </c>
      <c r="R823" s="530">
        <f t="shared" si="286"/>
        <v>168578</v>
      </c>
    </row>
    <row r="824" spans="2:18" x14ac:dyDescent="0.2">
      <c r="B824" s="171">
        <f t="shared" si="281"/>
        <v>291</v>
      </c>
      <c r="C824" s="130"/>
      <c r="D824" s="131"/>
      <c r="E824" s="165"/>
      <c r="F824" s="144" t="s">
        <v>212</v>
      </c>
      <c r="G824" s="199" t="s">
        <v>259</v>
      </c>
      <c r="H824" s="462">
        <f>53438+1555+1357</f>
        <v>56350</v>
      </c>
      <c r="I824" s="462">
        <v>3607</v>
      </c>
      <c r="J824" s="462">
        <f t="shared" si="287"/>
        <v>59957</v>
      </c>
      <c r="K824" s="339"/>
      <c r="L824" s="399"/>
      <c r="M824" s="399"/>
      <c r="N824" s="399"/>
      <c r="O824" s="339"/>
      <c r="P824" s="530">
        <f t="shared" si="277"/>
        <v>56350</v>
      </c>
      <c r="Q824" s="530">
        <f t="shared" si="286"/>
        <v>3607</v>
      </c>
      <c r="R824" s="530">
        <f t="shared" si="286"/>
        <v>59957</v>
      </c>
    </row>
    <row r="825" spans="2:18" x14ac:dyDescent="0.2">
      <c r="B825" s="171">
        <f t="shared" si="281"/>
        <v>292</v>
      </c>
      <c r="C825" s="130"/>
      <c r="D825" s="131"/>
      <c r="E825" s="165"/>
      <c r="F825" s="144" t="s">
        <v>218</v>
      </c>
      <c r="G825" s="199" t="s">
        <v>340</v>
      </c>
      <c r="H825" s="529">
        <f>SUM(H826:H831)</f>
        <v>61860</v>
      </c>
      <c r="I825" s="529">
        <f>SUM(I826:I831)</f>
        <v>-4400</v>
      </c>
      <c r="J825" s="529">
        <f t="shared" si="287"/>
        <v>57460</v>
      </c>
      <c r="K825" s="339"/>
      <c r="L825" s="399"/>
      <c r="M825" s="399"/>
      <c r="N825" s="399"/>
      <c r="O825" s="339"/>
      <c r="P825" s="530">
        <f t="shared" si="277"/>
        <v>61860</v>
      </c>
      <c r="Q825" s="530">
        <f t="shared" si="286"/>
        <v>-4400</v>
      </c>
      <c r="R825" s="530">
        <f t="shared" si="286"/>
        <v>57460</v>
      </c>
    </row>
    <row r="826" spans="2:18" x14ac:dyDescent="0.2">
      <c r="B826" s="171">
        <f t="shared" si="281"/>
        <v>293</v>
      </c>
      <c r="C826" s="130"/>
      <c r="D826" s="131"/>
      <c r="E826" s="165"/>
      <c r="F826" s="131" t="s">
        <v>213</v>
      </c>
      <c r="G826" s="194" t="s">
        <v>255</v>
      </c>
      <c r="H826" s="430">
        <v>25</v>
      </c>
      <c r="I826" s="430">
        <v>61</v>
      </c>
      <c r="J826" s="430">
        <f t="shared" si="287"/>
        <v>86</v>
      </c>
      <c r="K826" s="339"/>
      <c r="L826" s="399"/>
      <c r="M826" s="399"/>
      <c r="N826" s="399"/>
      <c r="O826" s="339"/>
      <c r="P826" s="168">
        <f t="shared" si="277"/>
        <v>25</v>
      </c>
      <c r="Q826" s="168">
        <f t="shared" si="286"/>
        <v>61</v>
      </c>
      <c r="R826" s="168">
        <f t="shared" si="286"/>
        <v>86</v>
      </c>
    </row>
    <row r="827" spans="2:18" x14ac:dyDescent="0.2">
      <c r="B827" s="171">
        <f t="shared" si="281"/>
        <v>294</v>
      </c>
      <c r="C827" s="130"/>
      <c r="D827" s="131"/>
      <c r="E827" s="165"/>
      <c r="F827" s="131" t="s">
        <v>199</v>
      </c>
      <c r="G827" s="194" t="s">
        <v>318</v>
      </c>
      <c r="H827" s="430">
        <v>21550</v>
      </c>
      <c r="I827" s="430">
        <v>-8578</v>
      </c>
      <c r="J827" s="430">
        <f t="shared" si="287"/>
        <v>12972</v>
      </c>
      <c r="K827" s="339"/>
      <c r="L827" s="399"/>
      <c r="M827" s="399"/>
      <c r="N827" s="399"/>
      <c r="O827" s="339"/>
      <c r="P827" s="168">
        <f t="shared" si="277"/>
        <v>21550</v>
      </c>
      <c r="Q827" s="168">
        <f t="shared" si="286"/>
        <v>-8578</v>
      </c>
      <c r="R827" s="168">
        <f t="shared" si="286"/>
        <v>12972</v>
      </c>
    </row>
    <row r="828" spans="2:18" x14ac:dyDescent="0.2">
      <c r="B828" s="171">
        <f t="shared" si="281"/>
        <v>295</v>
      </c>
      <c r="C828" s="130"/>
      <c r="D828" s="131"/>
      <c r="E828" s="165"/>
      <c r="F828" s="131" t="s">
        <v>200</v>
      </c>
      <c r="G828" s="194" t="s">
        <v>247</v>
      </c>
      <c r="H828" s="430">
        <v>9660</v>
      </c>
      <c r="I828" s="430">
        <v>3431</v>
      </c>
      <c r="J828" s="430">
        <f t="shared" si="287"/>
        <v>13091</v>
      </c>
      <c r="K828" s="339"/>
      <c r="L828" s="399"/>
      <c r="M828" s="399"/>
      <c r="N828" s="399"/>
      <c r="O828" s="339"/>
      <c r="P828" s="168">
        <f t="shared" si="277"/>
        <v>9660</v>
      </c>
      <c r="Q828" s="168">
        <f t="shared" si="286"/>
        <v>3431</v>
      </c>
      <c r="R828" s="168">
        <f t="shared" si="286"/>
        <v>13091</v>
      </c>
    </row>
    <row r="829" spans="2:18" x14ac:dyDescent="0.2">
      <c r="B829" s="171">
        <f t="shared" si="281"/>
        <v>296</v>
      </c>
      <c r="C829" s="130"/>
      <c r="D829" s="131"/>
      <c r="E829" s="165"/>
      <c r="F829" s="131" t="s">
        <v>214</v>
      </c>
      <c r="G829" s="194" t="s">
        <v>261</v>
      </c>
      <c r="H829" s="430">
        <f>3880+5000</f>
        <v>8880</v>
      </c>
      <c r="I829" s="430">
        <v>-5546</v>
      </c>
      <c r="J829" s="430">
        <f t="shared" si="287"/>
        <v>3334</v>
      </c>
      <c r="K829" s="339"/>
      <c r="L829" s="399"/>
      <c r="M829" s="399"/>
      <c r="N829" s="399"/>
      <c r="O829" s="339"/>
      <c r="P829" s="168">
        <f t="shared" si="277"/>
        <v>8880</v>
      </c>
      <c r="Q829" s="168">
        <f t="shared" ref="Q829:R832" si="290">I829+M829</f>
        <v>-5546</v>
      </c>
      <c r="R829" s="168">
        <f t="shared" si="290"/>
        <v>3334</v>
      </c>
    </row>
    <row r="830" spans="2:18" x14ac:dyDescent="0.2">
      <c r="B830" s="171">
        <f t="shared" si="281"/>
        <v>297</v>
      </c>
      <c r="C830" s="130"/>
      <c r="D830" s="131"/>
      <c r="E830" s="165"/>
      <c r="F830" s="131" t="s">
        <v>216</v>
      </c>
      <c r="G830" s="194" t="s">
        <v>248</v>
      </c>
      <c r="H830" s="430">
        <v>8723</v>
      </c>
      <c r="I830" s="430">
        <v>6232</v>
      </c>
      <c r="J830" s="430">
        <f t="shared" si="287"/>
        <v>14955</v>
      </c>
      <c r="K830" s="339"/>
      <c r="L830" s="399"/>
      <c r="M830" s="399"/>
      <c r="N830" s="399"/>
      <c r="O830" s="339"/>
      <c r="P830" s="168">
        <f t="shared" si="277"/>
        <v>8723</v>
      </c>
      <c r="Q830" s="168">
        <f t="shared" si="290"/>
        <v>6232</v>
      </c>
      <c r="R830" s="168">
        <f t="shared" si="290"/>
        <v>14955</v>
      </c>
    </row>
    <row r="831" spans="2:18" x14ac:dyDescent="0.2">
      <c r="B831" s="171">
        <f t="shared" si="281"/>
        <v>298</v>
      </c>
      <c r="C831" s="130"/>
      <c r="D831" s="131"/>
      <c r="E831" s="165"/>
      <c r="F831" s="131" t="s">
        <v>218</v>
      </c>
      <c r="G831" s="194" t="s">
        <v>791</v>
      </c>
      <c r="H831" s="430">
        <v>13022</v>
      </c>
      <c r="I831" s="430"/>
      <c r="J831" s="430">
        <f t="shared" si="287"/>
        <v>13022</v>
      </c>
      <c r="K831" s="339"/>
      <c r="L831" s="399"/>
      <c r="M831" s="399"/>
      <c r="N831" s="399"/>
      <c r="O831" s="339"/>
      <c r="P831" s="168">
        <f t="shared" si="277"/>
        <v>13022</v>
      </c>
      <c r="Q831" s="168">
        <f t="shared" si="290"/>
        <v>0</v>
      </c>
      <c r="R831" s="168">
        <f t="shared" si="290"/>
        <v>13022</v>
      </c>
    </row>
    <row r="832" spans="2:18" x14ac:dyDescent="0.2">
      <c r="B832" s="171">
        <f t="shared" si="281"/>
        <v>299</v>
      </c>
      <c r="C832" s="130"/>
      <c r="D832" s="131"/>
      <c r="E832" s="165"/>
      <c r="F832" s="284" t="s">
        <v>217</v>
      </c>
      <c r="G832" s="199" t="s">
        <v>371</v>
      </c>
      <c r="H832" s="462">
        <v>2750</v>
      </c>
      <c r="I832" s="462">
        <v>-1233</v>
      </c>
      <c r="J832" s="462">
        <f t="shared" si="287"/>
        <v>1517</v>
      </c>
      <c r="K832" s="339"/>
      <c r="L832" s="399"/>
      <c r="M832" s="399"/>
      <c r="N832" s="399"/>
      <c r="O832" s="339"/>
      <c r="P832" s="530">
        <f t="shared" si="277"/>
        <v>2750</v>
      </c>
      <c r="Q832" s="530">
        <f t="shared" si="290"/>
        <v>-1233</v>
      </c>
      <c r="R832" s="530">
        <f t="shared" si="290"/>
        <v>1517</v>
      </c>
    </row>
    <row r="833" spans="2:18" x14ac:dyDescent="0.2">
      <c r="B833" s="171">
        <f t="shared" si="281"/>
        <v>300</v>
      </c>
      <c r="C833" s="130"/>
      <c r="D833" s="131"/>
      <c r="E833" s="165"/>
      <c r="F833" s="284"/>
      <c r="G833" s="199"/>
      <c r="H833" s="462"/>
      <c r="I833" s="462"/>
      <c r="J833" s="462"/>
      <c r="K833" s="339"/>
      <c r="L833" s="434"/>
      <c r="M833" s="434"/>
      <c r="N833" s="434"/>
      <c r="O833" s="339"/>
      <c r="P833" s="166"/>
      <c r="Q833" s="166"/>
      <c r="R833" s="166"/>
    </row>
    <row r="834" spans="2:18" x14ac:dyDescent="0.2">
      <c r="B834" s="171">
        <f t="shared" si="281"/>
        <v>301</v>
      </c>
      <c r="C834" s="130"/>
      <c r="D834" s="131"/>
      <c r="E834" s="165"/>
      <c r="F834" s="284" t="s">
        <v>321</v>
      </c>
      <c r="G834" s="199" t="s">
        <v>792</v>
      </c>
      <c r="H834" s="462"/>
      <c r="I834" s="462"/>
      <c r="J834" s="462"/>
      <c r="K834" s="339"/>
      <c r="L834" s="434">
        <f>40000-6000</f>
        <v>34000</v>
      </c>
      <c r="M834" s="434"/>
      <c r="N834" s="434">
        <f t="shared" si="284"/>
        <v>34000</v>
      </c>
      <c r="O834" s="339"/>
      <c r="P834" s="166">
        <f>L834</f>
        <v>34000</v>
      </c>
      <c r="Q834" s="166">
        <f t="shared" ref="Q834:R834" si="291">M834</f>
        <v>0</v>
      </c>
      <c r="R834" s="166">
        <f t="shared" si="291"/>
        <v>34000</v>
      </c>
    </row>
    <row r="835" spans="2:18" ht="15" x14ac:dyDescent="0.25">
      <c r="B835" s="171">
        <f t="shared" si="281"/>
        <v>302</v>
      </c>
      <c r="C835" s="130"/>
      <c r="D835" s="261" t="s">
        <v>173</v>
      </c>
      <c r="E835" s="147" t="s">
        <v>429</v>
      </c>
      <c r="F835" s="355" t="s">
        <v>373</v>
      </c>
      <c r="G835" s="236"/>
      <c r="H835" s="425">
        <f>H836+H847</f>
        <v>393992</v>
      </c>
      <c r="I835" s="425">
        <f t="shared" ref="I835" si="292">I836+I847</f>
        <v>12934</v>
      </c>
      <c r="J835" s="425">
        <f t="shared" si="287"/>
        <v>406926</v>
      </c>
      <c r="K835" s="342"/>
      <c r="L835" s="849"/>
      <c r="M835" s="849"/>
      <c r="N835" s="849"/>
      <c r="O835" s="342"/>
      <c r="P835" s="330">
        <f t="shared" ref="P835:P867" si="293">H835+L835</f>
        <v>393992</v>
      </c>
      <c r="Q835" s="330">
        <f t="shared" ref="Q835:R851" si="294">I835+M835</f>
        <v>12934</v>
      </c>
      <c r="R835" s="330">
        <f t="shared" si="294"/>
        <v>406926</v>
      </c>
    </row>
    <row r="836" spans="2:18" ht="14.25" x14ac:dyDescent="0.2">
      <c r="B836" s="171">
        <f t="shared" si="281"/>
        <v>303</v>
      </c>
      <c r="C836" s="76"/>
      <c r="D836" s="515"/>
      <c r="E836" s="521" t="s">
        <v>428</v>
      </c>
      <c r="F836" s="518" t="s">
        <v>687</v>
      </c>
      <c r="G836" s="517"/>
      <c r="H836" s="519">
        <f>H837+H838+H839+H846</f>
        <v>141998</v>
      </c>
      <c r="I836" s="519">
        <f t="shared" ref="I836" si="295">I837+I838+I839+I846</f>
        <v>8398</v>
      </c>
      <c r="J836" s="519">
        <f t="shared" si="287"/>
        <v>150396</v>
      </c>
      <c r="K836" s="333"/>
      <c r="L836" s="856"/>
      <c r="M836" s="856"/>
      <c r="N836" s="856"/>
      <c r="O836" s="333"/>
      <c r="P836" s="520">
        <f t="shared" si="293"/>
        <v>141998</v>
      </c>
      <c r="Q836" s="520">
        <f t="shared" si="294"/>
        <v>8398</v>
      </c>
      <c r="R836" s="520">
        <f t="shared" si="294"/>
        <v>150396</v>
      </c>
    </row>
    <row r="837" spans="2:18" x14ac:dyDescent="0.2">
      <c r="B837" s="171">
        <f t="shared" si="281"/>
        <v>304</v>
      </c>
      <c r="C837" s="130"/>
      <c r="D837" s="131"/>
      <c r="E837" s="131"/>
      <c r="F837" s="144" t="s">
        <v>211</v>
      </c>
      <c r="G837" s="199" t="s">
        <v>505</v>
      </c>
      <c r="H837" s="529">
        <f>76640+13970</f>
        <v>90610</v>
      </c>
      <c r="I837" s="529">
        <v>2735</v>
      </c>
      <c r="J837" s="529">
        <f t="shared" si="287"/>
        <v>93345</v>
      </c>
      <c r="K837" s="339"/>
      <c r="L837" s="434"/>
      <c r="M837" s="434"/>
      <c r="N837" s="434"/>
      <c r="O837" s="339"/>
      <c r="P837" s="166">
        <f t="shared" si="293"/>
        <v>90610</v>
      </c>
      <c r="Q837" s="166">
        <f t="shared" si="294"/>
        <v>2735</v>
      </c>
      <c r="R837" s="166">
        <f t="shared" si="294"/>
        <v>93345</v>
      </c>
    </row>
    <row r="838" spans="2:18" x14ac:dyDescent="0.2">
      <c r="B838" s="171">
        <f t="shared" si="281"/>
        <v>305</v>
      </c>
      <c r="C838" s="130"/>
      <c r="D838" s="131"/>
      <c r="E838" s="131"/>
      <c r="F838" s="144" t="s">
        <v>212</v>
      </c>
      <c r="G838" s="199" t="s">
        <v>259</v>
      </c>
      <c r="H838" s="529">
        <f>24542+7126</f>
        <v>31668</v>
      </c>
      <c r="I838" s="529">
        <v>1269</v>
      </c>
      <c r="J838" s="529">
        <f t="shared" si="287"/>
        <v>32937</v>
      </c>
      <c r="K838" s="339"/>
      <c r="L838" s="434"/>
      <c r="M838" s="434"/>
      <c r="N838" s="434"/>
      <c r="O838" s="339"/>
      <c r="P838" s="166">
        <f t="shared" si="293"/>
        <v>31668</v>
      </c>
      <c r="Q838" s="166">
        <f t="shared" si="294"/>
        <v>1269</v>
      </c>
      <c r="R838" s="166">
        <f t="shared" si="294"/>
        <v>32937</v>
      </c>
    </row>
    <row r="839" spans="2:18" x14ac:dyDescent="0.2">
      <c r="B839" s="171">
        <f t="shared" si="281"/>
        <v>306</v>
      </c>
      <c r="C839" s="130"/>
      <c r="D839" s="131"/>
      <c r="E839" s="131"/>
      <c r="F839" s="144" t="s">
        <v>218</v>
      </c>
      <c r="G839" s="199" t="s">
        <v>340</v>
      </c>
      <c r="H839" s="529">
        <f>SUM(H840:H845)</f>
        <v>19620</v>
      </c>
      <c r="I839" s="529">
        <f>SUM(I840:I845)</f>
        <v>4277</v>
      </c>
      <c r="J839" s="529">
        <f t="shared" si="287"/>
        <v>23897</v>
      </c>
      <c r="K839" s="339"/>
      <c r="L839" s="434"/>
      <c r="M839" s="434"/>
      <c r="N839" s="434"/>
      <c r="O839" s="339"/>
      <c r="P839" s="166">
        <f t="shared" si="293"/>
        <v>19620</v>
      </c>
      <c r="Q839" s="166">
        <f t="shared" si="294"/>
        <v>4277</v>
      </c>
      <c r="R839" s="166">
        <f t="shared" si="294"/>
        <v>23897</v>
      </c>
    </row>
    <row r="840" spans="2:18" x14ac:dyDescent="0.2">
      <c r="B840" s="171">
        <f t="shared" si="281"/>
        <v>307</v>
      </c>
      <c r="C840" s="130"/>
      <c r="D840" s="131"/>
      <c r="E840" s="131"/>
      <c r="F840" s="131" t="s">
        <v>213</v>
      </c>
      <c r="G840" s="194" t="s">
        <v>255</v>
      </c>
      <c r="H840" s="399">
        <v>100</v>
      </c>
      <c r="I840" s="399">
        <v>-100</v>
      </c>
      <c r="J840" s="399">
        <f t="shared" si="287"/>
        <v>0</v>
      </c>
      <c r="K840" s="339"/>
      <c r="L840" s="434"/>
      <c r="M840" s="434"/>
      <c r="N840" s="434"/>
      <c r="O840" s="339"/>
      <c r="P840" s="167">
        <f t="shared" si="293"/>
        <v>100</v>
      </c>
      <c r="Q840" s="167">
        <f t="shared" si="294"/>
        <v>-100</v>
      </c>
      <c r="R840" s="167">
        <f t="shared" si="294"/>
        <v>0</v>
      </c>
    </row>
    <row r="841" spans="2:18" x14ac:dyDescent="0.2">
      <c r="B841" s="171">
        <f t="shared" si="281"/>
        <v>308</v>
      </c>
      <c r="C841" s="130"/>
      <c r="D841" s="131"/>
      <c r="E841" s="131"/>
      <c r="F841" s="131" t="s">
        <v>199</v>
      </c>
      <c r="G841" s="194" t="s">
        <v>318</v>
      </c>
      <c r="H841" s="399">
        <v>8860</v>
      </c>
      <c r="I841" s="399">
        <v>-2945</v>
      </c>
      <c r="J841" s="399">
        <f t="shared" si="287"/>
        <v>5915</v>
      </c>
      <c r="K841" s="339"/>
      <c r="L841" s="434"/>
      <c r="M841" s="434"/>
      <c r="N841" s="434"/>
      <c r="O841" s="339"/>
      <c r="P841" s="167">
        <f t="shared" si="293"/>
        <v>8860</v>
      </c>
      <c r="Q841" s="167">
        <f t="shared" si="294"/>
        <v>-2945</v>
      </c>
      <c r="R841" s="167">
        <f t="shared" si="294"/>
        <v>5915</v>
      </c>
    </row>
    <row r="842" spans="2:18" x14ac:dyDescent="0.2">
      <c r="B842" s="171">
        <f t="shared" si="281"/>
        <v>309</v>
      </c>
      <c r="C842" s="130"/>
      <c r="D842" s="131"/>
      <c r="E842" s="131"/>
      <c r="F842" s="131" t="s">
        <v>200</v>
      </c>
      <c r="G842" s="194" t="s">
        <v>247</v>
      </c>
      <c r="H842" s="399">
        <f>3590+1390</f>
        <v>4980</v>
      </c>
      <c r="I842" s="399">
        <v>3125</v>
      </c>
      <c r="J842" s="399">
        <f t="shared" si="287"/>
        <v>8105</v>
      </c>
      <c r="K842" s="339"/>
      <c r="L842" s="434"/>
      <c r="M842" s="434"/>
      <c r="N842" s="434"/>
      <c r="O842" s="343"/>
      <c r="P842" s="168">
        <f t="shared" si="293"/>
        <v>4980</v>
      </c>
      <c r="Q842" s="168">
        <f t="shared" si="294"/>
        <v>3125</v>
      </c>
      <c r="R842" s="168">
        <f t="shared" si="294"/>
        <v>8105</v>
      </c>
    </row>
    <row r="843" spans="2:18" x14ac:dyDescent="0.2">
      <c r="B843" s="171">
        <f t="shared" si="281"/>
        <v>310</v>
      </c>
      <c r="C843" s="130"/>
      <c r="D843" s="131"/>
      <c r="E843" s="131"/>
      <c r="F843" s="131" t="s">
        <v>214</v>
      </c>
      <c r="G843" s="194" t="s">
        <v>261</v>
      </c>
      <c r="H843" s="430">
        <f>500+1390</f>
        <v>1890</v>
      </c>
      <c r="I843" s="430">
        <v>554</v>
      </c>
      <c r="J843" s="430">
        <f t="shared" si="287"/>
        <v>2444</v>
      </c>
      <c r="K843" s="340"/>
      <c r="L843" s="399"/>
      <c r="M843" s="399"/>
      <c r="N843" s="399"/>
      <c r="O843" s="339"/>
      <c r="P843" s="267">
        <f t="shared" si="293"/>
        <v>1890</v>
      </c>
      <c r="Q843" s="168">
        <f t="shared" si="294"/>
        <v>554</v>
      </c>
      <c r="R843" s="168">
        <f t="shared" si="294"/>
        <v>2444</v>
      </c>
    </row>
    <row r="844" spans="2:18" x14ac:dyDescent="0.2">
      <c r="B844" s="171">
        <f t="shared" si="281"/>
        <v>311</v>
      </c>
      <c r="C844" s="130"/>
      <c r="D844" s="131"/>
      <c r="E844" s="131"/>
      <c r="F844" s="131" t="s">
        <v>215</v>
      </c>
      <c r="G844" s="194" t="s">
        <v>876</v>
      </c>
      <c r="H844" s="430">
        <v>0</v>
      </c>
      <c r="I844" s="430">
        <v>6</v>
      </c>
      <c r="J844" s="430">
        <f t="shared" si="287"/>
        <v>6</v>
      </c>
      <c r="K844" s="339"/>
      <c r="L844" s="434"/>
      <c r="M844" s="434"/>
      <c r="N844" s="434"/>
      <c r="O844" s="339"/>
      <c r="P844" s="267">
        <f t="shared" si="293"/>
        <v>0</v>
      </c>
      <c r="Q844" s="168">
        <f t="shared" si="294"/>
        <v>6</v>
      </c>
      <c r="R844" s="168">
        <f t="shared" si="294"/>
        <v>6</v>
      </c>
    </row>
    <row r="845" spans="2:18" x14ac:dyDescent="0.2">
      <c r="B845" s="171">
        <f t="shared" si="281"/>
        <v>312</v>
      </c>
      <c r="C845" s="130"/>
      <c r="D845" s="131"/>
      <c r="E845" s="131"/>
      <c r="F845" s="131" t="s">
        <v>216</v>
      </c>
      <c r="G845" s="194" t="s">
        <v>248</v>
      </c>
      <c r="H845" s="399">
        <v>3790</v>
      </c>
      <c r="I845" s="399">
        <v>3637</v>
      </c>
      <c r="J845" s="399">
        <f t="shared" si="287"/>
        <v>7427</v>
      </c>
      <c r="K845" s="339"/>
      <c r="L845" s="434"/>
      <c r="M845" s="434"/>
      <c r="N845" s="434"/>
      <c r="O845" s="339"/>
      <c r="P845" s="167">
        <f t="shared" si="293"/>
        <v>3790</v>
      </c>
      <c r="Q845" s="168">
        <f t="shared" si="294"/>
        <v>3637</v>
      </c>
      <c r="R845" s="167">
        <f t="shared" si="294"/>
        <v>7427</v>
      </c>
    </row>
    <row r="846" spans="2:18" x14ac:dyDescent="0.2">
      <c r="B846" s="171">
        <f t="shared" si="281"/>
        <v>313</v>
      </c>
      <c r="C846" s="130"/>
      <c r="D846" s="131"/>
      <c r="E846" s="169"/>
      <c r="F846" s="144" t="s">
        <v>217</v>
      </c>
      <c r="G846" s="199" t="s">
        <v>371</v>
      </c>
      <c r="H846" s="433">
        <v>100</v>
      </c>
      <c r="I846" s="433">
        <v>117</v>
      </c>
      <c r="J846" s="433">
        <f t="shared" si="287"/>
        <v>217</v>
      </c>
      <c r="K846" s="339"/>
      <c r="L846" s="434"/>
      <c r="M846" s="434"/>
      <c r="N846" s="434"/>
      <c r="O846" s="339"/>
      <c r="P846" s="166">
        <f t="shared" si="293"/>
        <v>100</v>
      </c>
      <c r="Q846" s="166">
        <f t="shared" si="294"/>
        <v>117</v>
      </c>
      <c r="R846" s="166">
        <f t="shared" si="294"/>
        <v>217</v>
      </c>
    </row>
    <row r="847" spans="2:18" ht="14.25" x14ac:dyDescent="0.2">
      <c r="B847" s="171">
        <f t="shared" si="281"/>
        <v>314</v>
      </c>
      <c r="C847" s="130"/>
      <c r="D847" s="131"/>
      <c r="E847" s="521" t="s">
        <v>685</v>
      </c>
      <c r="F847" s="518" t="s">
        <v>686</v>
      </c>
      <c r="G847" s="601"/>
      <c r="H847" s="522">
        <f>H848+H849+H850+H858</f>
        <v>251994</v>
      </c>
      <c r="I847" s="522">
        <f t="shared" ref="I847" si="296">I848+I849+I850+I858</f>
        <v>4536</v>
      </c>
      <c r="J847" s="522">
        <f t="shared" si="287"/>
        <v>256530</v>
      </c>
      <c r="K847" s="339"/>
      <c r="L847" s="856"/>
      <c r="M847" s="856"/>
      <c r="N847" s="856"/>
      <c r="O847" s="339"/>
      <c r="P847" s="520">
        <f t="shared" si="293"/>
        <v>251994</v>
      </c>
      <c r="Q847" s="520">
        <f t="shared" si="294"/>
        <v>4536</v>
      </c>
      <c r="R847" s="520">
        <f t="shared" si="294"/>
        <v>256530</v>
      </c>
    </row>
    <row r="848" spans="2:18" x14ac:dyDescent="0.2">
      <c r="B848" s="171">
        <f t="shared" si="281"/>
        <v>315</v>
      </c>
      <c r="C848" s="130"/>
      <c r="D848" s="131"/>
      <c r="E848" s="165"/>
      <c r="F848" s="144" t="s">
        <v>211</v>
      </c>
      <c r="G848" s="199" t="s">
        <v>505</v>
      </c>
      <c r="H848" s="462">
        <f>105480+11184</f>
        <v>116664</v>
      </c>
      <c r="I848" s="462">
        <v>6182</v>
      </c>
      <c r="J848" s="462">
        <f t="shared" si="287"/>
        <v>122846</v>
      </c>
      <c r="K848" s="339"/>
      <c r="L848" s="399"/>
      <c r="M848" s="399"/>
      <c r="N848" s="399"/>
      <c r="O848" s="339"/>
      <c r="P848" s="530">
        <f t="shared" si="293"/>
        <v>116664</v>
      </c>
      <c r="Q848" s="530">
        <f t="shared" si="294"/>
        <v>6182</v>
      </c>
      <c r="R848" s="530">
        <f t="shared" si="294"/>
        <v>122846</v>
      </c>
    </row>
    <row r="849" spans="2:18" x14ac:dyDescent="0.2">
      <c r="B849" s="171">
        <f t="shared" si="281"/>
        <v>316</v>
      </c>
      <c r="C849" s="130"/>
      <c r="D849" s="131"/>
      <c r="E849" s="165"/>
      <c r="F849" s="144" t="s">
        <v>212</v>
      </c>
      <c r="G849" s="199" t="s">
        <v>259</v>
      </c>
      <c r="H849" s="462">
        <f>39108+1669</f>
        <v>40777</v>
      </c>
      <c r="I849" s="462">
        <v>1939</v>
      </c>
      <c r="J849" s="462">
        <f t="shared" si="287"/>
        <v>42716</v>
      </c>
      <c r="K849" s="339"/>
      <c r="L849" s="399"/>
      <c r="M849" s="399"/>
      <c r="N849" s="399"/>
      <c r="O849" s="339"/>
      <c r="P849" s="530">
        <f t="shared" si="293"/>
        <v>40777</v>
      </c>
      <c r="Q849" s="530">
        <f t="shared" si="294"/>
        <v>1939</v>
      </c>
      <c r="R849" s="530">
        <f t="shared" si="294"/>
        <v>42716</v>
      </c>
    </row>
    <row r="850" spans="2:18" x14ac:dyDescent="0.2">
      <c r="B850" s="171">
        <f t="shared" si="281"/>
        <v>317</v>
      </c>
      <c r="C850" s="130"/>
      <c r="D850" s="131"/>
      <c r="E850" s="165"/>
      <c r="F850" s="144" t="s">
        <v>218</v>
      </c>
      <c r="G850" s="199" t="s">
        <v>340</v>
      </c>
      <c r="H850" s="529">
        <f>SUM(H851:H857)</f>
        <v>92853</v>
      </c>
      <c r="I850" s="529">
        <f>SUM(I851:I857)</f>
        <v>-2068</v>
      </c>
      <c r="J850" s="529">
        <f t="shared" si="287"/>
        <v>90785</v>
      </c>
      <c r="K850" s="339"/>
      <c r="L850" s="399"/>
      <c r="M850" s="399"/>
      <c r="N850" s="399"/>
      <c r="O850" s="339"/>
      <c r="P850" s="530">
        <f t="shared" si="293"/>
        <v>92853</v>
      </c>
      <c r="Q850" s="530">
        <f t="shared" si="294"/>
        <v>-2068</v>
      </c>
      <c r="R850" s="530">
        <f t="shared" si="294"/>
        <v>90785</v>
      </c>
    </row>
    <row r="851" spans="2:18" x14ac:dyDescent="0.2">
      <c r="B851" s="171">
        <f t="shared" si="281"/>
        <v>318</v>
      </c>
      <c r="C851" s="130"/>
      <c r="D851" s="131"/>
      <c r="E851" s="165"/>
      <c r="F851" s="131" t="s">
        <v>213</v>
      </c>
      <c r="G851" s="194" t="s">
        <v>255</v>
      </c>
      <c r="H851" s="430">
        <v>150</v>
      </c>
      <c r="I851" s="430">
        <v>-150</v>
      </c>
      <c r="J851" s="430">
        <f t="shared" si="287"/>
        <v>0</v>
      </c>
      <c r="K851" s="339"/>
      <c r="L851" s="399"/>
      <c r="M851" s="399"/>
      <c r="N851" s="399"/>
      <c r="O851" s="339"/>
      <c r="P851" s="168">
        <f t="shared" si="293"/>
        <v>150</v>
      </c>
      <c r="Q851" s="168">
        <f t="shared" si="294"/>
        <v>-150</v>
      </c>
      <c r="R851" s="168">
        <f t="shared" si="294"/>
        <v>0</v>
      </c>
    </row>
    <row r="852" spans="2:18" x14ac:dyDescent="0.2">
      <c r="B852" s="171">
        <f t="shared" si="281"/>
        <v>319</v>
      </c>
      <c r="C852" s="130"/>
      <c r="D852" s="131"/>
      <c r="E852" s="165"/>
      <c r="F852" s="131" t="s">
        <v>199</v>
      </c>
      <c r="G852" s="194" t="s">
        <v>318</v>
      </c>
      <c r="H852" s="430">
        <f>76985-12000</f>
        <v>64985</v>
      </c>
      <c r="I852" s="430">
        <f>-12626-800</f>
        <v>-13426</v>
      </c>
      <c r="J852" s="430">
        <f t="shared" si="287"/>
        <v>51559</v>
      </c>
      <c r="K852" s="339"/>
      <c r="L852" s="399"/>
      <c r="M852" s="399"/>
      <c r="N852" s="399"/>
      <c r="O852" s="339"/>
      <c r="P852" s="168">
        <f t="shared" si="293"/>
        <v>64985</v>
      </c>
      <c r="Q852" s="168">
        <f t="shared" ref="Q852:R867" si="297">I852+M852</f>
        <v>-13426</v>
      </c>
      <c r="R852" s="168">
        <f t="shared" si="297"/>
        <v>51559</v>
      </c>
    </row>
    <row r="853" spans="2:18" x14ac:dyDescent="0.2">
      <c r="B853" s="171">
        <f t="shared" si="281"/>
        <v>320</v>
      </c>
      <c r="C853" s="130"/>
      <c r="D853" s="131"/>
      <c r="E853" s="165"/>
      <c r="F853" s="131" t="s">
        <v>200</v>
      </c>
      <c r="G853" s="194" t="s">
        <v>247</v>
      </c>
      <c r="H853" s="430">
        <f>4350+1200+12000</f>
        <v>17550</v>
      </c>
      <c r="I853" s="430">
        <v>6680</v>
      </c>
      <c r="J853" s="430">
        <f t="shared" si="287"/>
        <v>24230</v>
      </c>
      <c r="K853" s="339"/>
      <c r="L853" s="399"/>
      <c r="M853" s="399"/>
      <c r="N853" s="399"/>
      <c r="O853" s="339"/>
      <c r="P853" s="168">
        <f t="shared" si="293"/>
        <v>17550</v>
      </c>
      <c r="Q853" s="168">
        <f t="shared" si="297"/>
        <v>6680</v>
      </c>
      <c r="R853" s="168">
        <f t="shared" si="297"/>
        <v>24230</v>
      </c>
    </row>
    <row r="854" spans="2:18" x14ac:dyDescent="0.2">
      <c r="B854" s="171">
        <f t="shared" si="281"/>
        <v>321</v>
      </c>
      <c r="C854" s="130"/>
      <c r="D854" s="131"/>
      <c r="E854" s="165"/>
      <c r="F854" s="131" t="s">
        <v>214</v>
      </c>
      <c r="G854" s="194" t="s">
        <v>261</v>
      </c>
      <c r="H854" s="430">
        <f>550+1300</f>
        <v>1850</v>
      </c>
      <c r="I854" s="430">
        <v>1720</v>
      </c>
      <c r="J854" s="430">
        <f t="shared" si="287"/>
        <v>3570</v>
      </c>
      <c r="K854" s="339"/>
      <c r="L854" s="399"/>
      <c r="M854" s="399"/>
      <c r="N854" s="399"/>
      <c r="O854" s="339"/>
      <c r="P854" s="168">
        <f t="shared" si="293"/>
        <v>1850</v>
      </c>
      <c r="Q854" s="168">
        <f t="shared" si="297"/>
        <v>1720</v>
      </c>
      <c r="R854" s="168">
        <f t="shared" si="297"/>
        <v>3570</v>
      </c>
    </row>
    <row r="855" spans="2:18" x14ac:dyDescent="0.2">
      <c r="B855" s="171">
        <f t="shared" si="281"/>
        <v>322</v>
      </c>
      <c r="C855" s="130"/>
      <c r="D855" s="131"/>
      <c r="E855" s="165"/>
      <c r="F855" s="131" t="s">
        <v>215</v>
      </c>
      <c r="G855" s="194" t="s">
        <v>634</v>
      </c>
      <c r="H855" s="430">
        <v>1650</v>
      </c>
      <c r="I855" s="430">
        <v>-332</v>
      </c>
      <c r="J855" s="430">
        <f t="shared" si="287"/>
        <v>1318</v>
      </c>
      <c r="K855" s="339"/>
      <c r="L855" s="399"/>
      <c r="M855" s="399"/>
      <c r="N855" s="399"/>
      <c r="O855" s="339"/>
      <c r="P855" s="168">
        <f t="shared" si="293"/>
        <v>1650</v>
      </c>
      <c r="Q855" s="168">
        <f t="shared" si="297"/>
        <v>-332</v>
      </c>
      <c r="R855" s="168">
        <f t="shared" si="297"/>
        <v>1318</v>
      </c>
    </row>
    <row r="856" spans="2:18" x14ac:dyDescent="0.2">
      <c r="B856" s="171">
        <f t="shared" si="281"/>
        <v>323</v>
      </c>
      <c r="C856" s="130"/>
      <c r="D856" s="131"/>
      <c r="E856" s="165"/>
      <c r="F856" s="131" t="s">
        <v>216</v>
      </c>
      <c r="G856" s="194" t="s">
        <v>248</v>
      </c>
      <c r="H856" s="430">
        <f>5360+897</f>
        <v>6257</v>
      </c>
      <c r="I856" s="430">
        <v>3440</v>
      </c>
      <c r="J856" s="430">
        <f t="shared" si="287"/>
        <v>9697</v>
      </c>
      <c r="K856" s="339"/>
      <c r="L856" s="399"/>
      <c r="M856" s="399"/>
      <c r="N856" s="399"/>
      <c r="O856" s="339"/>
      <c r="P856" s="168">
        <f t="shared" si="293"/>
        <v>6257</v>
      </c>
      <c r="Q856" s="168">
        <f t="shared" si="297"/>
        <v>3440</v>
      </c>
      <c r="R856" s="168">
        <f t="shared" si="297"/>
        <v>9697</v>
      </c>
    </row>
    <row r="857" spans="2:18" x14ac:dyDescent="0.2">
      <c r="B857" s="171">
        <f t="shared" si="281"/>
        <v>324</v>
      </c>
      <c r="C857" s="130"/>
      <c r="D857" s="131"/>
      <c r="E857" s="165"/>
      <c r="F857" s="131" t="s">
        <v>218</v>
      </c>
      <c r="G857" s="194" t="s">
        <v>791</v>
      </c>
      <c r="H857" s="430">
        <v>411</v>
      </c>
      <c r="I857" s="430"/>
      <c r="J857" s="430">
        <f t="shared" si="287"/>
        <v>411</v>
      </c>
      <c r="K857" s="339"/>
      <c r="L857" s="399"/>
      <c r="M857" s="399"/>
      <c r="N857" s="399"/>
      <c r="O857" s="339"/>
      <c r="P857" s="168">
        <f t="shared" si="293"/>
        <v>411</v>
      </c>
      <c r="Q857" s="168">
        <f t="shared" si="297"/>
        <v>0</v>
      </c>
      <c r="R857" s="168">
        <f t="shared" si="297"/>
        <v>411</v>
      </c>
    </row>
    <row r="858" spans="2:18" x14ac:dyDescent="0.2">
      <c r="B858" s="171">
        <f t="shared" si="281"/>
        <v>325</v>
      </c>
      <c r="C858" s="130"/>
      <c r="D858" s="131"/>
      <c r="E858" s="165"/>
      <c r="F858" s="284" t="s">
        <v>217</v>
      </c>
      <c r="G858" s="199" t="s">
        <v>371</v>
      </c>
      <c r="H858" s="462">
        <v>1700</v>
      </c>
      <c r="I858" s="462">
        <v>-1517</v>
      </c>
      <c r="J858" s="462">
        <f t="shared" si="287"/>
        <v>183</v>
      </c>
      <c r="K858" s="339"/>
      <c r="L858" s="399"/>
      <c r="M858" s="399"/>
      <c r="N858" s="399"/>
      <c r="O858" s="339"/>
      <c r="P858" s="530">
        <f t="shared" si="293"/>
        <v>1700</v>
      </c>
      <c r="Q858" s="530">
        <f t="shared" si="297"/>
        <v>-1517</v>
      </c>
      <c r="R858" s="530">
        <f t="shared" si="297"/>
        <v>183</v>
      </c>
    </row>
    <row r="859" spans="2:18" ht="15" x14ac:dyDescent="0.25">
      <c r="B859" s="171">
        <f t="shared" si="281"/>
        <v>326</v>
      </c>
      <c r="C859" s="130"/>
      <c r="D859" s="261" t="s">
        <v>347</v>
      </c>
      <c r="E859" s="147" t="s">
        <v>429</v>
      </c>
      <c r="F859" s="147" t="s">
        <v>420</v>
      </c>
      <c r="G859" s="236"/>
      <c r="H859" s="425">
        <f>H860+H870</f>
        <v>689984</v>
      </c>
      <c r="I859" s="425">
        <f t="shared" ref="I859" si="298">I860+I870</f>
        <v>263</v>
      </c>
      <c r="J859" s="425">
        <f t="shared" si="287"/>
        <v>690247</v>
      </c>
      <c r="K859" s="342"/>
      <c r="L859" s="851"/>
      <c r="M859" s="851"/>
      <c r="N859" s="851"/>
      <c r="O859" s="342"/>
      <c r="P859" s="330">
        <f t="shared" si="293"/>
        <v>689984</v>
      </c>
      <c r="Q859" s="330">
        <f t="shared" si="297"/>
        <v>263</v>
      </c>
      <c r="R859" s="330">
        <f t="shared" si="297"/>
        <v>690247</v>
      </c>
    </row>
    <row r="860" spans="2:18" ht="14.25" x14ac:dyDescent="0.2">
      <c r="B860" s="171">
        <f t="shared" si="281"/>
        <v>327</v>
      </c>
      <c r="C860" s="76"/>
      <c r="D860" s="515"/>
      <c r="E860" s="521" t="s">
        <v>428</v>
      </c>
      <c r="F860" s="518" t="s">
        <v>687</v>
      </c>
      <c r="G860" s="517"/>
      <c r="H860" s="519">
        <f>H861+H862+H863+H869</f>
        <v>315962</v>
      </c>
      <c r="I860" s="519">
        <f t="shared" ref="I860" si="299">I861+I862+I863+I869</f>
        <v>2414</v>
      </c>
      <c r="J860" s="519">
        <f t="shared" si="287"/>
        <v>318376</v>
      </c>
      <c r="K860" s="333"/>
      <c r="L860" s="856"/>
      <c r="M860" s="856"/>
      <c r="N860" s="856"/>
      <c r="O860" s="333"/>
      <c r="P860" s="520">
        <f t="shared" si="293"/>
        <v>315962</v>
      </c>
      <c r="Q860" s="520">
        <f t="shared" si="297"/>
        <v>2414</v>
      </c>
      <c r="R860" s="520">
        <f t="shared" si="297"/>
        <v>318376</v>
      </c>
    </row>
    <row r="861" spans="2:18" x14ac:dyDescent="0.2">
      <c r="B861" s="171">
        <f t="shared" si="281"/>
        <v>328</v>
      </c>
      <c r="C861" s="130"/>
      <c r="D861" s="131"/>
      <c r="E861" s="131"/>
      <c r="F861" s="144" t="s">
        <v>211</v>
      </c>
      <c r="G861" s="199" t="s">
        <v>505</v>
      </c>
      <c r="H861" s="529">
        <f>173418+15342</f>
        <v>188760</v>
      </c>
      <c r="I861" s="529">
        <v>5379</v>
      </c>
      <c r="J861" s="529">
        <f t="shared" si="287"/>
        <v>194139</v>
      </c>
      <c r="K861" s="339"/>
      <c r="L861" s="434"/>
      <c r="M861" s="434"/>
      <c r="N861" s="434"/>
      <c r="O861" s="339"/>
      <c r="P861" s="166">
        <f t="shared" si="293"/>
        <v>188760</v>
      </c>
      <c r="Q861" s="166">
        <f t="shared" si="297"/>
        <v>5379</v>
      </c>
      <c r="R861" s="166">
        <f t="shared" si="297"/>
        <v>194139</v>
      </c>
    </row>
    <row r="862" spans="2:18" x14ac:dyDescent="0.2">
      <c r="B862" s="171">
        <f t="shared" si="281"/>
        <v>329</v>
      </c>
      <c r="C862" s="130"/>
      <c r="D862" s="131"/>
      <c r="E862" s="131"/>
      <c r="F862" s="144" t="s">
        <v>212</v>
      </c>
      <c r="G862" s="199" t="s">
        <v>259</v>
      </c>
      <c r="H862" s="529">
        <f>58156+5361</f>
        <v>63517</v>
      </c>
      <c r="I862" s="529">
        <v>1813</v>
      </c>
      <c r="J862" s="529">
        <f t="shared" si="287"/>
        <v>65330</v>
      </c>
      <c r="K862" s="339"/>
      <c r="L862" s="434"/>
      <c r="M862" s="434"/>
      <c r="N862" s="434"/>
      <c r="O862" s="339"/>
      <c r="P862" s="166">
        <f t="shared" si="293"/>
        <v>63517</v>
      </c>
      <c r="Q862" s="166">
        <f t="shared" si="297"/>
        <v>1813</v>
      </c>
      <c r="R862" s="166">
        <f t="shared" si="297"/>
        <v>65330</v>
      </c>
    </row>
    <row r="863" spans="2:18" x14ac:dyDescent="0.2">
      <c r="B863" s="171">
        <f t="shared" si="281"/>
        <v>330</v>
      </c>
      <c r="C863" s="130"/>
      <c r="D863" s="131"/>
      <c r="E863" s="131"/>
      <c r="F863" s="144" t="s">
        <v>218</v>
      </c>
      <c r="G863" s="199" t="s">
        <v>340</v>
      </c>
      <c r="H863" s="529">
        <f>SUM(H864:H868)</f>
        <v>60872</v>
      </c>
      <c r="I863" s="529">
        <f>SUM(I864:I868)</f>
        <v>-4778</v>
      </c>
      <c r="J863" s="529">
        <f t="shared" si="287"/>
        <v>56094</v>
      </c>
      <c r="K863" s="339"/>
      <c r="L863" s="434"/>
      <c r="M863" s="434"/>
      <c r="N863" s="434"/>
      <c r="O863" s="339"/>
      <c r="P863" s="166">
        <f t="shared" si="293"/>
        <v>60872</v>
      </c>
      <c r="Q863" s="166">
        <f t="shared" si="297"/>
        <v>-4778</v>
      </c>
      <c r="R863" s="166">
        <f t="shared" si="297"/>
        <v>56094</v>
      </c>
    </row>
    <row r="864" spans="2:18" x14ac:dyDescent="0.2">
      <c r="B864" s="171">
        <f t="shared" si="281"/>
        <v>331</v>
      </c>
      <c r="C864" s="130"/>
      <c r="D864" s="131"/>
      <c r="E864" s="131"/>
      <c r="F864" s="131" t="s">
        <v>213</v>
      </c>
      <c r="G864" s="194" t="s">
        <v>255</v>
      </c>
      <c r="H864" s="399">
        <v>220</v>
      </c>
      <c r="I864" s="399">
        <v>-175</v>
      </c>
      <c r="J864" s="399">
        <f t="shared" si="287"/>
        <v>45</v>
      </c>
      <c r="K864" s="339"/>
      <c r="L864" s="434"/>
      <c r="M864" s="434"/>
      <c r="N864" s="434"/>
      <c r="O864" s="339"/>
      <c r="P864" s="167">
        <f t="shared" si="293"/>
        <v>220</v>
      </c>
      <c r="Q864" s="167">
        <f t="shared" si="297"/>
        <v>-175</v>
      </c>
      <c r="R864" s="167">
        <f t="shared" si="297"/>
        <v>45</v>
      </c>
    </row>
    <row r="865" spans="2:18" x14ac:dyDescent="0.2">
      <c r="B865" s="171">
        <f t="shared" si="281"/>
        <v>332</v>
      </c>
      <c r="C865" s="130"/>
      <c r="D865" s="131"/>
      <c r="E865" s="131"/>
      <c r="F865" s="131" t="s">
        <v>199</v>
      </c>
      <c r="G865" s="194" t="s">
        <v>318</v>
      </c>
      <c r="H865" s="399">
        <f>34320+1550</f>
        <v>35870</v>
      </c>
      <c r="I865" s="399">
        <v>-575</v>
      </c>
      <c r="J865" s="399">
        <f t="shared" si="287"/>
        <v>35295</v>
      </c>
      <c r="K865" s="339"/>
      <c r="L865" s="434"/>
      <c r="M865" s="434"/>
      <c r="N865" s="434"/>
      <c r="O865" s="339"/>
      <c r="P865" s="167">
        <f t="shared" si="293"/>
        <v>35870</v>
      </c>
      <c r="Q865" s="167">
        <f t="shared" si="297"/>
        <v>-575</v>
      </c>
      <c r="R865" s="167">
        <f t="shared" si="297"/>
        <v>35295</v>
      </c>
    </row>
    <row r="866" spans="2:18" x14ac:dyDescent="0.2">
      <c r="B866" s="171">
        <f t="shared" si="281"/>
        <v>333</v>
      </c>
      <c r="C866" s="130"/>
      <c r="D866" s="131"/>
      <c r="E866" s="131"/>
      <c r="F866" s="131" t="s">
        <v>200</v>
      </c>
      <c r="G866" s="194" t="s">
        <v>247</v>
      </c>
      <c r="H866" s="399">
        <v>9366</v>
      </c>
      <c r="I866" s="399">
        <v>-471</v>
      </c>
      <c r="J866" s="399">
        <f t="shared" si="287"/>
        <v>8895</v>
      </c>
      <c r="K866" s="339"/>
      <c r="L866" s="434"/>
      <c r="M866" s="434"/>
      <c r="N866" s="434"/>
      <c r="O866" s="339"/>
      <c r="P866" s="167">
        <f t="shared" si="293"/>
        <v>9366</v>
      </c>
      <c r="Q866" s="167">
        <f t="shared" si="297"/>
        <v>-471</v>
      </c>
      <c r="R866" s="167">
        <f t="shared" si="297"/>
        <v>8895</v>
      </c>
    </row>
    <row r="867" spans="2:18" x14ac:dyDescent="0.2">
      <c r="B867" s="171">
        <f t="shared" si="281"/>
        <v>334</v>
      </c>
      <c r="C867" s="130"/>
      <c r="D867" s="131"/>
      <c r="E867" s="131"/>
      <c r="F867" s="131" t="s">
        <v>214</v>
      </c>
      <c r="G867" s="194" t="s">
        <v>261</v>
      </c>
      <c r="H867" s="399">
        <f>2310+3178</f>
        <v>5488</v>
      </c>
      <c r="I867" s="399">
        <v>-1620</v>
      </c>
      <c r="J867" s="399">
        <f t="shared" si="287"/>
        <v>3868</v>
      </c>
      <c r="K867" s="339"/>
      <c r="L867" s="434"/>
      <c r="M867" s="434"/>
      <c r="N867" s="434"/>
      <c r="O867" s="339"/>
      <c r="P867" s="167">
        <f t="shared" si="293"/>
        <v>5488</v>
      </c>
      <c r="Q867" s="167">
        <f t="shared" si="297"/>
        <v>-1620</v>
      </c>
      <c r="R867" s="167">
        <f t="shared" si="297"/>
        <v>3868</v>
      </c>
    </row>
    <row r="868" spans="2:18" x14ac:dyDescent="0.2">
      <c r="B868" s="171">
        <f t="shared" ref="B868:B933" si="300">B867+1</f>
        <v>335</v>
      </c>
      <c r="C868" s="130"/>
      <c r="D868" s="131"/>
      <c r="E868" s="131"/>
      <c r="F868" s="131" t="s">
        <v>216</v>
      </c>
      <c r="G868" s="194" t="s">
        <v>248</v>
      </c>
      <c r="H868" s="399">
        <f>7403+2525</f>
        <v>9928</v>
      </c>
      <c r="I868" s="399">
        <v>-1937</v>
      </c>
      <c r="J868" s="399">
        <f t="shared" si="287"/>
        <v>7991</v>
      </c>
      <c r="K868" s="339"/>
      <c r="L868" s="434"/>
      <c r="M868" s="434"/>
      <c r="N868" s="434"/>
      <c r="O868" s="339"/>
      <c r="P868" s="167">
        <f t="shared" ref="P868:P901" si="301">H868+L868</f>
        <v>9928</v>
      </c>
      <c r="Q868" s="167">
        <f t="shared" ref="Q868:R883" si="302">I868+M868</f>
        <v>-1937</v>
      </c>
      <c r="R868" s="167">
        <f t="shared" si="302"/>
        <v>7991</v>
      </c>
    </row>
    <row r="869" spans="2:18" x14ac:dyDescent="0.2">
      <c r="B869" s="171">
        <f t="shared" si="300"/>
        <v>336</v>
      </c>
      <c r="C869" s="130"/>
      <c r="D869" s="131"/>
      <c r="E869" s="131"/>
      <c r="F869" s="144" t="s">
        <v>217</v>
      </c>
      <c r="G869" s="199" t="s">
        <v>371</v>
      </c>
      <c r="H869" s="529">
        <v>2813</v>
      </c>
      <c r="I869" s="529"/>
      <c r="J869" s="529">
        <f t="shared" si="287"/>
        <v>2813</v>
      </c>
      <c r="K869" s="339"/>
      <c r="L869" s="434"/>
      <c r="M869" s="434"/>
      <c r="N869" s="434"/>
      <c r="O869" s="339"/>
      <c r="P869" s="166">
        <f t="shared" si="301"/>
        <v>2813</v>
      </c>
      <c r="Q869" s="166">
        <f t="shared" si="302"/>
        <v>0</v>
      </c>
      <c r="R869" s="166">
        <f t="shared" si="302"/>
        <v>2813</v>
      </c>
    </row>
    <row r="870" spans="2:18" ht="14.25" x14ac:dyDescent="0.2">
      <c r="B870" s="171">
        <f t="shared" si="300"/>
        <v>337</v>
      </c>
      <c r="C870" s="130"/>
      <c r="D870" s="131"/>
      <c r="E870" s="521" t="s">
        <v>685</v>
      </c>
      <c r="F870" s="518" t="s">
        <v>686</v>
      </c>
      <c r="G870" s="601"/>
      <c r="H870" s="522">
        <f>H871+H872+H873+H880</f>
        <v>374022</v>
      </c>
      <c r="I870" s="522">
        <f t="shared" ref="I870" si="303">I871+I872+I873+I880</f>
        <v>-2151</v>
      </c>
      <c r="J870" s="522">
        <f t="shared" si="287"/>
        <v>371871</v>
      </c>
      <c r="K870" s="339"/>
      <c r="L870" s="856"/>
      <c r="M870" s="856"/>
      <c r="N870" s="856"/>
      <c r="O870" s="339"/>
      <c r="P870" s="520">
        <f t="shared" si="301"/>
        <v>374022</v>
      </c>
      <c r="Q870" s="520">
        <f t="shared" si="302"/>
        <v>-2151</v>
      </c>
      <c r="R870" s="520">
        <f t="shared" si="302"/>
        <v>371871</v>
      </c>
    </row>
    <row r="871" spans="2:18" x14ac:dyDescent="0.2">
      <c r="B871" s="171">
        <f t="shared" si="300"/>
        <v>338</v>
      </c>
      <c r="C871" s="130"/>
      <c r="D871" s="131"/>
      <c r="E871" s="165"/>
      <c r="F871" s="144" t="s">
        <v>211</v>
      </c>
      <c r="G871" s="199" t="s">
        <v>505</v>
      </c>
      <c r="H871" s="462">
        <f>215502+18744</f>
        <v>234246</v>
      </c>
      <c r="I871" s="462">
        <v>235</v>
      </c>
      <c r="J871" s="462">
        <f t="shared" si="287"/>
        <v>234481</v>
      </c>
      <c r="K871" s="339"/>
      <c r="L871" s="399"/>
      <c r="M871" s="399"/>
      <c r="N871" s="399"/>
      <c r="O871" s="339"/>
      <c r="P871" s="530">
        <f t="shared" si="301"/>
        <v>234246</v>
      </c>
      <c r="Q871" s="530">
        <f t="shared" si="302"/>
        <v>235</v>
      </c>
      <c r="R871" s="530">
        <f t="shared" si="302"/>
        <v>234481</v>
      </c>
    </row>
    <row r="872" spans="2:18" x14ac:dyDescent="0.2">
      <c r="B872" s="171">
        <f t="shared" si="300"/>
        <v>339</v>
      </c>
      <c r="C872" s="130"/>
      <c r="D872" s="131"/>
      <c r="E872" s="165"/>
      <c r="F872" s="144" t="s">
        <v>212</v>
      </c>
      <c r="G872" s="199" t="s">
        <v>259</v>
      </c>
      <c r="H872" s="462">
        <f>72329+6553</f>
        <v>78882</v>
      </c>
      <c r="I872" s="462"/>
      <c r="J872" s="462">
        <f t="shared" si="287"/>
        <v>78882</v>
      </c>
      <c r="K872" s="339"/>
      <c r="L872" s="399"/>
      <c r="M872" s="399"/>
      <c r="N872" s="399"/>
      <c r="O872" s="339"/>
      <c r="P872" s="530">
        <f t="shared" si="301"/>
        <v>78882</v>
      </c>
      <c r="Q872" s="530">
        <f t="shared" si="302"/>
        <v>0</v>
      </c>
      <c r="R872" s="530">
        <f t="shared" si="302"/>
        <v>78882</v>
      </c>
    </row>
    <row r="873" spans="2:18" x14ac:dyDescent="0.2">
      <c r="B873" s="171">
        <f t="shared" si="300"/>
        <v>340</v>
      </c>
      <c r="C873" s="130"/>
      <c r="D873" s="131"/>
      <c r="E873" s="165"/>
      <c r="F873" s="144" t="s">
        <v>218</v>
      </c>
      <c r="G873" s="199" t="s">
        <v>340</v>
      </c>
      <c r="H873" s="529">
        <f>SUM(H874:H879)</f>
        <v>57457</v>
      </c>
      <c r="I873" s="529">
        <f>SUM(I874:I879)</f>
        <v>-3813</v>
      </c>
      <c r="J873" s="529">
        <f t="shared" si="287"/>
        <v>53644</v>
      </c>
      <c r="K873" s="339"/>
      <c r="L873" s="399"/>
      <c r="M873" s="399"/>
      <c r="N873" s="399"/>
      <c r="O873" s="339"/>
      <c r="P873" s="530">
        <f t="shared" si="301"/>
        <v>57457</v>
      </c>
      <c r="Q873" s="530">
        <f t="shared" si="302"/>
        <v>-3813</v>
      </c>
      <c r="R873" s="530">
        <f t="shared" si="302"/>
        <v>53644</v>
      </c>
    </row>
    <row r="874" spans="2:18" x14ac:dyDescent="0.2">
      <c r="B874" s="171">
        <f t="shared" si="300"/>
        <v>341</v>
      </c>
      <c r="C874" s="130"/>
      <c r="D874" s="131"/>
      <c r="E874" s="165"/>
      <c r="F874" s="131" t="s">
        <v>213</v>
      </c>
      <c r="G874" s="194" t="s">
        <v>255</v>
      </c>
      <c r="H874" s="430">
        <v>180</v>
      </c>
      <c r="I874" s="430">
        <v>-143</v>
      </c>
      <c r="J874" s="430">
        <f t="shared" si="287"/>
        <v>37</v>
      </c>
      <c r="K874" s="339"/>
      <c r="L874" s="399"/>
      <c r="M874" s="399"/>
      <c r="N874" s="399"/>
      <c r="O874" s="339"/>
      <c r="P874" s="168">
        <f t="shared" si="301"/>
        <v>180</v>
      </c>
      <c r="Q874" s="168">
        <f t="shared" si="302"/>
        <v>-143</v>
      </c>
      <c r="R874" s="168">
        <f t="shared" si="302"/>
        <v>37</v>
      </c>
    </row>
    <row r="875" spans="2:18" x14ac:dyDescent="0.2">
      <c r="B875" s="171">
        <f t="shared" si="300"/>
        <v>342</v>
      </c>
      <c r="C875" s="130"/>
      <c r="D875" s="131"/>
      <c r="E875" s="165"/>
      <c r="F875" s="131" t="s">
        <v>199</v>
      </c>
      <c r="G875" s="194" t="s">
        <v>318</v>
      </c>
      <c r="H875" s="430">
        <f>28080+2177</f>
        <v>30257</v>
      </c>
      <c r="I875" s="430">
        <v>-653</v>
      </c>
      <c r="J875" s="430">
        <f t="shared" si="287"/>
        <v>29604</v>
      </c>
      <c r="K875" s="339"/>
      <c r="L875" s="399"/>
      <c r="M875" s="399"/>
      <c r="N875" s="399"/>
      <c r="O875" s="339"/>
      <c r="P875" s="168">
        <f t="shared" si="301"/>
        <v>30257</v>
      </c>
      <c r="Q875" s="168">
        <f t="shared" si="302"/>
        <v>-653</v>
      </c>
      <c r="R875" s="168">
        <f t="shared" si="302"/>
        <v>29604</v>
      </c>
    </row>
    <row r="876" spans="2:18" x14ac:dyDescent="0.2">
      <c r="B876" s="171">
        <f t="shared" si="300"/>
        <v>343</v>
      </c>
      <c r="C876" s="130"/>
      <c r="D876" s="131"/>
      <c r="E876" s="165"/>
      <c r="F876" s="131" t="s">
        <v>200</v>
      </c>
      <c r="G876" s="194" t="s">
        <v>247</v>
      </c>
      <c r="H876" s="430">
        <v>7664</v>
      </c>
      <c r="I876" s="430">
        <v>-568</v>
      </c>
      <c r="J876" s="430">
        <f t="shared" si="287"/>
        <v>7096</v>
      </c>
      <c r="K876" s="339"/>
      <c r="L876" s="399"/>
      <c r="M876" s="399"/>
      <c r="N876" s="399"/>
      <c r="O876" s="339"/>
      <c r="P876" s="168">
        <f t="shared" si="301"/>
        <v>7664</v>
      </c>
      <c r="Q876" s="168">
        <f t="shared" si="302"/>
        <v>-568</v>
      </c>
      <c r="R876" s="168">
        <f t="shared" si="302"/>
        <v>7096</v>
      </c>
    </row>
    <row r="877" spans="2:18" x14ac:dyDescent="0.2">
      <c r="B877" s="171">
        <f t="shared" si="300"/>
        <v>344</v>
      </c>
      <c r="C877" s="130"/>
      <c r="D877" s="131"/>
      <c r="E877" s="165"/>
      <c r="F877" s="131" t="s">
        <v>214</v>
      </c>
      <c r="G877" s="194" t="s">
        <v>261</v>
      </c>
      <c r="H877" s="430">
        <f>2490+1822</f>
        <v>4312</v>
      </c>
      <c r="I877" s="430">
        <v>-1325</v>
      </c>
      <c r="J877" s="430">
        <f t="shared" si="287"/>
        <v>2987</v>
      </c>
      <c r="K877" s="339"/>
      <c r="L877" s="399"/>
      <c r="M877" s="399"/>
      <c r="N877" s="399"/>
      <c r="O877" s="339"/>
      <c r="P877" s="168">
        <f t="shared" si="301"/>
        <v>4312</v>
      </c>
      <c r="Q877" s="168">
        <f t="shared" si="302"/>
        <v>-1325</v>
      </c>
      <c r="R877" s="168">
        <f t="shared" si="302"/>
        <v>2987</v>
      </c>
    </row>
    <row r="878" spans="2:18" x14ac:dyDescent="0.2">
      <c r="B878" s="171">
        <f t="shared" si="300"/>
        <v>345</v>
      </c>
      <c r="C878" s="130"/>
      <c r="D878" s="131"/>
      <c r="E878" s="165"/>
      <c r="F878" s="131" t="s">
        <v>216</v>
      </c>
      <c r="G878" s="194" t="s">
        <v>248</v>
      </c>
      <c r="H878" s="430">
        <f>7552+1937</f>
        <v>9489</v>
      </c>
      <c r="I878" s="430">
        <v>-1124</v>
      </c>
      <c r="J878" s="430">
        <f t="shared" si="287"/>
        <v>8365</v>
      </c>
      <c r="K878" s="339"/>
      <c r="L878" s="399"/>
      <c r="M878" s="399"/>
      <c r="N878" s="399"/>
      <c r="O878" s="339"/>
      <c r="P878" s="168">
        <f t="shared" si="301"/>
        <v>9489</v>
      </c>
      <c r="Q878" s="168">
        <f t="shared" si="302"/>
        <v>-1124</v>
      </c>
      <c r="R878" s="168">
        <f t="shared" si="302"/>
        <v>8365</v>
      </c>
    </row>
    <row r="879" spans="2:18" x14ac:dyDescent="0.2">
      <c r="B879" s="171">
        <f t="shared" si="300"/>
        <v>346</v>
      </c>
      <c r="C879" s="130"/>
      <c r="D879" s="131"/>
      <c r="E879" s="165"/>
      <c r="F879" s="131" t="s">
        <v>218</v>
      </c>
      <c r="G879" s="194" t="s">
        <v>791</v>
      </c>
      <c r="H879" s="430">
        <v>5555</v>
      </c>
      <c r="I879" s="430"/>
      <c r="J879" s="430">
        <f t="shared" ref="J879:J944" si="304">H879+I879</f>
        <v>5555</v>
      </c>
      <c r="K879" s="339"/>
      <c r="L879" s="399"/>
      <c r="M879" s="399"/>
      <c r="N879" s="399"/>
      <c r="O879" s="339"/>
      <c r="P879" s="168">
        <f t="shared" si="301"/>
        <v>5555</v>
      </c>
      <c r="Q879" s="168">
        <f t="shared" si="302"/>
        <v>0</v>
      </c>
      <c r="R879" s="168">
        <f t="shared" si="302"/>
        <v>5555</v>
      </c>
    </row>
    <row r="880" spans="2:18" x14ac:dyDescent="0.2">
      <c r="B880" s="171">
        <f t="shared" si="300"/>
        <v>347</v>
      </c>
      <c r="C880" s="130"/>
      <c r="D880" s="131"/>
      <c r="E880" s="165"/>
      <c r="F880" s="284" t="s">
        <v>217</v>
      </c>
      <c r="G880" s="199" t="s">
        <v>371</v>
      </c>
      <c r="H880" s="462">
        <v>3437</v>
      </c>
      <c r="I880" s="462">
        <v>1427</v>
      </c>
      <c r="J880" s="462">
        <f t="shared" si="304"/>
        <v>4864</v>
      </c>
      <c r="K880" s="339"/>
      <c r="L880" s="399"/>
      <c r="M880" s="399"/>
      <c r="N880" s="399"/>
      <c r="O880" s="339"/>
      <c r="P880" s="530">
        <f t="shared" si="301"/>
        <v>3437</v>
      </c>
      <c r="Q880" s="530">
        <f t="shared" si="302"/>
        <v>1427</v>
      </c>
      <c r="R880" s="530">
        <f t="shared" si="302"/>
        <v>4864</v>
      </c>
    </row>
    <row r="881" spans="2:18" ht="15" x14ac:dyDescent="0.25">
      <c r="B881" s="171">
        <f t="shared" si="300"/>
        <v>348</v>
      </c>
      <c r="C881" s="130"/>
      <c r="D881" s="261" t="s">
        <v>349</v>
      </c>
      <c r="E881" s="147" t="s">
        <v>429</v>
      </c>
      <c r="F881" s="147" t="s">
        <v>374</v>
      </c>
      <c r="G881" s="236"/>
      <c r="H881" s="425">
        <f>H882+H892</f>
        <v>372305</v>
      </c>
      <c r="I881" s="425">
        <f t="shared" ref="I881" si="305">I882+I892</f>
        <v>938</v>
      </c>
      <c r="J881" s="425">
        <f t="shared" si="304"/>
        <v>373243</v>
      </c>
      <c r="K881" s="342"/>
      <c r="L881" s="849"/>
      <c r="M881" s="849"/>
      <c r="N881" s="849"/>
      <c r="O881" s="342"/>
      <c r="P881" s="330">
        <f t="shared" si="301"/>
        <v>372305</v>
      </c>
      <c r="Q881" s="330">
        <f t="shared" si="302"/>
        <v>938</v>
      </c>
      <c r="R881" s="330">
        <f t="shared" si="302"/>
        <v>373243</v>
      </c>
    </row>
    <row r="882" spans="2:18" ht="14.25" x14ac:dyDescent="0.2">
      <c r="B882" s="171">
        <f t="shared" si="300"/>
        <v>349</v>
      </c>
      <c r="C882" s="76"/>
      <c r="D882" s="515"/>
      <c r="E882" s="521" t="s">
        <v>428</v>
      </c>
      <c r="F882" s="518" t="s">
        <v>687</v>
      </c>
      <c r="G882" s="517"/>
      <c r="H882" s="519">
        <f>H883+H884+H885+H891</f>
        <v>141048</v>
      </c>
      <c r="I882" s="519">
        <f t="shared" ref="I882" si="306">I883+I884+I885+I891</f>
        <v>-2101</v>
      </c>
      <c r="J882" s="519">
        <f t="shared" si="304"/>
        <v>138947</v>
      </c>
      <c r="K882" s="333"/>
      <c r="L882" s="856"/>
      <c r="M882" s="856"/>
      <c r="N882" s="856"/>
      <c r="O882" s="333"/>
      <c r="P882" s="520">
        <f t="shared" si="301"/>
        <v>141048</v>
      </c>
      <c r="Q882" s="520">
        <f t="shared" si="302"/>
        <v>-2101</v>
      </c>
      <c r="R882" s="520">
        <f t="shared" si="302"/>
        <v>138947</v>
      </c>
    </row>
    <row r="883" spans="2:18" x14ac:dyDescent="0.2">
      <c r="B883" s="171">
        <f t="shared" si="300"/>
        <v>350</v>
      </c>
      <c r="C883" s="130"/>
      <c r="D883" s="131"/>
      <c r="E883" s="131"/>
      <c r="F883" s="144" t="s">
        <v>211</v>
      </c>
      <c r="G883" s="199" t="s">
        <v>505</v>
      </c>
      <c r="H883" s="529">
        <f>83784+713</f>
        <v>84497</v>
      </c>
      <c r="I883" s="529">
        <v>-345</v>
      </c>
      <c r="J883" s="529">
        <f t="shared" si="304"/>
        <v>84152</v>
      </c>
      <c r="K883" s="339"/>
      <c r="L883" s="434"/>
      <c r="M883" s="434"/>
      <c r="N883" s="434"/>
      <c r="O883" s="339"/>
      <c r="P883" s="166">
        <f t="shared" si="301"/>
        <v>84497</v>
      </c>
      <c r="Q883" s="166">
        <f t="shared" si="302"/>
        <v>-345</v>
      </c>
      <c r="R883" s="166">
        <f t="shared" si="302"/>
        <v>84152</v>
      </c>
    </row>
    <row r="884" spans="2:18" x14ac:dyDescent="0.2">
      <c r="B884" s="171">
        <f t="shared" si="300"/>
        <v>351</v>
      </c>
      <c r="C884" s="130"/>
      <c r="D884" s="131"/>
      <c r="E884" s="131"/>
      <c r="F884" s="144" t="s">
        <v>212</v>
      </c>
      <c r="G884" s="199" t="s">
        <v>259</v>
      </c>
      <c r="H884" s="529">
        <f>29278+248</f>
        <v>29526</v>
      </c>
      <c r="I884" s="529">
        <v>-121</v>
      </c>
      <c r="J884" s="529">
        <f t="shared" si="304"/>
        <v>29405</v>
      </c>
      <c r="K884" s="339"/>
      <c r="L884" s="434"/>
      <c r="M884" s="434"/>
      <c r="N884" s="434"/>
      <c r="O884" s="339"/>
      <c r="P884" s="166">
        <f t="shared" si="301"/>
        <v>29526</v>
      </c>
      <c r="Q884" s="166">
        <f t="shared" ref="Q884:R899" si="307">I884+M884</f>
        <v>-121</v>
      </c>
      <c r="R884" s="166">
        <f t="shared" si="307"/>
        <v>29405</v>
      </c>
    </row>
    <row r="885" spans="2:18" x14ac:dyDescent="0.2">
      <c r="B885" s="171">
        <f t="shared" si="300"/>
        <v>352</v>
      </c>
      <c r="C885" s="130"/>
      <c r="D885" s="131"/>
      <c r="E885" s="131"/>
      <c r="F885" s="144" t="s">
        <v>218</v>
      </c>
      <c r="G885" s="199" t="s">
        <v>340</v>
      </c>
      <c r="H885" s="529">
        <f>SUM(H886:H890)</f>
        <v>26865</v>
      </c>
      <c r="I885" s="529">
        <f>SUM(I886:I890)</f>
        <v>-2145</v>
      </c>
      <c r="J885" s="529">
        <f t="shared" si="304"/>
        <v>24720</v>
      </c>
      <c r="K885" s="339"/>
      <c r="L885" s="434"/>
      <c r="M885" s="434"/>
      <c r="N885" s="434"/>
      <c r="O885" s="339"/>
      <c r="P885" s="166">
        <f t="shared" si="301"/>
        <v>26865</v>
      </c>
      <c r="Q885" s="166">
        <f t="shared" si="307"/>
        <v>-2145</v>
      </c>
      <c r="R885" s="166">
        <f t="shared" si="307"/>
        <v>24720</v>
      </c>
    </row>
    <row r="886" spans="2:18" x14ac:dyDescent="0.2">
      <c r="B886" s="171">
        <f t="shared" si="300"/>
        <v>353</v>
      </c>
      <c r="C886" s="130"/>
      <c r="D886" s="131"/>
      <c r="E886" s="131"/>
      <c r="F886" s="131" t="s">
        <v>213</v>
      </c>
      <c r="G886" s="194" t="s">
        <v>255</v>
      </c>
      <c r="H886" s="399">
        <v>15</v>
      </c>
      <c r="I886" s="399">
        <v>12</v>
      </c>
      <c r="J886" s="399">
        <f t="shared" si="304"/>
        <v>27</v>
      </c>
      <c r="K886" s="339"/>
      <c r="L886" s="434"/>
      <c r="M886" s="434"/>
      <c r="N886" s="434"/>
      <c r="O886" s="339"/>
      <c r="P886" s="167">
        <f t="shared" si="301"/>
        <v>15</v>
      </c>
      <c r="Q886" s="167">
        <f t="shared" si="307"/>
        <v>12</v>
      </c>
      <c r="R886" s="167">
        <f t="shared" si="307"/>
        <v>27</v>
      </c>
    </row>
    <row r="887" spans="2:18" x14ac:dyDescent="0.2">
      <c r="B887" s="171">
        <f t="shared" si="300"/>
        <v>354</v>
      </c>
      <c r="C887" s="130"/>
      <c r="D887" s="131"/>
      <c r="E887" s="131"/>
      <c r="F887" s="131" t="s">
        <v>199</v>
      </c>
      <c r="G887" s="194" t="s">
        <v>318</v>
      </c>
      <c r="H887" s="399">
        <f>22480-2876</f>
        <v>19604</v>
      </c>
      <c r="I887" s="399">
        <v>-1300</v>
      </c>
      <c r="J887" s="399">
        <f t="shared" si="304"/>
        <v>18304</v>
      </c>
      <c r="K887" s="339"/>
      <c r="L887" s="434"/>
      <c r="M887" s="434"/>
      <c r="N887" s="434"/>
      <c r="O887" s="339"/>
      <c r="P887" s="167">
        <f t="shared" si="301"/>
        <v>19604</v>
      </c>
      <c r="Q887" s="167">
        <f t="shared" si="307"/>
        <v>-1300</v>
      </c>
      <c r="R887" s="167">
        <f t="shared" si="307"/>
        <v>18304</v>
      </c>
    </row>
    <row r="888" spans="2:18" x14ac:dyDescent="0.2">
      <c r="B888" s="171">
        <f t="shared" si="300"/>
        <v>355</v>
      </c>
      <c r="C888" s="130"/>
      <c r="D888" s="131"/>
      <c r="E888" s="131"/>
      <c r="F888" s="131" t="s">
        <v>200</v>
      </c>
      <c r="G888" s="194" t="s">
        <v>247</v>
      </c>
      <c r="H888" s="399">
        <f>2130</f>
        <v>2130</v>
      </c>
      <c r="I888" s="399">
        <v>-575</v>
      </c>
      <c r="J888" s="399">
        <f t="shared" si="304"/>
        <v>1555</v>
      </c>
      <c r="K888" s="339"/>
      <c r="L888" s="434"/>
      <c r="M888" s="434"/>
      <c r="N888" s="434"/>
      <c r="O888" s="339"/>
      <c r="P888" s="167">
        <f t="shared" si="301"/>
        <v>2130</v>
      </c>
      <c r="Q888" s="167">
        <f t="shared" si="307"/>
        <v>-575</v>
      </c>
      <c r="R888" s="167">
        <f t="shared" si="307"/>
        <v>1555</v>
      </c>
    </row>
    <row r="889" spans="2:18" x14ac:dyDescent="0.2">
      <c r="B889" s="171">
        <f t="shared" si="300"/>
        <v>356</v>
      </c>
      <c r="C889" s="130"/>
      <c r="D889" s="131"/>
      <c r="E889" s="131"/>
      <c r="F889" s="131" t="s">
        <v>214</v>
      </c>
      <c r="G889" s="194" t="s">
        <v>261</v>
      </c>
      <c r="H889" s="430">
        <v>555</v>
      </c>
      <c r="I889" s="430">
        <v>-282</v>
      </c>
      <c r="J889" s="430">
        <f t="shared" si="304"/>
        <v>273</v>
      </c>
      <c r="K889" s="344"/>
      <c r="L889" s="434"/>
      <c r="M889" s="434"/>
      <c r="N889" s="434"/>
      <c r="O889" s="344"/>
      <c r="P889" s="167">
        <f t="shared" si="301"/>
        <v>555</v>
      </c>
      <c r="Q889" s="167">
        <f t="shared" si="307"/>
        <v>-282</v>
      </c>
      <c r="R889" s="167">
        <f t="shared" si="307"/>
        <v>273</v>
      </c>
    </row>
    <row r="890" spans="2:18" x14ac:dyDescent="0.2">
      <c r="B890" s="171">
        <f t="shared" si="300"/>
        <v>357</v>
      </c>
      <c r="C890" s="130"/>
      <c r="D890" s="131"/>
      <c r="E890" s="131"/>
      <c r="F890" s="131" t="s">
        <v>216</v>
      </c>
      <c r="G890" s="194" t="s">
        <v>248</v>
      </c>
      <c r="H890" s="399">
        <v>4561</v>
      </c>
      <c r="I890" s="399"/>
      <c r="J890" s="399">
        <f t="shared" si="304"/>
        <v>4561</v>
      </c>
      <c r="K890" s="339"/>
      <c r="L890" s="434"/>
      <c r="M890" s="434"/>
      <c r="N890" s="434"/>
      <c r="O890" s="339"/>
      <c r="P890" s="167">
        <f t="shared" si="301"/>
        <v>4561</v>
      </c>
      <c r="Q890" s="167">
        <f t="shared" si="307"/>
        <v>0</v>
      </c>
      <c r="R890" s="167">
        <f t="shared" si="307"/>
        <v>4561</v>
      </c>
    </row>
    <row r="891" spans="2:18" x14ac:dyDescent="0.2">
      <c r="B891" s="171">
        <f t="shared" si="300"/>
        <v>358</v>
      </c>
      <c r="C891" s="135"/>
      <c r="D891" s="135"/>
      <c r="E891" s="290"/>
      <c r="F891" s="284" t="s">
        <v>217</v>
      </c>
      <c r="G891" s="199" t="s">
        <v>371</v>
      </c>
      <c r="H891" s="529">
        <f>40+120</f>
        <v>160</v>
      </c>
      <c r="I891" s="529">
        <v>510</v>
      </c>
      <c r="J891" s="529">
        <f t="shared" si="304"/>
        <v>670</v>
      </c>
      <c r="K891" s="340"/>
      <c r="L891" s="399"/>
      <c r="M891" s="399"/>
      <c r="N891" s="399"/>
      <c r="O891" s="340"/>
      <c r="P891" s="530">
        <f t="shared" si="301"/>
        <v>160</v>
      </c>
      <c r="Q891" s="530">
        <f t="shared" si="307"/>
        <v>510</v>
      </c>
      <c r="R891" s="530">
        <f t="shared" si="307"/>
        <v>670</v>
      </c>
    </row>
    <row r="892" spans="2:18" ht="14.25" x14ac:dyDescent="0.2">
      <c r="B892" s="171">
        <f t="shared" si="300"/>
        <v>359</v>
      </c>
      <c r="C892" s="130"/>
      <c r="D892" s="131"/>
      <c r="E892" s="521" t="s">
        <v>685</v>
      </c>
      <c r="F892" s="518" t="s">
        <v>686</v>
      </c>
      <c r="G892" s="601"/>
      <c r="H892" s="522">
        <f>H893+H894+H895+H901</f>
        <v>231257</v>
      </c>
      <c r="I892" s="522">
        <f t="shared" ref="I892" si="308">I893+I894+I895+I901</f>
        <v>3039</v>
      </c>
      <c r="J892" s="522">
        <f t="shared" si="304"/>
        <v>234296</v>
      </c>
      <c r="K892" s="339"/>
      <c r="L892" s="856"/>
      <c r="M892" s="856"/>
      <c r="N892" s="856"/>
      <c r="O892" s="339"/>
      <c r="P892" s="520">
        <f t="shared" si="301"/>
        <v>231257</v>
      </c>
      <c r="Q892" s="520">
        <f t="shared" si="307"/>
        <v>3039</v>
      </c>
      <c r="R892" s="520">
        <f t="shared" si="307"/>
        <v>234296</v>
      </c>
    </row>
    <row r="893" spans="2:18" x14ac:dyDescent="0.2">
      <c r="B893" s="171">
        <f t="shared" si="300"/>
        <v>360</v>
      </c>
      <c r="C893" s="130"/>
      <c r="D893" s="131"/>
      <c r="E893" s="165"/>
      <c r="F893" s="144" t="s">
        <v>211</v>
      </c>
      <c r="G893" s="199" t="s">
        <v>505</v>
      </c>
      <c r="H893" s="462">
        <f>124326+4445+1425+610</f>
        <v>130806</v>
      </c>
      <c r="I893" s="462">
        <v>2950</v>
      </c>
      <c r="J893" s="462">
        <f t="shared" si="304"/>
        <v>133756</v>
      </c>
      <c r="K893" s="339"/>
      <c r="L893" s="399"/>
      <c r="M893" s="399"/>
      <c r="N893" s="399"/>
      <c r="O893" s="339"/>
      <c r="P893" s="530">
        <f t="shared" si="301"/>
        <v>130806</v>
      </c>
      <c r="Q893" s="530">
        <f t="shared" si="307"/>
        <v>2950</v>
      </c>
      <c r="R893" s="530">
        <f t="shared" si="307"/>
        <v>133756</v>
      </c>
    </row>
    <row r="894" spans="2:18" x14ac:dyDescent="0.2">
      <c r="B894" s="171">
        <f t="shared" si="300"/>
        <v>361</v>
      </c>
      <c r="C894" s="130"/>
      <c r="D894" s="131"/>
      <c r="E894" s="165"/>
      <c r="F894" s="144" t="s">
        <v>212</v>
      </c>
      <c r="G894" s="199" t="s">
        <v>259</v>
      </c>
      <c r="H894" s="462">
        <f>43457+1555+498-310</f>
        <v>45200</v>
      </c>
      <c r="I894" s="462">
        <v>1040</v>
      </c>
      <c r="J894" s="462">
        <f t="shared" si="304"/>
        <v>46240</v>
      </c>
      <c r="K894" s="339"/>
      <c r="L894" s="399"/>
      <c r="M894" s="399"/>
      <c r="N894" s="399"/>
      <c r="O894" s="339"/>
      <c r="P894" s="530">
        <f t="shared" si="301"/>
        <v>45200</v>
      </c>
      <c r="Q894" s="530">
        <f t="shared" si="307"/>
        <v>1040</v>
      </c>
      <c r="R894" s="530">
        <f t="shared" si="307"/>
        <v>46240</v>
      </c>
    </row>
    <row r="895" spans="2:18" x14ac:dyDescent="0.2">
      <c r="B895" s="171">
        <f t="shared" si="300"/>
        <v>362</v>
      </c>
      <c r="C895" s="130"/>
      <c r="D895" s="131"/>
      <c r="E895" s="165"/>
      <c r="F895" s="144" t="s">
        <v>218</v>
      </c>
      <c r="G895" s="199" t="s">
        <v>340</v>
      </c>
      <c r="H895" s="529">
        <f>SUM(H896:H900)</f>
        <v>55011</v>
      </c>
      <c r="I895" s="529">
        <f>I896+I897+I898+I899+I900</f>
        <v>-711</v>
      </c>
      <c r="J895" s="529">
        <f t="shared" si="304"/>
        <v>54300</v>
      </c>
      <c r="K895" s="339"/>
      <c r="L895" s="399"/>
      <c r="M895" s="399"/>
      <c r="N895" s="399"/>
      <c r="O895" s="339"/>
      <c r="P895" s="530">
        <f t="shared" si="301"/>
        <v>55011</v>
      </c>
      <c r="Q895" s="530">
        <f t="shared" si="307"/>
        <v>-711</v>
      </c>
      <c r="R895" s="530">
        <f t="shared" si="307"/>
        <v>54300</v>
      </c>
    </row>
    <row r="896" spans="2:18" x14ac:dyDescent="0.2">
      <c r="B896" s="171">
        <f t="shared" si="300"/>
        <v>363</v>
      </c>
      <c r="C896" s="130"/>
      <c r="D896" s="131"/>
      <c r="E896" s="165"/>
      <c r="F896" s="131" t="s">
        <v>213</v>
      </c>
      <c r="G896" s="194" t="s">
        <v>255</v>
      </c>
      <c r="H896" s="430">
        <v>15</v>
      </c>
      <c r="I896" s="430">
        <v>100</v>
      </c>
      <c r="J896" s="430">
        <f t="shared" si="304"/>
        <v>115</v>
      </c>
      <c r="K896" s="339"/>
      <c r="L896" s="399"/>
      <c r="M896" s="399"/>
      <c r="N896" s="399"/>
      <c r="O896" s="339"/>
      <c r="P896" s="168">
        <f t="shared" si="301"/>
        <v>15</v>
      </c>
      <c r="Q896" s="168">
        <f t="shared" si="307"/>
        <v>100</v>
      </c>
      <c r="R896" s="168">
        <f t="shared" si="307"/>
        <v>115</v>
      </c>
    </row>
    <row r="897" spans="2:18" x14ac:dyDescent="0.2">
      <c r="B897" s="171">
        <f t="shared" si="300"/>
        <v>364</v>
      </c>
      <c r="C897" s="130"/>
      <c r="D897" s="131"/>
      <c r="E897" s="165"/>
      <c r="F897" s="131" t="s">
        <v>199</v>
      </c>
      <c r="G897" s="194" t="s">
        <v>318</v>
      </c>
      <c r="H897" s="430">
        <f>29000-4314</f>
        <v>24686</v>
      </c>
      <c r="I897" s="430">
        <v>-907</v>
      </c>
      <c r="J897" s="430">
        <f t="shared" si="304"/>
        <v>23779</v>
      </c>
      <c r="K897" s="339"/>
      <c r="L897" s="399"/>
      <c r="M897" s="399"/>
      <c r="N897" s="399"/>
      <c r="O897" s="339"/>
      <c r="P897" s="168">
        <f t="shared" si="301"/>
        <v>24686</v>
      </c>
      <c r="Q897" s="168">
        <f t="shared" si="307"/>
        <v>-907</v>
      </c>
      <c r="R897" s="168">
        <f t="shared" si="307"/>
        <v>23779</v>
      </c>
    </row>
    <row r="898" spans="2:18" x14ac:dyDescent="0.2">
      <c r="B898" s="171">
        <f t="shared" si="300"/>
        <v>365</v>
      </c>
      <c r="C898" s="130"/>
      <c r="D898" s="131"/>
      <c r="E898" s="165"/>
      <c r="F898" s="131" t="s">
        <v>200</v>
      </c>
      <c r="G898" s="194" t="s">
        <v>247</v>
      </c>
      <c r="H898" s="430">
        <f>1780+85+54+97</f>
        <v>2016</v>
      </c>
      <c r="I898" s="430">
        <v>3179</v>
      </c>
      <c r="J898" s="430">
        <f t="shared" si="304"/>
        <v>5195</v>
      </c>
      <c r="K898" s="339"/>
      <c r="L898" s="399"/>
      <c r="M898" s="399"/>
      <c r="N898" s="399"/>
      <c r="O898" s="339"/>
      <c r="P898" s="168">
        <f t="shared" si="301"/>
        <v>2016</v>
      </c>
      <c r="Q898" s="168">
        <f t="shared" si="307"/>
        <v>3179</v>
      </c>
      <c r="R898" s="168">
        <f t="shared" si="307"/>
        <v>5195</v>
      </c>
    </row>
    <row r="899" spans="2:18" x14ac:dyDescent="0.2">
      <c r="B899" s="171">
        <f t="shared" si="300"/>
        <v>366</v>
      </c>
      <c r="C899" s="130"/>
      <c r="D899" s="131"/>
      <c r="E899" s="165"/>
      <c r="F899" s="131" t="s">
        <v>214</v>
      </c>
      <c r="G899" s="194" t="s">
        <v>261</v>
      </c>
      <c r="H899" s="430">
        <f>23755-1500</f>
        <v>22255</v>
      </c>
      <c r="I899" s="430">
        <v>-2700</v>
      </c>
      <c r="J899" s="430">
        <f t="shared" si="304"/>
        <v>19555</v>
      </c>
      <c r="K899" s="339"/>
      <c r="L899" s="399"/>
      <c r="M899" s="399"/>
      <c r="N899" s="399"/>
      <c r="O899" s="339"/>
      <c r="P899" s="168">
        <f t="shared" si="301"/>
        <v>22255</v>
      </c>
      <c r="Q899" s="168">
        <f t="shared" si="307"/>
        <v>-2700</v>
      </c>
      <c r="R899" s="168">
        <f t="shared" si="307"/>
        <v>19555</v>
      </c>
    </row>
    <row r="900" spans="2:18" x14ac:dyDescent="0.2">
      <c r="B900" s="171">
        <f t="shared" si="300"/>
        <v>367</v>
      </c>
      <c r="C900" s="130"/>
      <c r="D900" s="131"/>
      <c r="E900" s="165"/>
      <c r="F900" s="131" t="s">
        <v>216</v>
      </c>
      <c r="G900" s="194" t="s">
        <v>248</v>
      </c>
      <c r="H900" s="430">
        <v>6039</v>
      </c>
      <c r="I900" s="430">
        <v>-383</v>
      </c>
      <c r="J900" s="430">
        <f t="shared" si="304"/>
        <v>5656</v>
      </c>
      <c r="K900" s="339"/>
      <c r="L900" s="399"/>
      <c r="M900" s="399"/>
      <c r="N900" s="399"/>
      <c r="O900" s="339"/>
      <c r="P900" s="168">
        <f t="shared" si="301"/>
        <v>6039</v>
      </c>
      <c r="Q900" s="168">
        <f t="shared" ref="Q900:R901" si="309">I900+M900</f>
        <v>-383</v>
      </c>
      <c r="R900" s="168">
        <f t="shared" si="309"/>
        <v>5656</v>
      </c>
    </row>
    <row r="901" spans="2:18" x14ac:dyDescent="0.2">
      <c r="B901" s="171">
        <f t="shared" si="300"/>
        <v>368</v>
      </c>
      <c r="C901" s="130"/>
      <c r="D901" s="131"/>
      <c r="E901" s="165"/>
      <c r="F901" s="284" t="s">
        <v>217</v>
      </c>
      <c r="G901" s="199" t="s">
        <v>371</v>
      </c>
      <c r="H901" s="462">
        <f>60+180</f>
        <v>240</v>
      </c>
      <c r="I901" s="462">
        <v>-240</v>
      </c>
      <c r="J901" s="462">
        <f t="shared" si="304"/>
        <v>0</v>
      </c>
      <c r="K901" s="339"/>
      <c r="L901" s="399"/>
      <c r="M901" s="399"/>
      <c r="N901" s="399"/>
      <c r="O901" s="339"/>
      <c r="P901" s="530">
        <f t="shared" si="301"/>
        <v>240</v>
      </c>
      <c r="Q901" s="530">
        <f t="shared" si="309"/>
        <v>-240</v>
      </c>
      <c r="R901" s="530">
        <f t="shared" si="309"/>
        <v>0</v>
      </c>
    </row>
    <row r="902" spans="2:18" x14ac:dyDescent="0.2">
      <c r="B902" s="171">
        <f t="shared" si="300"/>
        <v>369</v>
      </c>
      <c r="C902" s="130"/>
      <c r="D902" s="182"/>
      <c r="E902" s="146"/>
      <c r="F902" s="144"/>
      <c r="G902" s="199"/>
      <c r="H902" s="462"/>
      <c r="I902" s="462"/>
      <c r="J902" s="462"/>
      <c r="K902" s="339"/>
      <c r="L902" s="430"/>
      <c r="M902" s="430"/>
      <c r="N902" s="430"/>
      <c r="O902" s="339"/>
      <c r="P902" s="530"/>
      <c r="Q902" s="530"/>
      <c r="R902" s="530"/>
    </row>
    <row r="903" spans="2:18" x14ac:dyDescent="0.2">
      <c r="B903" s="171">
        <f t="shared" si="300"/>
        <v>370</v>
      </c>
      <c r="C903" s="130"/>
      <c r="D903" s="182"/>
      <c r="E903" s="146"/>
      <c r="F903" s="144" t="s">
        <v>866</v>
      </c>
      <c r="G903" s="199" t="s">
        <v>865</v>
      </c>
      <c r="H903" s="430">
        <v>3080</v>
      </c>
      <c r="I903" s="430"/>
      <c r="J903" s="430">
        <f>I903+H903</f>
        <v>3080</v>
      </c>
      <c r="K903" s="339"/>
      <c r="L903" s="430"/>
      <c r="M903" s="430"/>
      <c r="N903" s="430"/>
      <c r="O903" s="339"/>
      <c r="P903" s="168">
        <f t="shared" ref="P903" si="310">H903+L903</f>
        <v>3080</v>
      </c>
      <c r="Q903" s="168">
        <f t="shared" ref="Q903" si="311">I903+M903</f>
        <v>0</v>
      </c>
      <c r="R903" s="168">
        <f t="shared" ref="R903" si="312">J903+N903</f>
        <v>3080</v>
      </c>
    </row>
    <row r="904" spans="2:18" x14ac:dyDescent="0.2">
      <c r="B904" s="171">
        <f t="shared" si="300"/>
        <v>371</v>
      </c>
      <c r="C904" s="130"/>
      <c r="D904" s="130"/>
      <c r="E904" s="146"/>
      <c r="F904" s="131"/>
      <c r="G904" s="194"/>
      <c r="H904" s="432"/>
      <c r="I904" s="432"/>
      <c r="J904" s="432"/>
      <c r="K904" s="132"/>
      <c r="L904" s="382"/>
      <c r="M904" s="382"/>
      <c r="N904" s="382"/>
      <c r="O904" s="132"/>
      <c r="P904" s="213"/>
      <c r="Q904" s="213"/>
      <c r="R904" s="213"/>
    </row>
    <row r="905" spans="2:18" ht="15.75" x14ac:dyDescent="0.25">
      <c r="B905" s="171">
        <f t="shared" si="300"/>
        <v>372</v>
      </c>
      <c r="C905" s="23">
        <v>3</v>
      </c>
      <c r="D905" s="127" t="s">
        <v>142</v>
      </c>
      <c r="E905" s="24"/>
      <c r="F905" s="24"/>
      <c r="G905" s="193"/>
      <c r="H905" s="413">
        <f>H906+H913+H921+H929+H937+H945+H952+H960+H968+H977+H978+H979+H980+H982+H993+H1005+H1006</f>
        <v>1822624</v>
      </c>
      <c r="I905" s="413">
        <f t="shared" ref="I905" si="313">I906+I913+I921+I929+I937+I945+I952+I960+I968+I977+I978+I979+I980+I982+I993+I1005+I1006</f>
        <v>4002</v>
      </c>
      <c r="J905" s="413">
        <f t="shared" si="304"/>
        <v>1826626</v>
      </c>
      <c r="K905" s="88"/>
      <c r="L905" s="379">
        <v>0</v>
      </c>
      <c r="M905" s="379">
        <v>0</v>
      </c>
      <c r="N905" s="379"/>
      <c r="O905" s="88"/>
      <c r="P905" s="373">
        <f t="shared" ref="P905:P936" si="314">H905+L905</f>
        <v>1822624</v>
      </c>
      <c r="Q905" s="373">
        <f t="shared" ref="Q905:R920" si="315">I905+M905</f>
        <v>4002</v>
      </c>
      <c r="R905" s="373">
        <f t="shared" si="315"/>
        <v>1826626</v>
      </c>
    </row>
    <row r="906" spans="2:18" ht="15" x14ac:dyDescent="0.25">
      <c r="B906" s="171">
        <f t="shared" si="300"/>
        <v>373</v>
      </c>
      <c r="C906" s="143"/>
      <c r="D906" s="152" t="s">
        <v>4</v>
      </c>
      <c r="E906" s="175" t="s">
        <v>427</v>
      </c>
      <c r="F906" s="147" t="s">
        <v>250</v>
      </c>
      <c r="G906" s="236"/>
      <c r="H906" s="425">
        <f>SUM(H907:H909)</f>
        <v>11109</v>
      </c>
      <c r="I906" s="425">
        <f t="shared" ref="I906" si="316">SUM(I907:I909)</f>
        <v>0</v>
      </c>
      <c r="J906" s="425">
        <f t="shared" si="304"/>
        <v>11109</v>
      </c>
      <c r="K906" s="331"/>
      <c r="L906" s="848"/>
      <c r="M906" s="848"/>
      <c r="N906" s="848"/>
      <c r="O906" s="331"/>
      <c r="P906" s="332">
        <f t="shared" si="314"/>
        <v>11109</v>
      </c>
      <c r="Q906" s="332">
        <f t="shared" si="315"/>
        <v>0</v>
      </c>
      <c r="R906" s="332">
        <f t="shared" si="315"/>
        <v>11109</v>
      </c>
    </row>
    <row r="907" spans="2:18" x14ac:dyDescent="0.2">
      <c r="B907" s="171">
        <f t="shared" si="300"/>
        <v>374</v>
      </c>
      <c r="C907" s="143"/>
      <c r="D907" s="144"/>
      <c r="E907" s="144"/>
      <c r="F907" s="144" t="s">
        <v>211</v>
      </c>
      <c r="G907" s="199" t="s">
        <v>505</v>
      </c>
      <c r="H907" s="529">
        <f>6800+340+300</f>
        <v>7440</v>
      </c>
      <c r="I907" s="529"/>
      <c r="J907" s="529">
        <f t="shared" si="304"/>
        <v>7440</v>
      </c>
      <c r="K907" s="336"/>
      <c r="L907" s="402"/>
      <c r="M907" s="402"/>
      <c r="N907" s="402"/>
      <c r="O907" s="336"/>
      <c r="P907" s="166">
        <f t="shared" si="314"/>
        <v>7440</v>
      </c>
      <c r="Q907" s="166">
        <f t="shared" si="315"/>
        <v>0</v>
      </c>
      <c r="R907" s="166">
        <f t="shared" si="315"/>
        <v>7440</v>
      </c>
    </row>
    <row r="908" spans="2:18" x14ac:dyDescent="0.2">
      <c r="B908" s="171">
        <f t="shared" si="300"/>
        <v>375</v>
      </c>
      <c r="C908" s="143"/>
      <c r="D908" s="144"/>
      <c r="E908" s="144"/>
      <c r="F908" s="144" t="s">
        <v>212</v>
      </c>
      <c r="G908" s="199" t="s">
        <v>259</v>
      </c>
      <c r="H908" s="529">
        <f>2380+119+70</f>
        <v>2569</v>
      </c>
      <c r="I908" s="529"/>
      <c r="J908" s="529">
        <f t="shared" si="304"/>
        <v>2569</v>
      </c>
      <c r="K908" s="336"/>
      <c r="L908" s="402"/>
      <c r="M908" s="402"/>
      <c r="N908" s="402"/>
      <c r="O908" s="336"/>
      <c r="P908" s="166">
        <f t="shared" si="314"/>
        <v>2569</v>
      </c>
      <c r="Q908" s="166">
        <f t="shared" si="315"/>
        <v>0</v>
      </c>
      <c r="R908" s="166">
        <f t="shared" si="315"/>
        <v>2569</v>
      </c>
    </row>
    <row r="909" spans="2:18" x14ac:dyDescent="0.2">
      <c r="B909" s="171">
        <f t="shared" si="300"/>
        <v>376</v>
      </c>
      <c r="C909" s="143"/>
      <c r="D909" s="144"/>
      <c r="E909" s="144"/>
      <c r="F909" s="144" t="s">
        <v>218</v>
      </c>
      <c r="G909" s="199" t="s">
        <v>340</v>
      </c>
      <c r="H909" s="529">
        <f>SUM(H910:H912)</f>
        <v>1100</v>
      </c>
      <c r="I909" s="529"/>
      <c r="J909" s="529">
        <f t="shared" si="304"/>
        <v>1100</v>
      </c>
      <c r="K909" s="336"/>
      <c r="L909" s="402"/>
      <c r="M909" s="402"/>
      <c r="N909" s="402"/>
      <c r="O909" s="336"/>
      <c r="P909" s="166">
        <f t="shared" si="314"/>
        <v>1100</v>
      </c>
      <c r="Q909" s="166">
        <f t="shared" si="315"/>
        <v>0</v>
      </c>
      <c r="R909" s="166">
        <f t="shared" si="315"/>
        <v>1100</v>
      </c>
    </row>
    <row r="910" spans="2:18" x14ac:dyDescent="0.2">
      <c r="B910" s="171">
        <f t="shared" si="300"/>
        <v>377</v>
      </c>
      <c r="C910" s="143"/>
      <c r="D910" s="144"/>
      <c r="E910" s="144"/>
      <c r="F910" s="131" t="s">
        <v>199</v>
      </c>
      <c r="G910" s="194" t="s">
        <v>246</v>
      </c>
      <c r="H910" s="399">
        <v>550</v>
      </c>
      <c r="I910" s="399"/>
      <c r="J910" s="399">
        <f t="shared" si="304"/>
        <v>550</v>
      </c>
      <c r="K910" s="336"/>
      <c r="L910" s="402"/>
      <c r="M910" s="402"/>
      <c r="N910" s="402"/>
      <c r="O910" s="336"/>
      <c r="P910" s="167">
        <f t="shared" si="314"/>
        <v>550</v>
      </c>
      <c r="Q910" s="167">
        <f t="shared" si="315"/>
        <v>0</v>
      </c>
      <c r="R910" s="167">
        <f t="shared" si="315"/>
        <v>550</v>
      </c>
    </row>
    <row r="911" spans="2:18" x14ac:dyDescent="0.2">
      <c r="B911" s="171">
        <f t="shared" si="300"/>
        <v>378</v>
      </c>
      <c r="C911" s="143"/>
      <c r="D911" s="144"/>
      <c r="E911" s="144"/>
      <c r="F911" s="131" t="s">
        <v>200</v>
      </c>
      <c r="G911" s="194" t="s">
        <v>247</v>
      </c>
      <c r="H911" s="399">
        <v>400</v>
      </c>
      <c r="I911" s="399"/>
      <c r="J911" s="399">
        <f t="shared" si="304"/>
        <v>400</v>
      </c>
      <c r="K911" s="336"/>
      <c r="L911" s="402"/>
      <c r="M911" s="402"/>
      <c r="N911" s="402"/>
      <c r="O911" s="336"/>
      <c r="P911" s="167">
        <f t="shared" si="314"/>
        <v>400</v>
      </c>
      <c r="Q911" s="167">
        <f t="shared" si="315"/>
        <v>0</v>
      </c>
      <c r="R911" s="167">
        <f t="shared" si="315"/>
        <v>400</v>
      </c>
    </row>
    <row r="912" spans="2:18" x14ac:dyDescent="0.2">
      <c r="B912" s="171">
        <f t="shared" si="300"/>
        <v>379</v>
      </c>
      <c r="C912" s="143"/>
      <c r="D912" s="144"/>
      <c r="E912" s="144"/>
      <c r="F912" s="131" t="s">
        <v>216</v>
      </c>
      <c r="G912" s="194" t="s">
        <v>248</v>
      </c>
      <c r="H912" s="399">
        <v>150</v>
      </c>
      <c r="I912" s="399"/>
      <c r="J912" s="399">
        <f t="shared" si="304"/>
        <v>150</v>
      </c>
      <c r="K912" s="336"/>
      <c r="L912" s="402"/>
      <c r="M912" s="402"/>
      <c r="N912" s="402"/>
      <c r="O912" s="336"/>
      <c r="P912" s="167">
        <f t="shared" si="314"/>
        <v>150</v>
      </c>
      <c r="Q912" s="167">
        <f t="shared" si="315"/>
        <v>0</v>
      </c>
      <c r="R912" s="167">
        <f t="shared" si="315"/>
        <v>150</v>
      </c>
    </row>
    <row r="913" spans="2:18" ht="15" x14ac:dyDescent="0.25">
      <c r="B913" s="171">
        <f t="shared" si="300"/>
        <v>380</v>
      </c>
      <c r="C913" s="130"/>
      <c r="D913" s="262">
        <v>2</v>
      </c>
      <c r="E913" s="175" t="s">
        <v>427</v>
      </c>
      <c r="F913" s="147" t="s">
        <v>383</v>
      </c>
      <c r="G913" s="236"/>
      <c r="H913" s="425">
        <f>H914+H915+H916+H920</f>
        <v>95943</v>
      </c>
      <c r="I913" s="425">
        <f t="shared" ref="I913" si="317">I914+I915+I916+I920</f>
        <v>-6500</v>
      </c>
      <c r="J913" s="425">
        <f t="shared" si="304"/>
        <v>89443</v>
      </c>
      <c r="K913" s="342"/>
      <c r="L913" s="850"/>
      <c r="M913" s="850"/>
      <c r="N913" s="850"/>
      <c r="O913" s="342"/>
      <c r="P913" s="345">
        <f t="shared" si="314"/>
        <v>95943</v>
      </c>
      <c r="Q913" s="345">
        <f t="shared" si="315"/>
        <v>-6500</v>
      </c>
      <c r="R913" s="345">
        <f t="shared" si="315"/>
        <v>89443</v>
      </c>
    </row>
    <row r="914" spans="2:18" x14ac:dyDescent="0.2">
      <c r="B914" s="171">
        <f t="shared" si="300"/>
        <v>381</v>
      </c>
      <c r="C914" s="130"/>
      <c r="D914" s="130"/>
      <c r="E914" s="134"/>
      <c r="F914" s="144" t="s">
        <v>211</v>
      </c>
      <c r="G914" s="199" t="s">
        <v>505</v>
      </c>
      <c r="H914" s="529">
        <f>57000+2850+2382</f>
        <v>62232</v>
      </c>
      <c r="I914" s="529">
        <v>-3500</v>
      </c>
      <c r="J914" s="529">
        <f t="shared" si="304"/>
        <v>58732</v>
      </c>
      <c r="K914" s="339"/>
      <c r="L914" s="399"/>
      <c r="M914" s="399"/>
      <c r="N914" s="399"/>
      <c r="O914" s="339"/>
      <c r="P914" s="530">
        <f t="shared" si="314"/>
        <v>62232</v>
      </c>
      <c r="Q914" s="530">
        <f t="shared" si="315"/>
        <v>-3500</v>
      </c>
      <c r="R914" s="530">
        <f t="shared" si="315"/>
        <v>58732</v>
      </c>
    </row>
    <row r="915" spans="2:18" x14ac:dyDescent="0.2">
      <c r="B915" s="171">
        <f t="shared" si="300"/>
        <v>382</v>
      </c>
      <c r="C915" s="130"/>
      <c r="D915" s="130"/>
      <c r="E915" s="134"/>
      <c r="F915" s="144" t="s">
        <v>212</v>
      </c>
      <c r="G915" s="199" t="s">
        <v>259</v>
      </c>
      <c r="H915" s="529">
        <f>19930+997+834</f>
        <v>21761</v>
      </c>
      <c r="I915" s="529">
        <v>-1500</v>
      </c>
      <c r="J915" s="529">
        <f t="shared" si="304"/>
        <v>20261</v>
      </c>
      <c r="K915" s="339"/>
      <c r="L915" s="399"/>
      <c r="M915" s="399"/>
      <c r="N915" s="399"/>
      <c r="O915" s="339"/>
      <c r="P915" s="530">
        <f t="shared" si="314"/>
        <v>21761</v>
      </c>
      <c r="Q915" s="530">
        <f t="shared" si="315"/>
        <v>-1500</v>
      </c>
      <c r="R915" s="530">
        <f t="shared" si="315"/>
        <v>20261</v>
      </c>
    </row>
    <row r="916" spans="2:18" x14ac:dyDescent="0.2">
      <c r="B916" s="171">
        <f t="shared" si="300"/>
        <v>383</v>
      </c>
      <c r="C916" s="130"/>
      <c r="D916" s="130"/>
      <c r="E916" s="134"/>
      <c r="F916" s="144" t="s">
        <v>218</v>
      </c>
      <c r="G916" s="199" t="s">
        <v>340</v>
      </c>
      <c r="H916" s="529">
        <f>SUM(H917:H919)</f>
        <v>10300</v>
      </c>
      <c r="I916" s="529">
        <f>SUM(I917:I919)</f>
        <v>0</v>
      </c>
      <c r="J916" s="529">
        <f t="shared" si="304"/>
        <v>10300</v>
      </c>
      <c r="K916" s="339"/>
      <c r="L916" s="399"/>
      <c r="M916" s="399"/>
      <c r="N916" s="399"/>
      <c r="O916" s="339"/>
      <c r="P916" s="530">
        <f t="shared" si="314"/>
        <v>10300</v>
      </c>
      <c r="Q916" s="530">
        <f t="shared" si="315"/>
        <v>0</v>
      </c>
      <c r="R916" s="530">
        <f t="shared" si="315"/>
        <v>10300</v>
      </c>
    </row>
    <row r="917" spans="2:18" x14ac:dyDescent="0.2">
      <c r="B917" s="171">
        <f t="shared" si="300"/>
        <v>384</v>
      </c>
      <c r="C917" s="130"/>
      <c r="D917" s="130"/>
      <c r="E917" s="134"/>
      <c r="F917" s="131" t="s">
        <v>199</v>
      </c>
      <c r="G917" s="194" t="s">
        <v>318</v>
      </c>
      <c r="H917" s="399">
        <v>3560</v>
      </c>
      <c r="I917" s="399">
        <v>-560</v>
      </c>
      <c r="J917" s="399">
        <f t="shared" si="304"/>
        <v>3000</v>
      </c>
      <c r="K917" s="339"/>
      <c r="L917" s="399"/>
      <c r="M917" s="399"/>
      <c r="N917" s="399"/>
      <c r="O917" s="339"/>
      <c r="P917" s="168">
        <f t="shared" si="314"/>
        <v>3560</v>
      </c>
      <c r="Q917" s="168">
        <f t="shared" si="315"/>
        <v>-560</v>
      </c>
      <c r="R917" s="168">
        <f t="shared" si="315"/>
        <v>3000</v>
      </c>
    </row>
    <row r="918" spans="2:18" x14ac:dyDescent="0.2">
      <c r="B918" s="171">
        <f t="shared" si="300"/>
        <v>385</v>
      </c>
      <c r="C918" s="130"/>
      <c r="D918" s="130"/>
      <c r="E918" s="134"/>
      <c r="F918" s="131" t="s">
        <v>200</v>
      </c>
      <c r="G918" s="194" t="s">
        <v>247</v>
      </c>
      <c r="H918" s="399">
        <v>3900</v>
      </c>
      <c r="I918" s="399">
        <v>1400</v>
      </c>
      <c r="J918" s="399">
        <f t="shared" si="304"/>
        <v>5300</v>
      </c>
      <c r="K918" s="339"/>
      <c r="L918" s="399"/>
      <c r="M918" s="399"/>
      <c r="N918" s="399"/>
      <c r="O918" s="339"/>
      <c r="P918" s="168">
        <f t="shared" si="314"/>
        <v>3900</v>
      </c>
      <c r="Q918" s="168">
        <f t="shared" si="315"/>
        <v>1400</v>
      </c>
      <c r="R918" s="168">
        <f t="shared" si="315"/>
        <v>5300</v>
      </c>
    </row>
    <row r="919" spans="2:18" x14ac:dyDescent="0.2">
      <c r="B919" s="171">
        <f t="shared" si="300"/>
        <v>386</v>
      </c>
      <c r="C919" s="130"/>
      <c r="D919" s="130"/>
      <c r="E919" s="134"/>
      <c r="F919" s="131" t="s">
        <v>216</v>
      </c>
      <c r="G919" s="194" t="s">
        <v>248</v>
      </c>
      <c r="H919" s="399">
        <v>2840</v>
      </c>
      <c r="I919" s="399">
        <v>-840</v>
      </c>
      <c r="J919" s="399">
        <f t="shared" si="304"/>
        <v>2000</v>
      </c>
      <c r="K919" s="339"/>
      <c r="L919" s="399"/>
      <c r="M919" s="399"/>
      <c r="N919" s="399"/>
      <c r="O919" s="339"/>
      <c r="P919" s="168">
        <f t="shared" si="314"/>
        <v>2840</v>
      </c>
      <c r="Q919" s="168">
        <f t="shared" si="315"/>
        <v>-840</v>
      </c>
      <c r="R919" s="168">
        <f t="shared" si="315"/>
        <v>2000</v>
      </c>
    </row>
    <row r="920" spans="2:18" x14ac:dyDescent="0.2">
      <c r="B920" s="171">
        <f t="shared" si="300"/>
        <v>387</v>
      </c>
      <c r="C920" s="130"/>
      <c r="D920" s="130"/>
      <c r="E920" s="134"/>
      <c r="F920" s="144" t="s">
        <v>217</v>
      </c>
      <c r="G920" s="199" t="s">
        <v>504</v>
      </c>
      <c r="H920" s="529">
        <v>1650</v>
      </c>
      <c r="I920" s="529">
        <v>-1500</v>
      </c>
      <c r="J920" s="529">
        <f t="shared" si="304"/>
        <v>150</v>
      </c>
      <c r="K920" s="339"/>
      <c r="L920" s="399"/>
      <c r="M920" s="399"/>
      <c r="N920" s="399"/>
      <c r="O920" s="339"/>
      <c r="P920" s="530">
        <f t="shared" si="314"/>
        <v>1650</v>
      </c>
      <c r="Q920" s="530">
        <f t="shared" si="315"/>
        <v>-1500</v>
      </c>
      <c r="R920" s="530">
        <f t="shared" si="315"/>
        <v>150</v>
      </c>
    </row>
    <row r="921" spans="2:18" ht="15" x14ac:dyDescent="0.25">
      <c r="B921" s="171">
        <f t="shared" si="300"/>
        <v>388</v>
      </c>
      <c r="C921" s="130"/>
      <c r="D921" s="262">
        <v>3</v>
      </c>
      <c r="E921" s="175" t="s">
        <v>427</v>
      </c>
      <c r="F921" s="147" t="s">
        <v>385</v>
      </c>
      <c r="G921" s="236"/>
      <c r="H921" s="425">
        <f>H922+H923+H924+H928</f>
        <v>145431</v>
      </c>
      <c r="I921" s="425">
        <f t="shared" ref="I921" si="318">I922+I923+I924+I928</f>
        <v>0</v>
      </c>
      <c r="J921" s="425">
        <f t="shared" si="304"/>
        <v>145431</v>
      </c>
      <c r="K921" s="342"/>
      <c r="L921" s="850"/>
      <c r="M921" s="850"/>
      <c r="N921" s="850"/>
      <c r="O921" s="342"/>
      <c r="P921" s="345">
        <f t="shared" si="314"/>
        <v>145431</v>
      </c>
      <c r="Q921" s="345">
        <f t="shared" ref="Q921:R936" si="319">I921+M921</f>
        <v>0</v>
      </c>
      <c r="R921" s="345">
        <f t="shared" si="319"/>
        <v>145431</v>
      </c>
    </row>
    <row r="922" spans="2:18" x14ac:dyDescent="0.2">
      <c r="B922" s="171">
        <f t="shared" si="300"/>
        <v>389</v>
      </c>
      <c r="C922" s="130"/>
      <c r="D922" s="130"/>
      <c r="E922" s="134"/>
      <c r="F922" s="144" t="s">
        <v>211</v>
      </c>
      <c r="G922" s="199" t="s">
        <v>505</v>
      </c>
      <c r="H922" s="529">
        <f>94600+4730</f>
        <v>99330</v>
      </c>
      <c r="I922" s="529">
        <v>280</v>
      </c>
      <c r="J922" s="529">
        <f t="shared" si="304"/>
        <v>99610</v>
      </c>
      <c r="K922" s="339"/>
      <c r="L922" s="399"/>
      <c r="M922" s="399"/>
      <c r="N922" s="399"/>
      <c r="O922" s="339"/>
      <c r="P922" s="530">
        <f t="shared" si="314"/>
        <v>99330</v>
      </c>
      <c r="Q922" s="530">
        <f t="shared" si="319"/>
        <v>280</v>
      </c>
      <c r="R922" s="530">
        <f t="shared" si="319"/>
        <v>99610</v>
      </c>
    </row>
    <row r="923" spans="2:18" x14ac:dyDescent="0.2">
      <c r="B923" s="171">
        <f t="shared" si="300"/>
        <v>390</v>
      </c>
      <c r="C923" s="130"/>
      <c r="D923" s="130"/>
      <c r="E923" s="134"/>
      <c r="F923" s="144" t="s">
        <v>212</v>
      </c>
      <c r="G923" s="199" t="s">
        <v>259</v>
      </c>
      <c r="H923" s="529">
        <f>33310+1666</f>
        <v>34976</v>
      </c>
      <c r="I923" s="529"/>
      <c r="J923" s="529">
        <f t="shared" si="304"/>
        <v>34976</v>
      </c>
      <c r="K923" s="339"/>
      <c r="L923" s="399"/>
      <c r="M923" s="399"/>
      <c r="N923" s="399"/>
      <c r="O923" s="339"/>
      <c r="P923" s="530">
        <f t="shared" si="314"/>
        <v>34976</v>
      </c>
      <c r="Q923" s="530">
        <f t="shared" si="319"/>
        <v>0</v>
      </c>
      <c r="R923" s="530">
        <f t="shared" si="319"/>
        <v>34976</v>
      </c>
    </row>
    <row r="924" spans="2:18" x14ac:dyDescent="0.2">
      <c r="B924" s="171">
        <f t="shared" si="300"/>
        <v>391</v>
      </c>
      <c r="C924" s="130"/>
      <c r="D924" s="130"/>
      <c r="E924" s="134"/>
      <c r="F924" s="144" t="s">
        <v>218</v>
      </c>
      <c r="G924" s="199" t="s">
        <v>340</v>
      </c>
      <c r="H924" s="529">
        <f>SUM(H925:H927)</f>
        <v>10325</v>
      </c>
      <c r="I924" s="529">
        <f>SUM(I925:I927)</f>
        <v>0</v>
      </c>
      <c r="J924" s="529">
        <f t="shared" si="304"/>
        <v>10325</v>
      </c>
      <c r="K924" s="339"/>
      <c r="L924" s="399"/>
      <c r="M924" s="399"/>
      <c r="N924" s="399"/>
      <c r="O924" s="339"/>
      <c r="P924" s="530">
        <f t="shared" si="314"/>
        <v>10325</v>
      </c>
      <c r="Q924" s="530">
        <f t="shared" si="319"/>
        <v>0</v>
      </c>
      <c r="R924" s="530">
        <f t="shared" si="319"/>
        <v>10325</v>
      </c>
    </row>
    <row r="925" spans="2:18" x14ac:dyDescent="0.2">
      <c r="B925" s="171">
        <f t="shared" si="300"/>
        <v>392</v>
      </c>
      <c r="C925" s="130"/>
      <c r="D925" s="130"/>
      <c r="E925" s="134"/>
      <c r="F925" s="131" t="s">
        <v>199</v>
      </c>
      <c r="G925" s="194" t="s">
        <v>318</v>
      </c>
      <c r="H925" s="399">
        <v>6500</v>
      </c>
      <c r="I925" s="399"/>
      <c r="J925" s="399">
        <f t="shared" si="304"/>
        <v>6500</v>
      </c>
      <c r="K925" s="339"/>
      <c r="L925" s="399"/>
      <c r="M925" s="399"/>
      <c r="N925" s="399"/>
      <c r="O925" s="339"/>
      <c r="P925" s="168">
        <f t="shared" si="314"/>
        <v>6500</v>
      </c>
      <c r="Q925" s="168">
        <f t="shared" si="319"/>
        <v>0</v>
      </c>
      <c r="R925" s="168">
        <f t="shared" si="319"/>
        <v>6500</v>
      </c>
    </row>
    <row r="926" spans="2:18" x14ac:dyDescent="0.2">
      <c r="B926" s="171">
        <f t="shared" si="300"/>
        <v>393</v>
      </c>
      <c r="C926" s="130"/>
      <c r="D926" s="130"/>
      <c r="E926" s="134"/>
      <c r="F926" s="131" t="s">
        <v>200</v>
      </c>
      <c r="G926" s="194" t="s">
        <v>247</v>
      </c>
      <c r="H926" s="399">
        <v>400</v>
      </c>
      <c r="I926" s="399"/>
      <c r="J926" s="399">
        <f t="shared" si="304"/>
        <v>400</v>
      </c>
      <c r="K926" s="339"/>
      <c r="L926" s="399"/>
      <c r="M926" s="399"/>
      <c r="N926" s="399"/>
      <c r="O926" s="339"/>
      <c r="P926" s="168">
        <f t="shared" si="314"/>
        <v>400</v>
      </c>
      <c r="Q926" s="168">
        <f t="shared" si="319"/>
        <v>0</v>
      </c>
      <c r="R926" s="168">
        <f t="shared" si="319"/>
        <v>400</v>
      </c>
    </row>
    <row r="927" spans="2:18" x14ac:dyDescent="0.2">
      <c r="B927" s="171">
        <f t="shared" si="300"/>
        <v>394</v>
      </c>
      <c r="C927" s="130"/>
      <c r="D927" s="130"/>
      <c r="E927" s="134"/>
      <c r="F927" s="131" t="s">
        <v>216</v>
      </c>
      <c r="G927" s="194" t="s">
        <v>248</v>
      </c>
      <c r="H927" s="399">
        <v>3425</v>
      </c>
      <c r="I927" s="399"/>
      <c r="J927" s="399">
        <f t="shared" si="304"/>
        <v>3425</v>
      </c>
      <c r="K927" s="339"/>
      <c r="L927" s="399"/>
      <c r="M927" s="399"/>
      <c r="N927" s="399"/>
      <c r="O927" s="339"/>
      <c r="P927" s="168">
        <f t="shared" si="314"/>
        <v>3425</v>
      </c>
      <c r="Q927" s="168">
        <f t="shared" si="319"/>
        <v>0</v>
      </c>
      <c r="R927" s="168">
        <f t="shared" si="319"/>
        <v>3425</v>
      </c>
    </row>
    <row r="928" spans="2:18" x14ac:dyDescent="0.2">
      <c r="B928" s="171">
        <f t="shared" si="300"/>
        <v>395</v>
      </c>
      <c r="C928" s="130"/>
      <c r="D928" s="130"/>
      <c r="E928" s="134"/>
      <c r="F928" s="144" t="s">
        <v>217</v>
      </c>
      <c r="G928" s="199" t="s">
        <v>504</v>
      </c>
      <c r="H928" s="529">
        <v>800</v>
      </c>
      <c r="I928" s="529">
        <v>-280</v>
      </c>
      <c r="J928" s="529">
        <f t="shared" si="304"/>
        <v>520</v>
      </c>
      <c r="K928" s="339"/>
      <c r="L928" s="399"/>
      <c r="M928" s="399"/>
      <c r="N928" s="399"/>
      <c r="O928" s="339"/>
      <c r="P928" s="530">
        <f t="shared" si="314"/>
        <v>800</v>
      </c>
      <c r="Q928" s="530">
        <f t="shared" si="319"/>
        <v>-280</v>
      </c>
      <c r="R928" s="530">
        <f t="shared" si="319"/>
        <v>520</v>
      </c>
    </row>
    <row r="929" spans="2:18" ht="15" x14ac:dyDescent="0.25">
      <c r="B929" s="171">
        <f t="shared" si="300"/>
        <v>396</v>
      </c>
      <c r="C929" s="130"/>
      <c r="D929" s="262">
        <v>4</v>
      </c>
      <c r="E929" s="175" t="s">
        <v>427</v>
      </c>
      <c r="F929" s="265" t="s">
        <v>386</v>
      </c>
      <c r="G929" s="266"/>
      <c r="H929" s="427">
        <f>H930+H931+H936+H932</f>
        <v>95831</v>
      </c>
      <c r="I929" s="427">
        <f>I930+I931+I936+I932</f>
        <v>0</v>
      </c>
      <c r="J929" s="427">
        <f t="shared" si="304"/>
        <v>95831</v>
      </c>
      <c r="K929" s="342"/>
      <c r="L929" s="860"/>
      <c r="M929" s="860"/>
      <c r="N929" s="860"/>
      <c r="O929" s="342"/>
      <c r="P929" s="346">
        <f t="shared" si="314"/>
        <v>95831</v>
      </c>
      <c r="Q929" s="346">
        <f t="shared" si="319"/>
        <v>0</v>
      </c>
      <c r="R929" s="346">
        <f t="shared" si="319"/>
        <v>95831</v>
      </c>
    </row>
    <row r="930" spans="2:18" x14ac:dyDescent="0.2">
      <c r="B930" s="171">
        <f t="shared" si="300"/>
        <v>397</v>
      </c>
      <c r="C930" s="130"/>
      <c r="D930" s="130"/>
      <c r="E930" s="134"/>
      <c r="F930" s="144" t="s">
        <v>211</v>
      </c>
      <c r="G930" s="199" t="s">
        <v>505</v>
      </c>
      <c r="H930" s="529">
        <f>61330+3067+2936</f>
        <v>67333</v>
      </c>
      <c r="I930" s="529"/>
      <c r="J930" s="529">
        <f t="shared" si="304"/>
        <v>67333</v>
      </c>
      <c r="K930" s="339"/>
      <c r="L930" s="399"/>
      <c r="M930" s="399"/>
      <c r="N930" s="399"/>
      <c r="O930" s="339"/>
      <c r="P930" s="530">
        <f t="shared" si="314"/>
        <v>67333</v>
      </c>
      <c r="Q930" s="530">
        <f t="shared" si="319"/>
        <v>0</v>
      </c>
      <c r="R930" s="530">
        <f t="shared" si="319"/>
        <v>67333</v>
      </c>
    </row>
    <row r="931" spans="2:18" x14ac:dyDescent="0.2">
      <c r="B931" s="171">
        <f t="shared" si="300"/>
        <v>398</v>
      </c>
      <c r="C931" s="130"/>
      <c r="D931" s="130"/>
      <c r="E931" s="134"/>
      <c r="F931" s="144" t="s">
        <v>212</v>
      </c>
      <c r="G931" s="199" t="s">
        <v>259</v>
      </c>
      <c r="H931" s="529">
        <f>21585+1079+1034</f>
        <v>23698</v>
      </c>
      <c r="I931" s="529"/>
      <c r="J931" s="529">
        <f t="shared" si="304"/>
        <v>23698</v>
      </c>
      <c r="K931" s="339"/>
      <c r="L931" s="399"/>
      <c r="M931" s="399"/>
      <c r="N931" s="399"/>
      <c r="O931" s="339"/>
      <c r="P931" s="530">
        <f t="shared" si="314"/>
        <v>23698</v>
      </c>
      <c r="Q931" s="530">
        <f t="shared" si="319"/>
        <v>0</v>
      </c>
      <c r="R931" s="530">
        <f t="shared" si="319"/>
        <v>23698</v>
      </c>
    </row>
    <row r="932" spans="2:18" x14ac:dyDescent="0.2">
      <c r="B932" s="171">
        <f t="shared" si="300"/>
        <v>399</v>
      </c>
      <c r="C932" s="130"/>
      <c r="D932" s="130"/>
      <c r="E932" s="134"/>
      <c r="F932" s="144" t="s">
        <v>218</v>
      </c>
      <c r="G932" s="199" t="s">
        <v>340</v>
      </c>
      <c r="H932" s="529">
        <f>SUM(H933:H935)</f>
        <v>3800</v>
      </c>
      <c r="I932" s="529">
        <f>SUM(I933:I935)</f>
        <v>0</v>
      </c>
      <c r="J932" s="529">
        <f t="shared" si="304"/>
        <v>3800</v>
      </c>
      <c r="K932" s="339"/>
      <c r="L932" s="399"/>
      <c r="M932" s="399"/>
      <c r="N932" s="399"/>
      <c r="O932" s="339"/>
      <c r="P932" s="530">
        <f t="shared" si="314"/>
        <v>3800</v>
      </c>
      <c r="Q932" s="530">
        <f t="shared" si="319"/>
        <v>0</v>
      </c>
      <c r="R932" s="530">
        <f t="shared" si="319"/>
        <v>3800</v>
      </c>
    </row>
    <row r="933" spans="2:18" x14ac:dyDescent="0.2">
      <c r="B933" s="171">
        <f t="shared" si="300"/>
        <v>400</v>
      </c>
      <c r="C933" s="130"/>
      <c r="D933" s="130"/>
      <c r="E933" s="134"/>
      <c r="F933" s="131" t="s">
        <v>199</v>
      </c>
      <c r="G933" s="194" t="s">
        <v>318</v>
      </c>
      <c r="H933" s="399">
        <v>1000</v>
      </c>
      <c r="I933" s="399"/>
      <c r="J933" s="399">
        <f t="shared" si="304"/>
        <v>1000</v>
      </c>
      <c r="K933" s="339"/>
      <c r="L933" s="399"/>
      <c r="M933" s="399"/>
      <c r="N933" s="399"/>
      <c r="O933" s="339"/>
      <c r="P933" s="168">
        <f t="shared" si="314"/>
        <v>1000</v>
      </c>
      <c r="Q933" s="168">
        <f t="shared" si="319"/>
        <v>0</v>
      </c>
      <c r="R933" s="168">
        <f t="shared" si="319"/>
        <v>1000</v>
      </c>
    </row>
    <row r="934" spans="2:18" x14ac:dyDescent="0.2">
      <c r="B934" s="171">
        <f t="shared" ref="B934:B997" si="320">B933+1</f>
        <v>401</v>
      </c>
      <c r="C934" s="130"/>
      <c r="D934" s="130"/>
      <c r="E934" s="134"/>
      <c r="F934" s="131" t="s">
        <v>200</v>
      </c>
      <c r="G934" s="194" t="s">
        <v>247</v>
      </c>
      <c r="H934" s="399">
        <f>2000-1000</f>
        <v>1000</v>
      </c>
      <c r="I934" s="399"/>
      <c r="J934" s="399">
        <f t="shared" si="304"/>
        <v>1000</v>
      </c>
      <c r="K934" s="339"/>
      <c r="L934" s="399"/>
      <c r="M934" s="399"/>
      <c r="N934" s="399"/>
      <c r="O934" s="339"/>
      <c r="P934" s="168">
        <f t="shared" si="314"/>
        <v>1000</v>
      </c>
      <c r="Q934" s="168">
        <f t="shared" si="319"/>
        <v>0</v>
      </c>
      <c r="R934" s="168">
        <f t="shared" si="319"/>
        <v>1000</v>
      </c>
    </row>
    <row r="935" spans="2:18" x14ac:dyDescent="0.2">
      <c r="B935" s="171">
        <f t="shared" si="320"/>
        <v>402</v>
      </c>
      <c r="C935" s="130"/>
      <c r="D935" s="130"/>
      <c r="E935" s="134"/>
      <c r="F935" s="131" t="s">
        <v>216</v>
      </c>
      <c r="G935" s="194" t="s">
        <v>248</v>
      </c>
      <c r="H935" s="399">
        <f>2500-700</f>
        <v>1800</v>
      </c>
      <c r="I935" s="399"/>
      <c r="J935" s="399">
        <f t="shared" si="304"/>
        <v>1800</v>
      </c>
      <c r="K935" s="339"/>
      <c r="L935" s="399"/>
      <c r="M935" s="399"/>
      <c r="N935" s="399"/>
      <c r="O935" s="339"/>
      <c r="P935" s="168">
        <f t="shared" si="314"/>
        <v>1800</v>
      </c>
      <c r="Q935" s="168">
        <f t="shared" si="319"/>
        <v>0</v>
      </c>
      <c r="R935" s="168">
        <f t="shared" si="319"/>
        <v>1800</v>
      </c>
    </row>
    <row r="936" spans="2:18" x14ac:dyDescent="0.2">
      <c r="B936" s="171">
        <f t="shared" si="320"/>
        <v>403</v>
      </c>
      <c r="C936" s="130"/>
      <c r="D936" s="130"/>
      <c r="E936" s="134"/>
      <c r="F936" s="144" t="s">
        <v>217</v>
      </c>
      <c r="G936" s="199" t="s">
        <v>504</v>
      </c>
      <c r="H936" s="529">
        <f>2270-1270</f>
        <v>1000</v>
      </c>
      <c r="I936" s="529"/>
      <c r="J936" s="529">
        <f t="shared" si="304"/>
        <v>1000</v>
      </c>
      <c r="K936" s="339"/>
      <c r="L936" s="399"/>
      <c r="M936" s="399"/>
      <c r="N936" s="399"/>
      <c r="O936" s="339"/>
      <c r="P936" s="530">
        <f t="shared" si="314"/>
        <v>1000</v>
      </c>
      <c r="Q936" s="530">
        <f t="shared" si="319"/>
        <v>0</v>
      </c>
      <c r="R936" s="530">
        <f t="shared" si="319"/>
        <v>1000</v>
      </c>
    </row>
    <row r="937" spans="2:18" ht="15" x14ac:dyDescent="0.25">
      <c r="B937" s="171">
        <f t="shared" si="320"/>
        <v>404</v>
      </c>
      <c r="C937" s="130"/>
      <c r="D937" s="262">
        <v>5</v>
      </c>
      <c r="E937" s="175" t="s">
        <v>427</v>
      </c>
      <c r="F937" s="147" t="s">
        <v>387</v>
      </c>
      <c r="G937" s="236"/>
      <c r="H937" s="425">
        <f>H938+H939+H940+H944</f>
        <v>64376</v>
      </c>
      <c r="I937" s="425">
        <f t="shared" ref="I937" si="321">I938+I939+I940+I944</f>
        <v>0</v>
      </c>
      <c r="J937" s="425">
        <f t="shared" si="304"/>
        <v>64376</v>
      </c>
      <c r="K937" s="342"/>
      <c r="L937" s="850"/>
      <c r="M937" s="850"/>
      <c r="N937" s="850"/>
      <c r="O937" s="342"/>
      <c r="P937" s="345">
        <f t="shared" ref="P937:P968" si="322">H937+L937</f>
        <v>64376</v>
      </c>
      <c r="Q937" s="345">
        <f t="shared" ref="Q937:R952" si="323">I937+M937</f>
        <v>0</v>
      </c>
      <c r="R937" s="345">
        <f t="shared" si="323"/>
        <v>64376</v>
      </c>
    </row>
    <row r="938" spans="2:18" x14ac:dyDescent="0.2">
      <c r="B938" s="171">
        <f t="shared" si="320"/>
        <v>405</v>
      </c>
      <c r="C938" s="130"/>
      <c r="D938" s="130"/>
      <c r="E938" s="134"/>
      <c r="F938" s="144" t="s">
        <v>211</v>
      </c>
      <c r="G938" s="199" t="s">
        <v>505</v>
      </c>
      <c r="H938" s="529">
        <f>40530+2027+2382</f>
        <v>44939</v>
      </c>
      <c r="I938" s="529"/>
      <c r="J938" s="529">
        <f t="shared" si="304"/>
        <v>44939</v>
      </c>
      <c r="K938" s="339"/>
      <c r="L938" s="399"/>
      <c r="M938" s="399"/>
      <c r="N938" s="399"/>
      <c r="O938" s="339"/>
      <c r="P938" s="530">
        <f t="shared" si="322"/>
        <v>44939</v>
      </c>
      <c r="Q938" s="530">
        <f t="shared" si="323"/>
        <v>0</v>
      </c>
      <c r="R938" s="530">
        <f t="shared" si="323"/>
        <v>44939</v>
      </c>
    </row>
    <row r="939" spans="2:18" x14ac:dyDescent="0.2">
      <c r="B939" s="171">
        <f t="shared" si="320"/>
        <v>406</v>
      </c>
      <c r="C939" s="130"/>
      <c r="D939" s="130"/>
      <c r="E939" s="134"/>
      <c r="F939" s="144" t="s">
        <v>212</v>
      </c>
      <c r="G939" s="199" t="s">
        <v>259</v>
      </c>
      <c r="H939" s="529">
        <f>12955+648+834</f>
        <v>14437</v>
      </c>
      <c r="I939" s="529"/>
      <c r="J939" s="529">
        <f t="shared" si="304"/>
        <v>14437</v>
      </c>
      <c r="K939" s="339"/>
      <c r="L939" s="399"/>
      <c r="M939" s="399"/>
      <c r="N939" s="399"/>
      <c r="O939" s="339"/>
      <c r="P939" s="530">
        <f t="shared" si="322"/>
        <v>14437</v>
      </c>
      <c r="Q939" s="530">
        <f t="shared" si="323"/>
        <v>0</v>
      </c>
      <c r="R939" s="530">
        <f t="shared" si="323"/>
        <v>14437</v>
      </c>
    </row>
    <row r="940" spans="2:18" x14ac:dyDescent="0.2">
      <c r="B940" s="171">
        <f t="shared" si="320"/>
        <v>407</v>
      </c>
      <c r="C940" s="130"/>
      <c r="D940" s="130"/>
      <c r="E940" s="134"/>
      <c r="F940" s="144" t="s">
        <v>218</v>
      </c>
      <c r="G940" s="199" t="s">
        <v>340</v>
      </c>
      <c r="H940" s="529">
        <f>SUM(H941:H943)</f>
        <v>2000</v>
      </c>
      <c r="I940" s="529">
        <f>SUM(I941:I943)</f>
        <v>2800</v>
      </c>
      <c r="J940" s="529">
        <f t="shared" si="304"/>
        <v>4800</v>
      </c>
      <c r="K940" s="339"/>
      <c r="L940" s="399"/>
      <c r="M940" s="399"/>
      <c r="N940" s="399"/>
      <c r="O940" s="339"/>
      <c r="P940" s="530">
        <f t="shared" si="322"/>
        <v>2000</v>
      </c>
      <c r="Q940" s="530">
        <f t="shared" si="323"/>
        <v>2800</v>
      </c>
      <c r="R940" s="530">
        <f t="shared" si="323"/>
        <v>4800</v>
      </c>
    </row>
    <row r="941" spans="2:18" x14ac:dyDescent="0.2">
      <c r="B941" s="171">
        <f t="shared" si="320"/>
        <v>408</v>
      </c>
      <c r="C941" s="130"/>
      <c r="D941" s="130"/>
      <c r="E941" s="134"/>
      <c r="F941" s="131" t="s">
        <v>199</v>
      </c>
      <c r="G941" s="194" t="s">
        <v>318</v>
      </c>
      <c r="H941" s="399">
        <v>300</v>
      </c>
      <c r="I941" s="399">
        <v>-250</v>
      </c>
      <c r="J941" s="399">
        <f t="shared" si="304"/>
        <v>50</v>
      </c>
      <c r="K941" s="339"/>
      <c r="L941" s="399"/>
      <c r="M941" s="399"/>
      <c r="N941" s="399"/>
      <c r="O941" s="339"/>
      <c r="P941" s="168">
        <f t="shared" si="322"/>
        <v>300</v>
      </c>
      <c r="Q941" s="168">
        <f t="shared" si="323"/>
        <v>-250</v>
      </c>
      <c r="R941" s="168">
        <f t="shared" si="323"/>
        <v>50</v>
      </c>
    </row>
    <row r="942" spans="2:18" x14ac:dyDescent="0.2">
      <c r="B942" s="171">
        <f t="shared" si="320"/>
        <v>409</v>
      </c>
      <c r="C942" s="130"/>
      <c r="D942" s="130"/>
      <c r="E942" s="134"/>
      <c r="F942" s="131" t="s">
        <v>200</v>
      </c>
      <c r="G942" s="194" t="s">
        <v>247</v>
      </c>
      <c r="H942" s="399">
        <v>1200</v>
      </c>
      <c r="I942" s="399">
        <v>3050</v>
      </c>
      <c r="J942" s="399">
        <f t="shared" si="304"/>
        <v>4250</v>
      </c>
      <c r="K942" s="339"/>
      <c r="L942" s="399"/>
      <c r="M942" s="399"/>
      <c r="N942" s="399"/>
      <c r="O942" s="339"/>
      <c r="P942" s="168">
        <f t="shared" si="322"/>
        <v>1200</v>
      </c>
      <c r="Q942" s="168">
        <f t="shared" si="323"/>
        <v>3050</v>
      </c>
      <c r="R942" s="168">
        <f t="shared" si="323"/>
        <v>4250</v>
      </c>
    </row>
    <row r="943" spans="2:18" x14ac:dyDescent="0.2">
      <c r="B943" s="171">
        <f t="shared" si="320"/>
        <v>410</v>
      </c>
      <c r="C943" s="130"/>
      <c r="D943" s="130"/>
      <c r="E943" s="134"/>
      <c r="F943" s="131" t="s">
        <v>216</v>
      </c>
      <c r="G943" s="194" t="s">
        <v>248</v>
      </c>
      <c r="H943" s="399">
        <v>500</v>
      </c>
      <c r="I943" s="399"/>
      <c r="J943" s="399">
        <f t="shared" si="304"/>
        <v>500</v>
      </c>
      <c r="K943" s="339"/>
      <c r="L943" s="399"/>
      <c r="M943" s="399"/>
      <c r="N943" s="399"/>
      <c r="O943" s="339"/>
      <c r="P943" s="168">
        <f t="shared" si="322"/>
        <v>500</v>
      </c>
      <c r="Q943" s="168">
        <f t="shared" si="323"/>
        <v>0</v>
      </c>
      <c r="R943" s="168">
        <f t="shared" si="323"/>
        <v>500</v>
      </c>
    </row>
    <row r="944" spans="2:18" x14ac:dyDescent="0.2">
      <c r="B944" s="171">
        <f t="shared" si="320"/>
        <v>411</v>
      </c>
      <c r="C944" s="130"/>
      <c r="D944" s="130"/>
      <c r="E944" s="134"/>
      <c r="F944" s="144" t="s">
        <v>217</v>
      </c>
      <c r="G944" s="199" t="s">
        <v>504</v>
      </c>
      <c r="H944" s="529">
        <v>3000</v>
      </c>
      <c r="I944" s="529">
        <v>-2800</v>
      </c>
      <c r="J944" s="529">
        <f t="shared" si="304"/>
        <v>200</v>
      </c>
      <c r="K944" s="339"/>
      <c r="L944" s="399"/>
      <c r="M944" s="399"/>
      <c r="N944" s="399"/>
      <c r="O944" s="339"/>
      <c r="P944" s="530">
        <f t="shared" si="322"/>
        <v>3000</v>
      </c>
      <c r="Q944" s="530">
        <f t="shared" si="323"/>
        <v>-2800</v>
      </c>
      <c r="R944" s="530">
        <f t="shared" si="323"/>
        <v>200</v>
      </c>
    </row>
    <row r="945" spans="2:18" ht="15" x14ac:dyDescent="0.25">
      <c r="B945" s="171">
        <f t="shared" si="320"/>
        <v>412</v>
      </c>
      <c r="C945" s="130"/>
      <c r="D945" s="262">
        <v>6</v>
      </c>
      <c r="E945" s="175" t="s">
        <v>427</v>
      </c>
      <c r="F945" s="147" t="s">
        <v>388</v>
      </c>
      <c r="G945" s="236"/>
      <c r="H945" s="425">
        <f>H946+H947+H948</f>
        <v>46296</v>
      </c>
      <c r="I945" s="425">
        <f t="shared" ref="I945" si="324">I946+I947+I948</f>
        <v>0</v>
      </c>
      <c r="J945" s="425">
        <f t="shared" ref="J945:J1009" si="325">H945+I945</f>
        <v>46296</v>
      </c>
      <c r="K945" s="342"/>
      <c r="L945" s="850"/>
      <c r="M945" s="850"/>
      <c r="N945" s="850"/>
      <c r="O945" s="342"/>
      <c r="P945" s="345">
        <f t="shared" si="322"/>
        <v>46296</v>
      </c>
      <c r="Q945" s="345">
        <f t="shared" si="323"/>
        <v>0</v>
      </c>
      <c r="R945" s="345">
        <f t="shared" si="323"/>
        <v>46296</v>
      </c>
    </row>
    <row r="946" spans="2:18" x14ac:dyDescent="0.2">
      <c r="B946" s="171">
        <f t="shared" si="320"/>
        <v>413</v>
      </c>
      <c r="C946" s="130"/>
      <c r="D946" s="130"/>
      <c r="E946" s="134"/>
      <c r="F946" s="144" t="s">
        <v>211</v>
      </c>
      <c r="G946" s="199" t="s">
        <v>505</v>
      </c>
      <c r="H946" s="529">
        <f>30845+1542</f>
        <v>32387</v>
      </c>
      <c r="I946" s="529"/>
      <c r="J946" s="529">
        <f t="shared" si="325"/>
        <v>32387</v>
      </c>
      <c r="K946" s="339"/>
      <c r="L946" s="399"/>
      <c r="M946" s="399"/>
      <c r="N946" s="399"/>
      <c r="O946" s="339"/>
      <c r="P946" s="530">
        <f t="shared" si="322"/>
        <v>32387</v>
      </c>
      <c r="Q946" s="530">
        <f t="shared" si="323"/>
        <v>0</v>
      </c>
      <c r="R946" s="530">
        <f t="shared" si="323"/>
        <v>32387</v>
      </c>
    </row>
    <row r="947" spans="2:18" x14ac:dyDescent="0.2">
      <c r="B947" s="171">
        <f t="shared" si="320"/>
        <v>414</v>
      </c>
      <c r="C947" s="130"/>
      <c r="D947" s="130"/>
      <c r="E947" s="134"/>
      <c r="F947" s="144" t="s">
        <v>212</v>
      </c>
      <c r="G947" s="199" t="s">
        <v>259</v>
      </c>
      <c r="H947" s="529">
        <f>10780+539</f>
        <v>11319</v>
      </c>
      <c r="I947" s="529"/>
      <c r="J947" s="529">
        <f t="shared" si="325"/>
        <v>11319</v>
      </c>
      <c r="K947" s="339"/>
      <c r="L947" s="399"/>
      <c r="M947" s="399"/>
      <c r="N947" s="399"/>
      <c r="O947" s="339"/>
      <c r="P947" s="530">
        <f t="shared" si="322"/>
        <v>11319</v>
      </c>
      <c r="Q947" s="530">
        <f t="shared" si="323"/>
        <v>0</v>
      </c>
      <c r="R947" s="530">
        <f t="shared" si="323"/>
        <v>11319</v>
      </c>
    </row>
    <row r="948" spans="2:18" x14ac:dyDescent="0.2">
      <c r="B948" s="171">
        <f t="shared" si="320"/>
        <v>415</v>
      </c>
      <c r="C948" s="130"/>
      <c r="D948" s="130"/>
      <c r="E948" s="134"/>
      <c r="F948" s="144" t="s">
        <v>218</v>
      </c>
      <c r="G948" s="199" t="s">
        <v>340</v>
      </c>
      <c r="H948" s="529">
        <f>SUM(H949:H951)</f>
        <v>2590</v>
      </c>
      <c r="I948" s="529">
        <f>SUM(I949:I951)</f>
        <v>0</v>
      </c>
      <c r="J948" s="529">
        <f t="shared" si="325"/>
        <v>2590</v>
      </c>
      <c r="K948" s="339"/>
      <c r="L948" s="399"/>
      <c r="M948" s="399"/>
      <c r="N948" s="399"/>
      <c r="O948" s="339"/>
      <c r="P948" s="530">
        <f t="shared" si="322"/>
        <v>2590</v>
      </c>
      <c r="Q948" s="530">
        <f t="shared" si="323"/>
        <v>0</v>
      </c>
      <c r="R948" s="530">
        <f t="shared" si="323"/>
        <v>2590</v>
      </c>
    </row>
    <row r="949" spans="2:18" x14ac:dyDescent="0.2">
      <c r="B949" s="171">
        <f t="shared" si="320"/>
        <v>416</v>
      </c>
      <c r="C949" s="130"/>
      <c r="D949" s="130"/>
      <c r="E949" s="134"/>
      <c r="F949" s="131" t="s">
        <v>199</v>
      </c>
      <c r="G949" s="194" t="s">
        <v>318</v>
      </c>
      <c r="H949" s="399">
        <f>1700-500</f>
        <v>1200</v>
      </c>
      <c r="I949" s="399"/>
      <c r="J949" s="399">
        <f t="shared" si="325"/>
        <v>1200</v>
      </c>
      <c r="K949" s="339"/>
      <c r="L949" s="399"/>
      <c r="M949" s="399"/>
      <c r="N949" s="399"/>
      <c r="O949" s="339"/>
      <c r="P949" s="168">
        <f t="shared" si="322"/>
        <v>1200</v>
      </c>
      <c r="Q949" s="168">
        <f t="shared" si="323"/>
        <v>0</v>
      </c>
      <c r="R949" s="168">
        <f t="shared" si="323"/>
        <v>1200</v>
      </c>
    </row>
    <row r="950" spans="2:18" x14ac:dyDescent="0.2">
      <c r="B950" s="171">
        <f t="shared" si="320"/>
        <v>417</v>
      </c>
      <c r="C950" s="130"/>
      <c r="D950" s="130"/>
      <c r="E950" s="134"/>
      <c r="F950" s="131" t="s">
        <v>200</v>
      </c>
      <c r="G950" s="194" t="s">
        <v>247</v>
      </c>
      <c r="H950" s="399">
        <f>100+500</f>
        <v>600</v>
      </c>
      <c r="I950" s="399">
        <v>-58</v>
      </c>
      <c r="J950" s="399">
        <f t="shared" si="325"/>
        <v>542</v>
      </c>
      <c r="K950" s="339"/>
      <c r="L950" s="399"/>
      <c r="M950" s="399"/>
      <c r="N950" s="399"/>
      <c r="O950" s="339"/>
      <c r="P950" s="168">
        <f t="shared" si="322"/>
        <v>600</v>
      </c>
      <c r="Q950" s="168">
        <f t="shared" si="323"/>
        <v>-58</v>
      </c>
      <c r="R950" s="168">
        <f t="shared" si="323"/>
        <v>542</v>
      </c>
    </row>
    <row r="951" spans="2:18" x14ac:dyDescent="0.2">
      <c r="B951" s="171">
        <f t="shared" si="320"/>
        <v>418</v>
      </c>
      <c r="C951" s="130"/>
      <c r="D951" s="130"/>
      <c r="E951" s="134"/>
      <c r="F951" s="131" t="s">
        <v>216</v>
      </c>
      <c r="G951" s="194" t="s">
        <v>248</v>
      </c>
      <c r="H951" s="399">
        <v>790</v>
      </c>
      <c r="I951" s="399">
        <v>58</v>
      </c>
      <c r="J951" s="399">
        <f t="shared" si="325"/>
        <v>848</v>
      </c>
      <c r="K951" s="339"/>
      <c r="L951" s="399"/>
      <c r="M951" s="399"/>
      <c r="N951" s="399"/>
      <c r="O951" s="339"/>
      <c r="P951" s="168">
        <f t="shared" si="322"/>
        <v>790</v>
      </c>
      <c r="Q951" s="168">
        <f t="shared" si="323"/>
        <v>58</v>
      </c>
      <c r="R951" s="168">
        <f t="shared" si="323"/>
        <v>848</v>
      </c>
    </row>
    <row r="952" spans="2:18" ht="15" x14ac:dyDescent="0.25">
      <c r="B952" s="171">
        <f t="shared" si="320"/>
        <v>419</v>
      </c>
      <c r="C952" s="130"/>
      <c r="D952" s="262">
        <v>7</v>
      </c>
      <c r="E952" s="175" t="s">
        <v>427</v>
      </c>
      <c r="F952" s="147" t="s">
        <v>389</v>
      </c>
      <c r="G952" s="236"/>
      <c r="H952" s="425">
        <f>H953+H954+H955+H959</f>
        <v>36058</v>
      </c>
      <c r="I952" s="425">
        <f t="shared" ref="I952" si="326">I953+I954+I955+I959</f>
        <v>0</v>
      </c>
      <c r="J952" s="425">
        <f t="shared" si="325"/>
        <v>36058</v>
      </c>
      <c r="K952" s="342"/>
      <c r="L952" s="850"/>
      <c r="M952" s="850"/>
      <c r="N952" s="850"/>
      <c r="O952" s="342"/>
      <c r="P952" s="345">
        <f t="shared" si="322"/>
        <v>36058</v>
      </c>
      <c r="Q952" s="345">
        <f t="shared" si="323"/>
        <v>0</v>
      </c>
      <c r="R952" s="345">
        <f t="shared" si="323"/>
        <v>36058</v>
      </c>
    </row>
    <row r="953" spans="2:18" x14ac:dyDescent="0.2">
      <c r="B953" s="171">
        <f t="shared" si="320"/>
        <v>420</v>
      </c>
      <c r="C953" s="130"/>
      <c r="D953" s="130"/>
      <c r="E953" s="134"/>
      <c r="F953" s="144" t="s">
        <v>211</v>
      </c>
      <c r="G953" s="199" t="s">
        <v>505</v>
      </c>
      <c r="H953" s="529">
        <f>22570+1129</f>
        <v>23699</v>
      </c>
      <c r="I953" s="529">
        <v>100</v>
      </c>
      <c r="J953" s="529">
        <f t="shared" si="325"/>
        <v>23799</v>
      </c>
      <c r="K953" s="339"/>
      <c r="L953" s="399"/>
      <c r="M953" s="399"/>
      <c r="N953" s="399"/>
      <c r="O953" s="339"/>
      <c r="P953" s="530">
        <f t="shared" si="322"/>
        <v>23699</v>
      </c>
      <c r="Q953" s="530">
        <f t="shared" ref="Q953:R968" si="327">I953+M953</f>
        <v>100</v>
      </c>
      <c r="R953" s="530">
        <f t="shared" si="327"/>
        <v>23799</v>
      </c>
    </row>
    <row r="954" spans="2:18" x14ac:dyDescent="0.2">
      <c r="B954" s="171">
        <f t="shared" si="320"/>
        <v>421</v>
      </c>
      <c r="C954" s="130"/>
      <c r="D954" s="130"/>
      <c r="E954" s="134"/>
      <c r="F954" s="144" t="s">
        <v>212</v>
      </c>
      <c r="G954" s="199" t="s">
        <v>259</v>
      </c>
      <c r="H954" s="529">
        <f>7885+394</f>
        <v>8279</v>
      </c>
      <c r="I954" s="529">
        <v>50</v>
      </c>
      <c r="J954" s="529">
        <f t="shared" si="325"/>
        <v>8329</v>
      </c>
      <c r="K954" s="339"/>
      <c r="L954" s="399"/>
      <c r="M954" s="399"/>
      <c r="N954" s="399"/>
      <c r="O954" s="339"/>
      <c r="P954" s="530">
        <f t="shared" si="322"/>
        <v>8279</v>
      </c>
      <c r="Q954" s="530">
        <f t="shared" si="327"/>
        <v>50</v>
      </c>
      <c r="R954" s="530">
        <f t="shared" si="327"/>
        <v>8329</v>
      </c>
    </row>
    <row r="955" spans="2:18" x14ac:dyDescent="0.2">
      <c r="B955" s="171">
        <f t="shared" si="320"/>
        <v>422</v>
      </c>
      <c r="C955" s="130"/>
      <c r="D955" s="130"/>
      <c r="E955" s="134"/>
      <c r="F955" s="144" t="s">
        <v>218</v>
      </c>
      <c r="G955" s="199" t="s">
        <v>340</v>
      </c>
      <c r="H955" s="529">
        <f>SUM(H956:H958)</f>
        <v>3930</v>
      </c>
      <c r="I955" s="529">
        <f>SUM(I956:I958)</f>
        <v>0</v>
      </c>
      <c r="J955" s="529">
        <f t="shared" si="325"/>
        <v>3930</v>
      </c>
      <c r="K955" s="339"/>
      <c r="L955" s="399"/>
      <c r="M955" s="399"/>
      <c r="N955" s="399"/>
      <c r="O955" s="339"/>
      <c r="P955" s="530">
        <f t="shared" si="322"/>
        <v>3930</v>
      </c>
      <c r="Q955" s="530">
        <f t="shared" si="327"/>
        <v>0</v>
      </c>
      <c r="R955" s="530">
        <f t="shared" si="327"/>
        <v>3930</v>
      </c>
    </row>
    <row r="956" spans="2:18" x14ac:dyDescent="0.2">
      <c r="B956" s="171">
        <f t="shared" si="320"/>
        <v>423</v>
      </c>
      <c r="C956" s="130"/>
      <c r="D956" s="130"/>
      <c r="E956" s="134"/>
      <c r="F956" s="131" t="s">
        <v>199</v>
      </c>
      <c r="G956" s="194" t="s">
        <v>318</v>
      </c>
      <c r="H956" s="399">
        <v>1560</v>
      </c>
      <c r="I956" s="399"/>
      <c r="J956" s="399">
        <f t="shared" si="325"/>
        <v>1560</v>
      </c>
      <c r="K956" s="339"/>
      <c r="L956" s="399"/>
      <c r="M956" s="399"/>
      <c r="N956" s="399"/>
      <c r="O956" s="339"/>
      <c r="P956" s="168">
        <f t="shared" si="322"/>
        <v>1560</v>
      </c>
      <c r="Q956" s="168">
        <f t="shared" si="327"/>
        <v>0</v>
      </c>
      <c r="R956" s="168">
        <f t="shared" si="327"/>
        <v>1560</v>
      </c>
    </row>
    <row r="957" spans="2:18" x14ac:dyDescent="0.2">
      <c r="B957" s="171">
        <f t="shared" si="320"/>
        <v>424</v>
      </c>
      <c r="C957" s="130"/>
      <c r="D957" s="130"/>
      <c r="E957" s="134"/>
      <c r="F957" s="131" t="s">
        <v>200</v>
      </c>
      <c r="G957" s="194" t="s">
        <v>247</v>
      </c>
      <c r="H957" s="399">
        <v>680</v>
      </c>
      <c r="I957" s="399"/>
      <c r="J957" s="399">
        <f t="shared" si="325"/>
        <v>680</v>
      </c>
      <c r="K957" s="339"/>
      <c r="L957" s="399"/>
      <c r="M957" s="399"/>
      <c r="N957" s="399"/>
      <c r="O957" s="339"/>
      <c r="P957" s="168">
        <f t="shared" si="322"/>
        <v>680</v>
      </c>
      <c r="Q957" s="168">
        <f t="shared" si="327"/>
        <v>0</v>
      </c>
      <c r="R957" s="168">
        <f t="shared" si="327"/>
        <v>680</v>
      </c>
    </row>
    <row r="958" spans="2:18" x14ac:dyDescent="0.2">
      <c r="B958" s="171">
        <f t="shared" si="320"/>
        <v>425</v>
      </c>
      <c r="C958" s="130"/>
      <c r="D958" s="130"/>
      <c r="E958" s="134"/>
      <c r="F958" s="131" t="s">
        <v>216</v>
      </c>
      <c r="G958" s="194" t="s">
        <v>248</v>
      </c>
      <c r="H958" s="399">
        <v>1690</v>
      </c>
      <c r="I958" s="399"/>
      <c r="J958" s="399">
        <f t="shared" si="325"/>
        <v>1690</v>
      </c>
      <c r="K958" s="339"/>
      <c r="L958" s="399"/>
      <c r="M958" s="399"/>
      <c r="N958" s="399"/>
      <c r="O958" s="339"/>
      <c r="P958" s="168">
        <f t="shared" si="322"/>
        <v>1690</v>
      </c>
      <c r="Q958" s="168">
        <f t="shared" si="327"/>
        <v>0</v>
      </c>
      <c r="R958" s="168">
        <f t="shared" si="327"/>
        <v>1690</v>
      </c>
    </row>
    <row r="959" spans="2:18" x14ac:dyDescent="0.2">
      <c r="B959" s="171">
        <f t="shared" si="320"/>
        <v>426</v>
      </c>
      <c r="C959" s="130"/>
      <c r="D959" s="130"/>
      <c r="E959" s="134"/>
      <c r="F959" s="144" t="s">
        <v>217</v>
      </c>
      <c r="G959" s="199" t="s">
        <v>504</v>
      </c>
      <c r="H959" s="529">
        <v>150</v>
      </c>
      <c r="I959" s="529">
        <v>-150</v>
      </c>
      <c r="J959" s="529">
        <f t="shared" si="325"/>
        <v>0</v>
      </c>
      <c r="K959" s="336"/>
      <c r="L959" s="529"/>
      <c r="M959" s="529"/>
      <c r="N959" s="529"/>
      <c r="O959" s="336"/>
      <c r="P959" s="530">
        <f t="shared" si="322"/>
        <v>150</v>
      </c>
      <c r="Q959" s="530">
        <f t="shared" si="327"/>
        <v>-150</v>
      </c>
      <c r="R959" s="530">
        <f t="shared" si="327"/>
        <v>0</v>
      </c>
    </row>
    <row r="960" spans="2:18" ht="15" x14ac:dyDescent="0.25">
      <c r="B960" s="171">
        <f t="shared" si="320"/>
        <v>427</v>
      </c>
      <c r="C960" s="130"/>
      <c r="D960" s="262">
        <v>8</v>
      </c>
      <c r="E960" s="175" t="s">
        <v>427</v>
      </c>
      <c r="F960" s="147" t="s">
        <v>390</v>
      </c>
      <c r="G960" s="236"/>
      <c r="H960" s="425">
        <f>H961+H962+H963+H967</f>
        <v>74520</v>
      </c>
      <c r="I960" s="425">
        <f t="shared" ref="I960" si="328">I961+I962+I963+I967</f>
        <v>0</v>
      </c>
      <c r="J960" s="425">
        <f t="shared" si="325"/>
        <v>74520</v>
      </c>
      <c r="K960" s="342"/>
      <c r="L960" s="850"/>
      <c r="M960" s="850"/>
      <c r="N960" s="850"/>
      <c r="O960" s="342"/>
      <c r="P960" s="345">
        <f t="shared" si="322"/>
        <v>74520</v>
      </c>
      <c r="Q960" s="345">
        <f t="shared" si="327"/>
        <v>0</v>
      </c>
      <c r="R960" s="345">
        <f t="shared" si="327"/>
        <v>74520</v>
      </c>
    </row>
    <row r="961" spans="2:18" x14ac:dyDescent="0.2">
      <c r="B961" s="171">
        <f t="shared" si="320"/>
        <v>428</v>
      </c>
      <c r="C961" s="130"/>
      <c r="D961" s="130"/>
      <c r="E961" s="134"/>
      <c r="F961" s="144" t="s">
        <v>211</v>
      </c>
      <c r="G961" s="199" t="s">
        <v>505</v>
      </c>
      <c r="H961" s="529">
        <f>45790+2290+1500</f>
        <v>49580</v>
      </c>
      <c r="I961" s="529"/>
      <c r="J961" s="529">
        <f t="shared" si="325"/>
        <v>49580</v>
      </c>
      <c r="K961" s="339"/>
      <c r="L961" s="399"/>
      <c r="M961" s="399"/>
      <c r="N961" s="399"/>
      <c r="O961" s="339"/>
      <c r="P961" s="530">
        <f t="shared" si="322"/>
        <v>49580</v>
      </c>
      <c r="Q961" s="530">
        <f t="shared" si="327"/>
        <v>0</v>
      </c>
      <c r="R961" s="530">
        <f t="shared" si="327"/>
        <v>49580</v>
      </c>
    </row>
    <row r="962" spans="2:18" x14ac:dyDescent="0.2">
      <c r="B962" s="171">
        <f t="shared" si="320"/>
        <v>429</v>
      </c>
      <c r="C962" s="130"/>
      <c r="D962" s="130"/>
      <c r="E962" s="134"/>
      <c r="F962" s="144" t="s">
        <v>212</v>
      </c>
      <c r="G962" s="199" t="s">
        <v>259</v>
      </c>
      <c r="H962" s="529">
        <f>16990+850</f>
        <v>17840</v>
      </c>
      <c r="I962" s="529"/>
      <c r="J962" s="529">
        <f t="shared" si="325"/>
        <v>17840</v>
      </c>
      <c r="K962" s="339"/>
      <c r="L962" s="399"/>
      <c r="M962" s="399"/>
      <c r="N962" s="399"/>
      <c r="O962" s="339"/>
      <c r="P962" s="530">
        <f t="shared" si="322"/>
        <v>17840</v>
      </c>
      <c r="Q962" s="530">
        <f t="shared" si="327"/>
        <v>0</v>
      </c>
      <c r="R962" s="530">
        <f t="shared" si="327"/>
        <v>17840</v>
      </c>
    </row>
    <row r="963" spans="2:18" x14ac:dyDescent="0.2">
      <c r="B963" s="171">
        <f t="shared" si="320"/>
        <v>430</v>
      </c>
      <c r="C963" s="130"/>
      <c r="D963" s="130"/>
      <c r="E963" s="134"/>
      <c r="F963" s="144" t="s">
        <v>218</v>
      </c>
      <c r="G963" s="199" t="s">
        <v>340</v>
      </c>
      <c r="H963" s="529">
        <f>SUM(H964:H966)</f>
        <v>6800</v>
      </c>
      <c r="I963" s="529"/>
      <c r="J963" s="529">
        <f t="shared" si="325"/>
        <v>6800</v>
      </c>
      <c r="K963" s="339"/>
      <c r="L963" s="399"/>
      <c r="M963" s="399"/>
      <c r="N963" s="399"/>
      <c r="O963" s="339"/>
      <c r="P963" s="530">
        <f t="shared" si="322"/>
        <v>6800</v>
      </c>
      <c r="Q963" s="530">
        <f t="shared" si="327"/>
        <v>0</v>
      </c>
      <c r="R963" s="530">
        <f t="shared" si="327"/>
        <v>6800</v>
      </c>
    </row>
    <row r="964" spans="2:18" x14ac:dyDescent="0.2">
      <c r="B964" s="171">
        <f t="shared" si="320"/>
        <v>431</v>
      </c>
      <c r="C964" s="130"/>
      <c r="D964" s="130"/>
      <c r="E964" s="134"/>
      <c r="F964" s="131" t="s">
        <v>199</v>
      </c>
      <c r="G964" s="194" t="s">
        <v>318</v>
      </c>
      <c r="H964" s="399">
        <f>6200-2200</f>
        <v>4000</v>
      </c>
      <c r="I964" s="399"/>
      <c r="J964" s="399">
        <f t="shared" si="325"/>
        <v>4000</v>
      </c>
      <c r="K964" s="339"/>
      <c r="L964" s="399"/>
      <c r="M964" s="399"/>
      <c r="N964" s="399"/>
      <c r="O964" s="339"/>
      <c r="P964" s="168">
        <f t="shared" si="322"/>
        <v>4000</v>
      </c>
      <c r="Q964" s="168">
        <f t="shared" si="327"/>
        <v>0</v>
      </c>
      <c r="R964" s="168">
        <f t="shared" si="327"/>
        <v>4000</v>
      </c>
    </row>
    <row r="965" spans="2:18" x14ac:dyDescent="0.2">
      <c r="B965" s="171">
        <f t="shared" si="320"/>
        <v>432</v>
      </c>
      <c r="C965" s="130"/>
      <c r="D965" s="130"/>
      <c r="E965" s="134"/>
      <c r="F965" s="131" t="s">
        <v>200</v>
      </c>
      <c r="G965" s="194" t="s">
        <v>247</v>
      </c>
      <c r="H965" s="399">
        <v>950</v>
      </c>
      <c r="I965" s="399"/>
      <c r="J965" s="399">
        <f t="shared" si="325"/>
        <v>950</v>
      </c>
      <c r="K965" s="339"/>
      <c r="L965" s="399"/>
      <c r="M965" s="399"/>
      <c r="N965" s="399"/>
      <c r="O965" s="339"/>
      <c r="P965" s="168">
        <f t="shared" si="322"/>
        <v>950</v>
      </c>
      <c r="Q965" s="168">
        <f t="shared" si="327"/>
        <v>0</v>
      </c>
      <c r="R965" s="168">
        <f t="shared" si="327"/>
        <v>950</v>
      </c>
    </row>
    <row r="966" spans="2:18" x14ac:dyDescent="0.2">
      <c r="B966" s="171">
        <f t="shared" si="320"/>
        <v>433</v>
      </c>
      <c r="C966" s="130"/>
      <c r="D966" s="130"/>
      <c r="E966" s="134"/>
      <c r="F966" s="131" t="s">
        <v>216</v>
      </c>
      <c r="G966" s="194" t="s">
        <v>248</v>
      </c>
      <c r="H966" s="399">
        <f>1150+700</f>
        <v>1850</v>
      </c>
      <c r="I966" s="399"/>
      <c r="J966" s="399">
        <f t="shared" si="325"/>
        <v>1850</v>
      </c>
      <c r="K966" s="339"/>
      <c r="L966" s="399"/>
      <c r="M966" s="399"/>
      <c r="N966" s="399"/>
      <c r="O966" s="339"/>
      <c r="P966" s="168">
        <f t="shared" si="322"/>
        <v>1850</v>
      </c>
      <c r="Q966" s="168">
        <f t="shared" si="327"/>
        <v>0</v>
      </c>
      <c r="R966" s="168">
        <f t="shared" si="327"/>
        <v>1850</v>
      </c>
    </row>
    <row r="967" spans="2:18" x14ac:dyDescent="0.2">
      <c r="B967" s="171">
        <f t="shared" si="320"/>
        <v>434</v>
      </c>
      <c r="C967" s="130"/>
      <c r="D967" s="130"/>
      <c r="E967" s="134"/>
      <c r="F967" s="144" t="s">
        <v>217</v>
      </c>
      <c r="G967" s="199" t="s">
        <v>504</v>
      </c>
      <c r="H967" s="529">
        <v>300</v>
      </c>
      <c r="I967" s="529"/>
      <c r="J967" s="529">
        <f t="shared" si="325"/>
        <v>300</v>
      </c>
      <c r="K967" s="339"/>
      <c r="L967" s="399"/>
      <c r="M967" s="399"/>
      <c r="N967" s="399"/>
      <c r="O967" s="339"/>
      <c r="P967" s="530">
        <f t="shared" si="322"/>
        <v>300</v>
      </c>
      <c r="Q967" s="530">
        <f t="shared" si="327"/>
        <v>0</v>
      </c>
      <c r="R967" s="530">
        <f t="shared" si="327"/>
        <v>300</v>
      </c>
    </row>
    <row r="968" spans="2:18" ht="15" x14ac:dyDescent="0.25">
      <c r="B968" s="171">
        <f t="shared" si="320"/>
        <v>435</v>
      </c>
      <c r="C968" s="130"/>
      <c r="D968" s="262">
        <v>9</v>
      </c>
      <c r="E968" s="175" t="s">
        <v>427</v>
      </c>
      <c r="F968" s="265" t="s">
        <v>391</v>
      </c>
      <c r="G968" s="266"/>
      <c r="H968" s="427">
        <f>H969+H970+H971+H975</f>
        <v>36850</v>
      </c>
      <c r="I968" s="427">
        <f t="shared" ref="I968" si="329">I969+I970+I971+I975</f>
        <v>0</v>
      </c>
      <c r="J968" s="427">
        <f t="shared" si="325"/>
        <v>36850</v>
      </c>
      <c r="K968" s="342"/>
      <c r="L968" s="861"/>
      <c r="M968" s="861"/>
      <c r="N968" s="861"/>
      <c r="O968" s="342"/>
      <c r="P968" s="346">
        <f t="shared" si="322"/>
        <v>36850</v>
      </c>
      <c r="Q968" s="346">
        <f t="shared" si="327"/>
        <v>0</v>
      </c>
      <c r="R968" s="346">
        <f t="shared" si="327"/>
        <v>36850</v>
      </c>
    </row>
    <row r="969" spans="2:18" x14ac:dyDescent="0.2">
      <c r="B969" s="171">
        <f t="shared" si="320"/>
        <v>436</v>
      </c>
      <c r="C969" s="130"/>
      <c r="D969" s="130"/>
      <c r="E969" s="134"/>
      <c r="F969" s="144" t="s">
        <v>211</v>
      </c>
      <c r="G969" s="199" t="s">
        <v>505</v>
      </c>
      <c r="H969" s="529">
        <f>21255+1063</f>
        <v>22318</v>
      </c>
      <c r="I969" s="529"/>
      <c r="J969" s="529">
        <f t="shared" si="325"/>
        <v>22318</v>
      </c>
      <c r="K969" s="339"/>
      <c r="L969" s="399"/>
      <c r="M969" s="399"/>
      <c r="N969" s="399"/>
      <c r="O969" s="339"/>
      <c r="P969" s="530">
        <f t="shared" ref="P969:P975" si="330">H969+L969</f>
        <v>22318</v>
      </c>
      <c r="Q969" s="530">
        <f t="shared" ref="Q969:R975" si="331">I969+M969</f>
        <v>0</v>
      </c>
      <c r="R969" s="530">
        <f t="shared" si="331"/>
        <v>22318</v>
      </c>
    </row>
    <row r="970" spans="2:18" x14ac:dyDescent="0.2">
      <c r="B970" s="171">
        <f t="shared" si="320"/>
        <v>437</v>
      </c>
      <c r="C970" s="130"/>
      <c r="D970" s="130"/>
      <c r="E970" s="134"/>
      <c r="F970" s="144" t="s">
        <v>212</v>
      </c>
      <c r="G970" s="199" t="s">
        <v>259</v>
      </c>
      <c r="H970" s="529">
        <f>7430+372</f>
        <v>7802</v>
      </c>
      <c r="I970" s="529"/>
      <c r="J970" s="529">
        <f t="shared" si="325"/>
        <v>7802</v>
      </c>
      <c r="K970" s="339"/>
      <c r="L970" s="399"/>
      <c r="M970" s="399"/>
      <c r="N970" s="399"/>
      <c r="O970" s="339"/>
      <c r="P970" s="530">
        <f t="shared" si="330"/>
        <v>7802</v>
      </c>
      <c r="Q970" s="530">
        <f t="shared" si="331"/>
        <v>0</v>
      </c>
      <c r="R970" s="530">
        <f t="shared" si="331"/>
        <v>7802</v>
      </c>
    </row>
    <row r="971" spans="2:18" x14ac:dyDescent="0.2">
      <c r="B971" s="171">
        <f t="shared" si="320"/>
        <v>438</v>
      </c>
      <c r="C971" s="130"/>
      <c r="D971" s="130"/>
      <c r="E971" s="134"/>
      <c r="F971" s="144" t="s">
        <v>218</v>
      </c>
      <c r="G971" s="199" t="s">
        <v>340</v>
      </c>
      <c r="H971" s="529">
        <f>SUM(H972:H974)</f>
        <v>6680</v>
      </c>
      <c r="I971" s="529">
        <f>I972+I973+I974</f>
        <v>50</v>
      </c>
      <c r="J971" s="529">
        <f t="shared" si="325"/>
        <v>6730</v>
      </c>
      <c r="K971" s="339"/>
      <c r="L971" s="399"/>
      <c r="M971" s="399"/>
      <c r="N971" s="399"/>
      <c r="O971" s="339"/>
      <c r="P971" s="530">
        <f t="shared" si="330"/>
        <v>6680</v>
      </c>
      <c r="Q971" s="530">
        <f t="shared" si="331"/>
        <v>50</v>
      </c>
      <c r="R971" s="530">
        <f t="shared" si="331"/>
        <v>6730</v>
      </c>
    </row>
    <row r="972" spans="2:18" x14ac:dyDescent="0.2">
      <c r="B972" s="171">
        <f t="shared" si="320"/>
        <v>439</v>
      </c>
      <c r="C972" s="130"/>
      <c r="D972" s="130"/>
      <c r="E972" s="134"/>
      <c r="F972" s="131" t="s">
        <v>199</v>
      </c>
      <c r="G972" s="194" t="s">
        <v>318</v>
      </c>
      <c r="H972" s="399">
        <f>4770+900</f>
        <v>5670</v>
      </c>
      <c r="I972" s="399"/>
      <c r="J972" s="399">
        <f t="shared" si="325"/>
        <v>5670</v>
      </c>
      <c r="K972" s="339"/>
      <c r="L972" s="399"/>
      <c r="M972" s="399"/>
      <c r="N972" s="399"/>
      <c r="O972" s="339"/>
      <c r="P972" s="168">
        <f t="shared" si="330"/>
        <v>5670</v>
      </c>
      <c r="Q972" s="168">
        <f t="shared" si="331"/>
        <v>0</v>
      </c>
      <c r="R972" s="168">
        <f t="shared" si="331"/>
        <v>5670</v>
      </c>
    </row>
    <row r="973" spans="2:18" x14ac:dyDescent="0.2">
      <c r="B973" s="171">
        <f t="shared" si="320"/>
        <v>440</v>
      </c>
      <c r="C973" s="130"/>
      <c r="D973" s="130"/>
      <c r="E973" s="134"/>
      <c r="F973" s="131" t="s">
        <v>200</v>
      </c>
      <c r="G973" s="194" t="s">
        <v>247</v>
      </c>
      <c r="H973" s="399">
        <f>120+300</f>
        <v>420</v>
      </c>
      <c r="I973" s="399">
        <v>50</v>
      </c>
      <c r="J973" s="399">
        <f t="shared" si="325"/>
        <v>470</v>
      </c>
      <c r="K973" s="339"/>
      <c r="L973" s="399"/>
      <c r="M973" s="399"/>
      <c r="N973" s="399"/>
      <c r="O973" s="339"/>
      <c r="P973" s="168">
        <f t="shared" si="330"/>
        <v>420</v>
      </c>
      <c r="Q973" s="168">
        <f t="shared" si="331"/>
        <v>50</v>
      </c>
      <c r="R973" s="168">
        <f t="shared" si="331"/>
        <v>470</v>
      </c>
    </row>
    <row r="974" spans="2:18" x14ac:dyDescent="0.2">
      <c r="B974" s="171">
        <f t="shared" si="320"/>
        <v>441</v>
      </c>
      <c r="C974" s="130"/>
      <c r="D974" s="130"/>
      <c r="E974" s="134"/>
      <c r="F974" s="131" t="s">
        <v>216</v>
      </c>
      <c r="G974" s="194" t="s">
        <v>248</v>
      </c>
      <c r="H974" s="399">
        <v>590</v>
      </c>
      <c r="I974" s="399"/>
      <c r="J974" s="399">
        <f t="shared" si="325"/>
        <v>590</v>
      </c>
      <c r="K974" s="339"/>
      <c r="L974" s="399"/>
      <c r="M974" s="399"/>
      <c r="N974" s="399"/>
      <c r="O974" s="339"/>
      <c r="P974" s="168">
        <f t="shared" si="330"/>
        <v>590</v>
      </c>
      <c r="Q974" s="168">
        <f t="shared" si="331"/>
        <v>0</v>
      </c>
      <c r="R974" s="168">
        <f t="shared" si="331"/>
        <v>590</v>
      </c>
    </row>
    <row r="975" spans="2:18" x14ac:dyDescent="0.2">
      <c r="B975" s="171">
        <f t="shared" si="320"/>
        <v>442</v>
      </c>
      <c r="C975" s="130"/>
      <c r="D975" s="130"/>
      <c r="E975" s="134"/>
      <c r="F975" s="144" t="s">
        <v>217</v>
      </c>
      <c r="G975" s="199" t="s">
        <v>504</v>
      </c>
      <c r="H975" s="529">
        <v>50</v>
      </c>
      <c r="I975" s="529">
        <v>-50</v>
      </c>
      <c r="J975" s="529">
        <f t="shared" si="325"/>
        <v>0</v>
      </c>
      <c r="K975" s="339"/>
      <c r="L975" s="399"/>
      <c r="M975" s="399"/>
      <c r="N975" s="399"/>
      <c r="O975" s="339"/>
      <c r="P975" s="530">
        <f t="shared" si="330"/>
        <v>50</v>
      </c>
      <c r="Q975" s="530">
        <f t="shared" si="331"/>
        <v>-50</v>
      </c>
      <c r="R975" s="530">
        <f t="shared" si="331"/>
        <v>0</v>
      </c>
    </row>
    <row r="976" spans="2:18" x14ac:dyDescent="0.2">
      <c r="B976" s="171">
        <f t="shared" si="320"/>
        <v>443</v>
      </c>
      <c r="C976" s="130"/>
      <c r="D976" s="130"/>
      <c r="E976" s="134"/>
      <c r="F976" s="134"/>
      <c r="G976" s="199"/>
      <c r="H976" s="526"/>
      <c r="I976" s="526"/>
      <c r="J976" s="526">
        <f t="shared" si="325"/>
        <v>0</v>
      </c>
      <c r="K976" s="148"/>
      <c r="L976" s="526"/>
      <c r="M976" s="526"/>
      <c r="N976" s="526"/>
      <c r="O976" s="148"/>
      <c r="P976" s="168"/>
      <c r="Q976" s="168"/>
      <c r="R976" s="168"/>
    </row>
    <row r="977" spans="2:18" x14ac:dyDescent="0.2">
      <c r="B977" s="171">
        <f t="shared" si="320"/>
        <v>444</v>
      </c>
      <c r="C977" s="130"/>
      <c r="D977" s="130"/>
      <c r="E977" s="134"/>
      <c r="F977" s="285">
        <v>640</v>
      </c>
      <c r="G977" s="286" t="s">
        <v>392</v>
      </c>
      <c r="H977" s="428">
        <v>14787</v>
      </c>
      <c r="I977" s="428"/>
      <c r="J977" s="428">
        <f t="shared" si="325"/>
        <v>14787</v>
      </c>
      <c r="K977" s="132"/>
      <c r="L977" s="862"/>
      <c r="M977" s="862"/>
      <c r="N977" s="862"/>
      <c r="O977" s="132"/>
      <c r="P977" s="287">
        <f>H977+L977</f>
        <v>14787</v>
      </c>
      <c r="Q977" s="287">
        <f t="shared" ref="Q977:R980" si="332">I977+M977</f>
        <v>0</v>
      </c>
      <c r="R977" s="287">
        <f t="shared" si="332"/>
        <v>14787</v>
      </c>
    </row>
    <row r="978" spans="2:18" x14ac:dyDescent="0.2">
      <c r="B978" s="171">
        <f t="shared" si="320"/>
        <v>445</v>
      </c>
      <c r="C978" s="130"/>
      <c r="D978" s="130"/>
      <c r="E978" s="134"/>
      <c r="F978" s="285">
        <v>640</v>
      </c>
      <c r="G978" s="286" t="s">
        <v>393</v>
      </c>
      <c r="H978" s="428">
        <v>9438</v>
      </c>
      <c r="I978" s="428"/>
      <c r="J978" s="428">
        <f t="shared" si="325"/>
        <v>9438</v>
      </c>
      <c r="K978" s="132"/>
      <c r="L978" s="862"/>
      <c r="M978" s="862"/>
      <c r="N978" s="862"/>
      <c r="O978" s="132"/>
      <c r="P978" s="287">
        <f>H978+L978</f>
        <v>9438</v>
      </c>
      <c r="Q978" s="287">
        <f t="shared" si="332"/>
        <v>0</v>
      </c>
      <c r="R978" s="287">
        <f t="shared" si="332"/>
        <v>9438</v>
      </c>
    </row>
    <row r="979" spans="2:18" x14ac:dyDescent="0.2">
      <c r="B979" s="171">
        <f t="shared" si="320"/>
        <v>446</v>
      </c>
      <c r="C979" s="130"/>
      <c r="D979" s="130"/>
      <c r="E979" s="134"/>
      <c r="F979" s="285">
        <v>640</v>
      </c>
      <c r="G979" s="286" t="s">
        <v>571</v>
      </c>
      <c r="H979" s="428">
        <v>13026</v>
      </c>
      <c r="I979" s="428"/>
      <c r="J979" s="428">
        <f t="shared" si="325"/>
        <v>13026</v>
      </c>
      <c r="K979" s="132"/>
      <c r="L979" s="862"/>
      <c r="M979" s="862"/>
      <c r="N979" s="862"/>
      <c r="O979" s="132"/>
      <c r="P979" s="287">
        <f>H979+L979</f>
        <v>13026</v>
      </c>
      <c r="Q979" s="287">
        <f t="shared" si="332"/>
        <v>0</v>
      </c>
      <c r="R979" s="287">
        <f t="shared" si="332"/>
        <v>13026</v>
      </c>
    </row>
    <row r="980" spans="2:18" x14ac:dyDescent="0.2">
      <c r="B980" s="171">
        <f t="shared" si="320"/>
        <v>447</v>
      </c>
      <c r="C980" s="130"/>
      <c r="D980" s="130"/>
      <c r="E980" s="134"/>
      <c r="F980" s="285">
        <v>640</v>
      </c>
      <c r="G980" s="286" t="s">
        <v>572</v>
      </c>
      <c r="H980" s="428">
        <v>15865</v>
      </c>
      <c r="I980" s="428"/>
      <c r="J980" s="428">
        <f t="shared" si="325"/>
        <v>15865</v>
      </c>
      <c r="K980" s="148"/>
      <c r="L980" s="862"/>
      <c r="M980" s="862"/>
      <c r="N980" s="862"/>
      <c r="O980" s="148"/>
      <c r="P980" s="287">
        <f>H980+L980</f>
        <v>15865</v>
      </c>
      <c r="Q980" s="287">
        <f t="shared" si="332"/>
        <v>0</v>
      </c>
      <c r="R980" s="287">
        <f t="shared" si="332"/>
        <v>15865</v>
      </c>
    </row>
    <row r="981" spans="2:18" x14ac:dyDescent="0.2">
      <c r="B981" s="171">
        <f t="shared" si="320"/>
        <v>448</v>
      </c>
      <c r="C981" s="130"/>
      <c r="D981" s="134"/>
      <c r="E981" s="146"/>
      <c r="F981" s="131"/>
      <c r="G981" s="194"/>
      <c r="H981" s="432"/>
      <c r="I981" s="432"/>
      <c r="J981" s="432">
        <f t="shared" si="325"/>
        <v>0</v>
      </c>
      <c r="K981" s="148"/>
      <c r="L981" s="382"/>
      <c r="M981" s="382"/>
      <c r="N981" s="382"/>
      <c r="O981" s="148"/>
      <c r="P981" s="213"/>
      <c r="Q981" s="213"/>
      <c r="R981" s="213"/>
    </row>
    <row r="982" spans="2:18" ht="15" x14ac:dyDescent="0.25">
      <c r="B982" s="171">
        <f t="shared" si="320"/>
        <v>449</v>
      </c>
      <c r="C982" s="130"/>
      <c r="D982" s="262">
        <v>10</v>
      </c>
      <c r="E982" s="268" t="s">
        <v>427</v>
      </c>
      <c r="F982" s="265" t="s">
        <v>394</v>
      </c>
      <c r="G982" s="266"/>
      <c r="H982" s="427">
        <f>H983+H984+H985+H992</f>
        <v>784234</v>
      </c>
      <c r="I982" s="427">
        <f t="shared" ref="I982" si="333">I983+I984+I985+I992</f>
        <v>6000</v>
      </c>
      <c r="J982" s="427">
        <f t="shared" si="325"/>
        <v>790234</v>
      </c>
      <c r="K982" s="342"/>
      <c r="L982" s="860"/>
      <c r="M982" s="860"/>
      <c r="N982" s="860"/>
      <c r="O982" s="342"/>
      <c r="P982" s="346">
        <f t="shared" ref="P982:P1003" si="334">H982+L982</f>
        <v>784234</v>
      </c>
      <c r="Q982" s="346">
        <f t="shared" ref="Q982:R997" si="335">I982+M982</f>
        <v>6000</v>
      </c>
      <c r="R982" s="346">
        <f t="shared" si="335"/>
        <v>790234</v>
      </c>
    </row>
    <row r="983" spans="2:18" x14ac:dyDescent="0.2">
      <c r="B983" s="171">
        <f t="shared" si="320"/>
        <v>450</v>
      </c>
      <c r="C983" s="130"/>
      <c r="D983" s="130"/>
      <c r="E983" s="134"/>
      <c r="F983" s="144" t="s">
        <v>211</v>
      </c>
      <c r="G983" s="199" t="s">
        <v>505</v>
      </c>
      <c r="H983" s="529">
        <f>487600+24380</f>
        <v>511980</v>
      </c>
      <c r="I983" s="529">
        <v>20400</v>
      </c>
      <c r="J983" s="529">
        <f t="shared" si="325"/>
        <v>532380</v>
      </c>
      <c r="K983" s="339"/>
      <c r="L983" s="399"/>
      <c r="M983" s="399"/>
      <c r="N983" s="399"/>
      <c r="O983" s="339"/>
      <c r="P983" s="530">
        <f t="shared" si="334"/>
        <v>511980</v>
      </c>
      <c r="Q983" s="530">
        <f t="shared" si="335"/>
        <v>20400</v>
      </c>
      <c r="R983" s="530">
        <f t="shared" si="335"/>
        <v>532380</v>
      </c>
    </row>
    <row r="984" spans="2:18" x14ac:dyDescent="0.2">
      <c r="B984" s="171">
        <f t="shared" si="320"/>
        <v>451</v>
      </c>
      <c r="C984" s="130"/>
      <c r="D984" s="130"/>
      <c r="E984" s="134"/>
      <c r="F984" s="144" t="s">
        <v>212</v>
      </c>
      <c r="G984" s="199" t="s">
        <v>259</v>
      </c>
      <c r="H984" s="529">
        <f>170295+8515</f>
        <v>178810</v>
      </c>
      <c r="I984" s="529">
        <v>6640</v>
      </c>
      <c r="J984" s="529">
        <f t="shared" si="325"/>
        <v>185450</v>
      </c>
      <c r="K984" s="339"/>
      <c r="L984" s="399"/>
      <c r="M984" s="399"/>
      <c r="N984" s="399"/>
      <c r="O984" s="339"/>
      <c r="P984" s="530">
        <f t="shared" si="334"/>
        <v>178810</v>
      </c>
      <c r="Q984" s="530">
        <f t="shared" si="335"/>
        <v>6640</v>
      </c>
      <c r="R984" s="530">
        <f t="shared" si="335"/>
        <v>185450</v>
      </c>
    </row>
    <row r="985" spans="2:18" x14ac:dyDescent="0.2">
      <c r="B985" s="171">
        <f t="shared" si="320"/>
        <v>452</v>
      </c>
      <c r="C985" s="130"/>
      <c r="D985" s="130"/>
      <c r="E985" s="134"/>
      <c r="F985" s="144" t="s">
        <v>218</v>
      </c>
      <c r="G985" s="199" t="s">
        <v>340</v>
      </c>
      <c r="H985" s="529">
        <f>SUM(H986:H991)</f>
        <v>86944</v>
      </c>
      <c r="I985" s="529">
        <f>SUM(I986:I991)</f>
        <v>-15740</v>
      </c>
      <c r="J985" s="529">
        <f t="shared" si="325"/>
        <v>71204</v>
      </c>
      <c r="K985" s="339"/>
      <c r="L985" s="399"/>
      <c r="M985" s="399"/>
      <c r="N985" s="399"/>
      <c r="O985" s="339"/>
      <c r="P985" s="530">
        <f t="shared" si="334"/>
        <v>86944</v>
      </c>
      <c r="Q985" s="530">
        <f t="shared" si="335"/>
        <v>-15740</v>
      </c>
      <c r="R985" s="530">
        <f t="shared" si="335"/>
        <v>71204</v>
      </c>
    </row>
    <row r="986" spans="2:18" x14ac:dyDescent="0.2">
      <c r="B986" s="171">
        <f t="shared" si="320"/>
        <v>453</v>
      </c>
      <c r="C986" s="130"/>
      <c r="D986" s="130"/>
      <c r="E986" s="134"/>
      <c r="F986" s="131" t="s">
        <v>213</v>
      </c>
      <c r="G986" s="194" t="s">
        <v>306</v>
      </c>
      <c r="H986" s="399">
        <v>400</v>
      </c>
      <c r="I986" s="399"/>
      <c r="J986" s="399">
        <f t="shared" si="325"/>
        <v>400</v>
      </c>
      <c r="K986" s="339"/>
      <c r="L986" s="399"/>
      <c r="M986" s="399"/>
      <c r="N986" s="399"/>
      <c r="O986" s="339"/>
      <c r="P986" s="168">
        <f t="shared" si="334"/>
        <v>400</v>
      </c>
      <c r="Q986" s="168">
        <f t="shared" si="335"/>
        <v>0</v>
      </c>
      <c r="R986" s="168">
        <f t="shared" si="335"/>
        <v>400</v>
      </c>
    </row>
    <row r="987" spans="2:18" x14ac:dyDescent="0.2">
      <c r="B987" s="171">
        <f t="shared" si="320"/>
        <v>454</v>
      </c>
      <c r="C987" s="130"/>
      <c r="D987" s="130"/>
      <c r="E987" s="134"/>
      <c r="F987" s="131" t="s">
        <v>199</v>
      </c>
      <c r="G987" s="194" t="s">
        <v>318</v>
      </c>
      <c r="H987" s="399">
        <v>39280</v>
      </c>
      <c r="I987" s="399">
        <v>-14580</v>
      </c>
      <c r="J987" s="399">
        <f t="shared" si="325"/>
        <v>24700</v>
      </c>
      <c r="K987" s="339"/>
      <c r="L987" s="399"/>
      <c r="M987" s="399"/>
      <c r="N987" s="399"/>
      <c r="O987" s="339"/>
      <c r="P987" s="168">
        <f t="shared" si="334"/>
        <v>39280</v>
      </c>
      <c r="Q987" s="168">
        <f t="shared" si="335"/>
        <v>-14580</v>
      </c>
      <c r="R987" s="168">
        <f t="shared" si="335"/>
        <v>24700</v>
      </c>
    </row>
    <row r="988" spans="2:18" x14ac:dyDescent="0.2">
      <c r="B988" s="171">
        <f t="shared" si="320"/>
        <v>455</v>
      </c>
      <c r="C988" s="130"/>
      <c r="D988" s="130"/>
      <c r="E988" s="134"/>
      <c r="F988" s="131" t="s">
        <v>200</v>
      </c>
      <c r="G988" s="194" t="s">
        <v>247</v>
      </c>
      <c r="H988" s="399">
        <f>6505+199</f>
        <v>6704</v>
      </c>
      <c r="I988" s="399">
        <v>7300</v>
      </c>
      <c r="J988" s="399">
        <f t="shared" si="325"/>
        <v>14004</v>
      </c>
      <c r="K988" s="339"/>
      <c r="L988" s="399"/>
      <c r="M988" s="399"/>
      <c r="N988" s="399"/>
      <c r="O988" s="339"/>
      <c r="P988" s="168">
        <f t="shared" si="334"/>
        <v>6704</v>
      </c>
      <c r="Q988" s="168">
        <f t="shared" si="335"/>
        <v>7300</v>
      </c>
      <c r="R988" s="168">
        <f t="shared" si="335"/>
        <v>14004</v>
      </c>
    </row>
    <row r="989" spans="2:18" x14ac:dyDescent="0.2">
      <c r="B989" s="171">
        <f t="shared" si="320"/>
        <v>456</v>
      </c>
      <c r="C989" s="130"/>
      <c r="D989" s="130"/>
      <c r="E989" s="134"/>
      <c r="F989" s="134">
        <v>635</v>
      </c>
      <c r="G989" s="194" t="s">
        <v>261</v>
      </c>
      <c r="H989" s="399">
        <f>4640+500</f>
        <v>5140</v>
      </c>
      <c r="I989" s="399">
        <v>-2140</v>
      </c>
      <c r="J989" s="399">
        <f t="shared" si="325"/>
        <v>3000</v>
      </c>
      <c r="K989" s="339"/>
      <c r="L989" s="399"/>
      <c r="M989" s="399"/>
      <c r="N989" s="399"/>
      <c r="O989" s="339"/>
      <c r="P989" s="168">
        <f t="shared" si="334"/>
        <v>5140</v>
      </c>
      <c r="Q989" s="168">
        <f t="shared" si="335"/>
        <v>-2140</v>
      </c>
      <c r="R989" s="168">
        <f t="shared" si="335"/>
        <v>3000</v>
      </c>
    </row>
    <row r="990" spans="2:18" x14ac:dyDescent="0.2">
      <c r="B990" s="171">
        <f t="shared" si="320"/>
        <v>457</v>
      </c>
      <c r="C990" s="130"/>
      <c r="D990" s="130"/>
      <c r="E990" s="134"/>
      <c r="F990" s="134">
        <v>636</v>
      </c>
      <c r="G990" s="194" t="s">
        <v>262</v>
      </c>
      <c r="H990" s="399">
        <v>100</v>
      </c>
      <c r="I990" s="399"/>
      <c r="J990" s="399">
        <f t="shared" si="325"/>
        <v>100</v>
      </c>
      <c r="K990" s="339"/>
      <c r="L990" s="399"/>
      <c r="M990" s="399"/>
      <c r="N990" s="399"/>
      <c r="O990" s="339"/>
      <c r="P990" s="168">
        <f t="shared" si="334"/>
        <v>100</v>
      </c>
      <c r="Q990" s="168">
        <f t="shared" si="335"/>
        <v>0</v>
      </c>
      <c r="R990" s="168">
        <f t="shared" si="335"/>
        <v>100</v>
      </c>
    </row>
    <row r="991" spans="2:18" x14ac:dyDescent="0.2">
      <c r="B991" s="171">
        <f t="shared" si="320"/>
        <v>458</v>
      </c>
      <c r="C991" s="130"/>
      <c r="D991" s="130"/>
      <c r="E991" s="134"/>
      <c r="F991" s="131" t="s">
        <v>216</v>
      </c>
      <c r="G991" s="194" t="s">
        <v>248</v>
      </c>
      <c r="H991" s="399">
        <v>35320</v>
      </c>
      <c r="I991" s="399">
        <v>-6320</v>
      </c>
      <c r="J991" s="399">
        <f t="shared" si="325"/>
        <v>29000</v>
      </c>
      <c r="K991" s="339"/>
      <c r="L991" s="399"/>
      <c r="M991" s="399"/>
      <c r="N991" s="399"/>
      <c r="O991" s="339"/>
      <c r="P991" s="168">
        <f t="shared" si="334"/>
        <v>35320</v>
      </c>
      <c r="Q991" s="168">
        <f t="shared" si="335"/>
        <v>-6320</v>
      </c>
      <c r="R991" s="168">
        <f t="shared" si="335"/>
        <v>29000</v>
      </c>
    </row>
    <row r="992" spans="2:18" x14ac:dyDescent="0.2">
      <c r="B992" s="171">
        <f t="shared" si="320"/>
        <v>459</v>
      </c>
      <c r="C992" s="130"/>
      <c r="D992" s="130"/>
      <c r="E992" s="134"/>
      <c r="F992" s="144" t="s">
        <v>217</v>
      </c>
      <c r="G992" s="199" t="s">
        <v>504</v>
      </c>
      <c r="H992" s="529">
        <v>6500</v>
      </c>
      <c r="I992" s="529">
        <v>-5300</v>
      </c>
      <c r="J992" s="529">
        <f t="shared" si="325"/>
        <v>1200</v>
      </c>
      <c r="K992" s="339"/>
      <c r="L992" s="399"/>
      <c r="M992" s="399"/>
      <c r="N992" s="399"/>
      <c r="O992" s="339"/>
      <c r="P992" s="530">
        <f t="shared" si="334"/>
        <v>6500</v>
      </c>
      <c r="Q992" s="530">
        <f t="shared" si="335"/>
        <v>-5300</v>
      </c>
      <c r="R992" s="530">
        <f t="shared" si="335"/>
        <v>1200</v>
      </c>
    </row>
    <row r="993" spans="2:18" ht="15" x14ac:dyDescent="0.25">
      <c r="B993" s="171">
        <f t="shared" si="320"/>
        <v>460</v>
      </c>
      <c r="C993" s="130"/>
      <c r="D993" s="262">
        <v>11</v>
      </c>
      <c r="E993" s="175" t="s">
        <v>427</v>
      </c>
      <c r="F993" s="147" t="s">
        <v>395</v>
      </c>
      <c r="G993" s="236"/>
      <c r="H993" s="425">
        <f>H994+H995+H996+H1003</f>
        <v>100536</v>
      </c>
      <c r="I993" s="425">
        <f t="shared" ref="I993" si="336">I994+I995+I996+I1003</f>
        <v>4502</v>
      </c>
      <c r="J993" s="425">
        <f t="shared" si="325"/>
        <v>105038</v>
      </c>
      <c r="K993" s="342"/>
      <c r="L993" s="850"/>
      <c r="M993" s="850"/>
      <c r="N993" s="850"/>
      <c r="O993" s="342"/>
      <c r="P993" s="345">
        <f t="shared" si="334"/>
        <v>100536</v>
      </c>
      <c r="Q993" s="345">
        <f t="shared" si="335"/>
        <v>4502</v>
      </c>
      <c r="R993" s="345">
        <f t="shared" si="335"/>
        <v>105038</v>
      </c>
    </row>
    <row r="994" spans="2:18" x14ac:dyDescent="0.2">
      <c r="B994" s="171">
        <f t="shared" si="320"/>
        <v>461</v>
      </c>
      <c r="C994" s="130"/>
      <c r="D994" s="130"/>
      <c r="E994" s="134"/>
      <c r="F994" s="144" t="s">
        <v>211</v>
      </c>
      <c r="G994" s="199" t="s">
        <v>505</v>
      </c>
      <c r="H994" s="529">
        <f>53690+2685</f>
        <v>56375</v>
      </c>
      <c r="I994" s="529"/>
      <c r="J994" s="529">
        <f t="shared" si="325"/>
        <v>56375</v>
      </c>
      <c r="K994" s="339"/>
      <c r="L994" s="399"/>
      <c r="M994" s="399"/>
      <c r="N994" s="399"/>
      <c r="O994" s="339"/>
      <c r="P994" s="530">
        <f t="shared" si="334"/>
        <v>56375</v>
      </c>
      <c r="Q994" s="530">
        <f t="shared" si="335"/>
        <v>0</v>
      </c>
      <c r="R994" s="530">
        <f t="shared" si="335"/>
        <v>56375</v>
      </c>
    </row>
    <row r="995" spans="2:18" x14ac:dyDescent="0.2">
      <c r="B995" s="171">
        <f t="shared" si="320"/>
        <v>462</v>
      </c>
      <c r="C995" s="130"/>
      <c r="D995" s="130"/>
      <c r="E995" s="134"/>
      <c r="F995" s="144" t="s">
        <v>212</v>
      </c>
      <c r="G995" s="199" t="s">
        <v>259</v>
      </c>
      <c r="H995" s="529">
        <f>18645+932</f>
        <v>19577</v>
      </c>
      <c r="I995" s="529">
        <v>350</v>
      </c>
      <c r="J995" s="529">
        <f t="shared" si="325"/>
        <v>19927</v>
      </c>
      <c r="K995" s="339"/>
      <c r="L995" s="399"/>
      <c r="M995" s="399"/>
      <c r="N995" s="399"/>
      <c r="O995" s="339"/>
      <c r="P995" s="530">
        <f t="shared" si="334"/>
        <v>19577</v>
      </c>
      <c r="Q995" s="530">
        <f t="shared" si="335"/>
        <v>350</v>
      </c>
      <c r="R995" s="530">
        <f t="shared" si="335"/>
        <v>19927</v>
      </c>
    </row>
    <row r="996" spans="2:18" x14ac:dyDescent="0.2">
      <c r="B996" s="171">
        <f t="shared" si="320"/>
        <v>463</v>
      </c>
      <c r="C996" s="130"/>
      <c r="D996" s="130"/>
      <c r="E996" s="134"/>
      <c r="F996" s="144" t="s">
        <v>218</v>
      </c>
      <c r="G996" s="199" t="s">
        <v>340</v>
      </c>
      <c r="H996" s="529">
        <f>SUM(H997:H1002)</f>
        <v>24184</v>
      </c>
      <c r="I996" s="529">
        <f>I997+I998+I999+I1001+I1002+I1000</f>
        <v>4152</v>
      </c>
      <c r="J996" s="529">
        <f t="shared" si="325"/>
        <v>28336</v>
      </c>
      <c r="K996" s="339"/>
      <c r="L996" s="399"/>
      <c r="M996" s="399"/>
      <c r="N996" s="399"/>
      <c r="O996" s="339"/>
      <c r="P996" s="530">
        <f t="shared" si="334"/>
        <v>24184</v>
      </c>
      <c r="Q996" s="530">
        <f t="shared" si="335"/>
        <v>4152</v>
      </c>
      <c r="R996" s="530">
        <f t="shared" si="335"/>
        <v>28336</v>
      </c>
    </row>
    <row r="997" spans="2:18" x14ac:dyDescent="0.2">
      <c r="B997" s="171">
        <f t="shared" si="320"/>
        <v>464</v>
      </c>
      <c r="C997" s="130"/>
      <c r="D997" s="130"/>
      <c r="E997" s="134"/>
      <c r="F997" s="131" t="s">
        <v>213</v>
      </c>
      <c r="G997" s="194" t="s">
        <v>306</v>
      </c>
      <c r="H997" s="399">
        <v>500</v>
      </c>
      <c r="I997" s="399">
        <v>-350</v>
      </c>
      <c r="J997" s="399">
        <f t="shared" si="325"/>
        <v>150</v>
      </c>
      <c r="K997" s="339"/>
      <c r="L997" s="399"/>
      <c r="M997" s="399"/>
      <c r="N997" s="399"/>
      <c r="O997" s="339"/>
      <c r="P997" s="168">
        <f t="shared" si="334"/>
        <v>500</v>
      </c>
      <c r="Q997" s="168">
        <f t="shared" si="335"/>
        <v>-350</v>
      </c>
      <c r="R997" s="168">
        <f t="shared" si="335"/>
        <v>150</v>
      </c>
    </row>
    <row r="998" spans="2:18" x14ac:dyDescent="0.2">
      <c r="B998" s="171">
        <f t="shared" ref="B998:B1062" si="337">B997+1</f>
        <v>465</v>
      </c>
      <c r="C998" s="130"/>
      <c r="D998" s="130"/>
      <c r="E998" s="134"/>
      <c r="F998" s="131" t="s">
        <v>199</v>
      </c>
      <c r="G998" s="194" t="s">
        <v>318</v>
      </c>
      <c r="H998" s="399">
        <v>6300</v>
      </c>
      <c r="I998" s="399"/>
      <c r="J998" s="399">
        <f t="shared" si="325"/>
        <v>6300</v>
      </c>
      <c r="K998" s="339"/>
      <c r="L998" s="399"/>
      <c r="M998" s="399"/>
      <c r="N998" s="399"/>
      <c r="O998" s="339"/>
      <c r="P998" s="168">
        <f t="shared" si="334"/>
        <v>6300</v>
      </c>
      <c r="Q998" s="168">
        <f t="shared" ref="Q998:R1003" si="338">I998+M998</f>
        <v>0</v>
      </c>
      <c r="R998" s="168">
        <f t="shared" si="338"/>
        <v>6300</v>
      </c>
    </row>
    <row r="999" spans="2:18" x14ac:dyDescent="0.2">
      <c r="B999" s="171">
        <f t="shared" si="337"/>
        <v>466</v>
      </c>
      <c r="C999" s="130"/>
      <c r="D999" s="130"/>
      <c r="E999" s="134"/>
      <c r="F999" s="131" t="s">
        <v>200</v>
      </c>
      <c r="G999" s="194" t="s">
        <v>247</v>
      </c>
      <c r="H999" s="399">
        <v>2060</v>
      </c>
      <c r="I999" s="399">
        <v>4728</v>
      </c>
      <c r="J999" s="399">
        <f t="shared" si="325"/>
        <v>6788</v>
      </c>
      <c r="K999" s="339"/>
      <c r="L999" s="399"/>
      <c r="M999" s="399"/>
      <c r="N999" s="399"/>
      <c r="O999" s="339"/>
      <c r="P999" s="168">
        <f t="shared" si="334"/>
        <v>2060</v>
      </c>
      <c r="Q999" s="168">
        <f t="shared" si="338"/>
        <v>4728</v>
      </c>
      <c r="R999" s="168">
        <f t="shared" si="338"/>
        <v>6788</v>
      </c>
    </row>
    <row r="1000" spans="2:18" x14ac:dyDescent="0.2">
      <c r="B1000" s="171">
        <f t="shared" si="337"/>
        <v>467</v>
      </c>
      <c r="C1000" s="130"/>
      <c r="D1000" s="130"/>
      <c r="E1000" s="134"/>
      <c r="F1000" s="131" t="s">
        <v>201</v>
      </c>
      <c r="G1000" s="194" t="s">
        <v>260</v>
      </c>
      <c r="H1000" s="399">
        <v>0</v>
      </c>
      <c r="I1000" s="399">
        <v>400</v>
      </c>
      <c r="J1000" s="399">
        <f t="shared" si="325"/>
        <v>400</v>
      </c>
      <c r="K1000" s="339"/>
      <c r="L1000" s="399"/>
      <c r="M1000" s="399"/>
      <c r="N1000" s="399"/>
      <c r="O1000" s="339"/>
      <c r="P1000" s="168">
        <f t="shared" si="334"/>
        <v>0</v>
      </c>
      <c r="Q1000" s="168">
        <f t="shared" si="338"/>
        <v>400</v>
      </c>
      <c r="R1000" s="168">
        <f t="shared" si="338"/>
        <v>400</v>
      </c>
    </row>
    <row r="1001" spans="2:18" x14ac:dyDescent="0.2">
      <c r="B1001" s="171">
        <f t="shared" si="337"/>
        <v>468</v>
      </c>
      <c r="C1001" s="130"/>
      <c r="D1001" s="130"/>
      <c r="E1001" s="134"/>
      <c r="F1001" s="134">
        <v>635</v>
      </c>
      <c r="G1001" s="194" t="s">
        <v>261</v>
      </c>
      <c r="H1001" s="399">
        <v>435</v>
      </c>
      <c r="I1001" s="399">
        <v>-200</v>
      </c>
      <c r="J1001" s="399">
        <f t="shared" si="325"/>
        <v>235</v>
      </c>
      <c r="K1001" s="339"/>
      <c r="L1001" s="399"/>
      <c r="M1001" s="399"/>
      <c r="N1001" s="399"/>
      <c r="O1001" s="339"/>
      <c r="P1001" s="168">
        <f t="shared" si="334"/>
        <v>435</v>
      </c>
      <c r="Q1001" s="168">
        <f t="shared" si="338"/>
        <v>-200</v>
      </c>
      <c r="R1001" s="168">
        <f t="shared" si="338"/>
        <v>235</v>
      </c>
    </row>
    <row r="1002" spans="2:18" x14ac:dyDescent="0.2">
      <c r="B1002" s="171">
        <f t="shared" si="337"/>
        <v>469</v>
      </c>
      <c r="C1002" s="130"/>
      <c r="D1002" s="130"/>
      <c r="E1002" s="134"/>
      <c r="F1002" s="131" t="s">
        <v>216</v>
      </c>
      <c r="G1002" s="194" t="s">
        <v>248</v>
      </c>
      <c r="H1002" s="399">
        <f>7915+2364+4130+480</f>
        <v>14889</v>
      </c>
      <c r="I1002" s="399">
        <v>-426</v>
      </c>
      <c r="J1002" s="399">
        <f t="shared" si="325"/>
        <v>14463</v>
      </c>
      <c r="K1002" s="339"/>
      <c r="L1002" s="399"/>
      <c r="M1002" s="399"/>
      <c r="N1002" s="399"/>
      <c r="O1002" s="339"/>
      <c r="P1002" s="168">
        <f t="shared" si="334"/>
        <v>14889</v>
      </c>
      <c r="Q1002" s="168">
        <f t="shared" si="338"/>
        <v>-426</v>
      </c>
      <c r="R1002" s="168">
        <f t="shared" si="338"/>
        <v>14463</v>
      </c>
    </row>
    <row r="1003" spans="2:18" x14ac:dyDescent="0.2">
      <c r="B1003" s="171">
        <f t="shared" si="337"/>
        <v>470</v>
      </c>
      <c r="C1003" s="130"/>
      <c r="D1003" s="130"/>
      <c r="E1003" s="134"/>
      <c r="F1003" s="144" t="s">
        <v>217</v>
      </c>
      <c r="G1003" s="199" t="s">
        <v>504</v>
      </c>
      <c r="H1003" s="529">
        <v>400</v>
      </c>
      <c r="I1003" s="529"/>
      <c r="J1003" s="529">
        <f t="shared" si="325"/>
        <v>400</v>
      </c>
      <c r="K1003" s="336"/>
      <c r="L1003" s="529"/>
      <c r="M1003" s="529"/>
      <c r="N1003" s="529"/>
      <c r="O1003" s="336"/>
      <c r="P1003" s="530">
        <f t="shared" si="334"/>
        <v>400</v>
      </c>
      <c r="Q1003" s="530">
        <f t="shared" si="338"/>
        <v>0</v>
      </c>
      <c r="R1003" s="530">
        <f t="shared" si="338"/>
        <v>400</v>
      </c>
    </row>
    <row r="1004" spans="2:18" x14ac:dyDescent="0.2">
      <c r="B1004" s="171">
        <f t="shared" si="337"/>
        <v>471</v>
      </c>
      <c r="C1004" s="130"/>
      <c r="D1004" s="130"/>
      <c r="E1004" s="134"/>
      <c r="F1004" s="134"/>
      <c r="G1004" s="199"/>
      <c r="H1004" s="526"/>
      <c r="I1004" s="526"/>
      <c r="J1004" s="526">
        <f t="shared" si="325"/>
        <v>0</v>
      </c>
      <c r="K1004" s="148"/>
      <c r="L1004" s="526"/>
      <c r="M1004" s="526"/>
      <c r="N1004" s="526"/>
      <c r="O1004" s="148"/>
      <c r="P1004" s="168"/>
      <c r="Q1004" s="168"/>
      <c r="R1004" s="168"/>
    </row>
    <row r="1005" spans="2:18" x14ac:dyDescent="0.2">
      <c r="B1005" s="171">
        <f t="shared" si="337"/>
        <v>472</v>
      </c>
      <c r="C1005" s="130"/>
      <c r="D1005" s="130"/>
      <c r="E1005" s="134"/>
      <c r="F1005" s="285">
        <v>640</v>
      </c>
      <c r="G1005" s="286" t="s">
        <v>396</v>
      </c>
      <c r="H1005" s="435">
        <v>144129</v>
      </c>
      <c r="I1005" s="435"/>
      <c r="J1005" s="435">
        <f t="shared" si="325"/>
        <v>144129</v>
      </c>
      <c r="K1005" s="132"/>
      <c r="L1005" s="863"/>
      <c r="M1005" s="863"/>
      <c r="N1005" s="863"/>
      <c r="O1005" s="132"/>
      <c r="P1005" s="288">
        <f>H1005+L1005</f>
        <v>144129</v>
      </c>
      <c r="Q1005" s="288">
        <f t="shared" ref="Q1005:R1006" si="339">I1005+M1005</f>
        <v>0</v>
      </c>
      <c r="R1005" s="288">
        <f t="shared" si="339"/>
        <v>144129</v>
      </c>
    </row>
    <row r="1006" spans="2:18" x14ac:dyDescent="0.2">
      <c r="B1006" s="171">
        <f t="shared" si="337"/>
        <v>473</v>
      </c>
      <c r="C1006" s="130"/>
      <c r="D1006" s="130"/>
      <c r="E1006" s="134"/>
      <c r="F1006" s="285">
        <v>640</v>
      </c>
      <c r="G1006" s="286" t="s">
        <v>397</v>
      </c>
      <c r="H1006" s="428">
        <v>134195</v>
      </c>
      <c r="I1006" s="428"/>
      <c r="J1006" s="428">
        <f t="shared" si="325"/>
        <v>134195</v>
      </c>
      <c r="K1006" s="132"/>
      <c r="L1006" s="862"/>
      <c r="M1006" s="862"/>
      <c r="N1006" s="862"/>
      <c r="O1006" s="132"/>
      <c r="P1006" s="287">
        <f>H1006+L1006</f>
        <v>134195</v>
      </c>
      <c r="Q1006" s="287">
        <f t="shared" si="339"/>
        <v>0</v>
      </c>
      <c r="R1006" s="287">
        <f t="shared" si="339"/>
        <v>134195</v>
      </c>
    </row>
    <row r="1007" spans="2:18" x14ac:dyDescent="0.2">
      <c r="B1007" s="171">
        <f t="shared" si="337"/>
        <v>474</v>
      </c>
      <c r="C1007" s="130"/>
      <c r="D1007" s="130"/>
      <c r="E1007" s="134"/>
      <c r="F1007" s="134"/>
      <c r="G1007" s="199"/>
      <c r="H1007" s="388"/>
      <c r="I1007" s="388"/>
      <c r="J1007" s="388">
        <f t="shared" si="325"/>
        <v>0</v>
      </c>
      <c r="K1007" s="132"/>
      <c r="L1007" s="526"/>
      <c r="M1007" s="526"/>
      <c r="N1007" s="526"/>
      <c r="O1007" s="132"/>
      <c r="P1007" s="168"/>
      <c r="Q1007" s="168"/>
      <c r="R1007" s="168"/>
    </row>
    <row r="1008" spans="2:18" ht="15.75" x14ac:dyDescent="0.25">
      <c r="B1008" s="171">
        <f t="shared" si="337"/>
        <v>475</v>
      </c>
      <c r="C1008" s="23">
        <v>4</v>
      </c>
      <c r="D1008" s="127" t="s">
        <v>108</v>
      </c>
      <c r="E1008" s="24"/>
      <c r="F1008" s="24"/>
      <c r="G1008" s="193"/>
      <c r="H1008" s="413">
        <f>H1009+H1122+H1273+H1274+H1275+H1276</f>
        <v>1067162</v>
      </c>
      <c r="I1008" s="413">
        <f t="shared" ref="I1008" si="340">I1009+I1122+I1273+I1274+I1275+I1276</f>
        <v>6500</v>
      </c>
      <c r="J1008" s="413">
        <f t="shared" si="325"/>
        <v>1073662</v>
      </c>
      <c r="K1008" s="347"/>
      <c r="L1008" s="379">
        <f>L1009+L1122</f>
        <v>123501</v>
      </c>
      <c r="M1008" s="379">
        <f>M1009+M1122</f>
        <v>0</v>
      </c>
      <c r="N1008" s="379">
        <f t="shared" ref="N1008:N1057" si="341">L1008+M1008</f>
        <v>123501</v>
      </c>
      <c r="O1008" s="347"/>
      <c r="P1008" s="390">
        <f t="shared" ref="P1008:P1071" si="342">H1008+L1008</f>
        <v>1190663</v>
      </c>
      <c r="Q1008" s="390">
        <f t="shared" ref="Q1008:R1023" si="343">I1008+M1008</f>
        <v>6500</v>
      </c>
      <c r="R1008" s="390">
        <f t="shared" si="343"/>
        <v>1197163</v>
      </c>
    </row>
    <row r="1009" spans="2:18" ht="15" x14ac:dyDescent="0.25">
      <c r="B1009" s="171">
        <f t="shared" si="337"/>
        <v>476</v>
      </c>
      <c r="C1009" s="143"/>
      <c r="D1009" s="144"/>
      <c r="E1009" s="170" t="s">
        <v>413</v>
      </c>
      <c r="F1009" s="144"/>
      <c r="G1009" s="199"/>
      <c r="H1009" s="424">
        <f>H1010+H1018+H1026+H1033+H1040+H1049+H1057+H1066+H1074+H1082+H1090+H1098+H1106+H1114</f>
        <v>345165</v>
      </c>
      <c r="I1009" s="424">
        <f t="shared" ref="I1009" si="344">I1010+I1018+I1026+I1033+I1040+I1049+I1057+I1066+I1074+I1082+I1090+I1098+I1106+I1114</f>
        <v>0</v>
      </c>
      <c r="J1009" s="424">
        <f t="shared" si="325"/>
        <v>345165</v>
      </c>
      <c r="K1009" s="334"/>
      <c r="L1009" s="847">
        <f>L1010+L1018+L1026+L1033+L1040+L1049+L1057+L1066+L1074+L1082+L1090+L1098+L1106+L1114</f>
        <v>56299</v>
      </c>
      <c r="M1009" s="864">
        <f>M1010+M1018+M1026+M1033+M1040+M1049+M1057+M1066+M1074+M1082+M1090+M1098+M1106+M1114</f>
        <v>0</v>
      </c>
      <c r="N1009" s="847">
        <f t="shared" si="341"/>
        <v>56299</v>
      </c>
      <c r="O1009" s="334"/>
      <c r="P1009" s="348">
        <f t="shared" si="342"/>
        <v>401464</v>
      </c>
      <c r="Q1009" s="348">
        <f t="shared" si="343"/>
        <v>0</v>
      </c>
      <c r="R1009" s="348">
        <f t="shared" si="343"/>
        <v>401464</v>
      </c>
    </row>
    <row r="1010" spans="2:18" ht="15" x14ac:dyDescent="0.25">
      <c r="B1010" s="171">
        <f t="shared" si="337"/>
        <v>477</v>
      </c>
      <c r="C1010" s="143"/>
      <c r="D1010" s="261" t="s">
        <v>4</v>
      </c>
      <c r="E1010" s="175" t="s">
        <v>404</v>
      </c>
      <c r="F1010" s="147" t="s">
        <v>398</v>
      </c>
      <c r="G1010" s="236"/>
      <c r="H1010" s="425">
        <f>H1011+H1012+H1013</f>
        <v>17377</v>
      </c>
      <c r="I1010" s="425">
        <f t="shared" ref="I1010" si="345">I1011+I1012+I1013</f>
        <v>0</v>
      </c>
      <c r="J1010" s="425">
        <f t="shared" ref="J1010:J1072" si="346">H1010+I1010</f>
        <v>17377</v>
      </c>
      <c r="K1010" s="334"/>
      <c r="L1010" s="849">
        <f>L1017</f>
        <v>579</v>
      </c>
      <c r="M1010" s="849">
        <f t="shared" ref="M1010" si="347">M1017</f>
        <v>0</v>
      </c>
      <c r="N1010" s="849">
        <f t="shared" si="341"/>
        <v>579</v>
      </c>
      <c r="O1010" s="334"/>
      <c r="P1010" s="330">
        <f t="shared" si="342"/>
        <v>17956</v>
      </c>
      <c r="Q1010" s="330">
        <f t="shared" si="343"/>
        <v>0</v>
      </c>
      <c r="R1010" s="330">
        <f t="shared" si="343"/>
        <v>17956</v>
      </c>
    </row>
    <row r="1011" spans="2:18" x14ac:dyDescent="0.2">
      <c r="B1011" s="171">
        <f t="shared" si="337"/>
        <v>478</v>
      </c>
      <c r="C1011" s="143"/>
      <c r="D1011" s="144"/>
      <c r="E1011" s="144"/>
      <c r="F1011" s="144" t="s">
        <v>211</v>
      </c>
      <c r="G1011" s="199" t="s">
        <v>505</v>
      </c>
      <c r="H1011" s="529">
        <f>11520+576-883+40</f>
        <v>11253</v>
      </c>
      <c r="I1011" s="529"/>
      <c r="J1011" s="529">
        <f t="shared" si="346"/>
        <v>11253</v>
      </c>
      <c r="K1011" s="336"/>
      <c r="L1011" s="402"/>
      <c r="M1011" s="402"/>
      <c r="N1011" s="402"/>
      <c r="O1011" s="336"/>
      <c r="P1011" s="166">
        <f t="shared" si="342"/>
        <v>11253</v>
      </c>
      <c r="Q1011" s="166">
        <f t="shared" si="343"/>
        <v>0</v>
      </c>
      <c r="R1011" s="166">
        <f t="shared" si="343"/>
        <v>11253</v>
      </c>
    </row>
    <row r="1012" spans="2:18" x14ac:dyDescent="0.2">
      <c r="B1012" s="171">
        <f t="shared" si="337"/>
        <v>479</v>
      </c>
      <c r="C1012" s="143"/>
      <c r="D1012" s="144"/>
      <c r="E1012" s="144"/>
      <c r="F1012" s="144" t="s">
        <v>212</v>
      </c>
      <c r="G1012" s="203" t="s">
        <v>259</v>
      </c>
      <c r="H1012" s="529">
        <f>4117+206-229</f>
        <v>4094</v>
      </c>
      <c r="I1012" s="529"/>
      <c r="J1012" s="529">
        <f t="shared" si="346"/>
        <v>4094</v>
      </c>
      <c r="K1012" s="336"/>
      <c r="L1012" s="402"/>
      <c r="M1012" s="402"/>
      <c r="N1012" s="402"/>
      <c r="O1012" s="336"/>
      <c r="P1012" s="166">
        <f t="shared" si="342"/>
        <v>4094</v>
      </c>
      <c r="Q1012" s="166">
        <f t="shared" si="343"/>
        <v>0</v>
      </c>
      <c r="R1012" s="166">
        <f t="shared" si="343"/>
        <v>4094</v>
      </c>
    </row>
    <row r="1013" spans="2:18" x14ac:dyDescent="0.2">
      <c r="B1013" s="171">
        <f t="shared" si="337"/>
        <v>480</v>
      </c>
      <c r="C1013" s="130"/>
      <c r="D1013" s="131"/>
      <c r="E1013" s="131"/>
      <c r="F1013" s="144" t="s">
        <v>218</v>
      </c>
      <c r="G1013" s="199" t="s">
        <v>340</v>
      </c>
      <c r="H1013" s="529">
        <f>SUM(H1014:H1016)</f>
        <v>2030</v>
      </c>
      <c r="I1013" s="529">
        <f>SUM(I1014:I1016)</f>
        <v>0</v>
      </c>
      <c r="J1013" s="529">
        <f t="shared" si="346"/>
        <v>2030</v>
      </c>
      <c r="K1013" s="339"/>
      <c r="L1013" s="434"/>
      <c r="M1013" s="434"/>
      <c r="N1013" s="434"/>
      <c r="O1013" s="339"/>
      <c r="P1013" s="166">
        <f t="shared" si="342"/>
        <v>2030</v>
      </c>
      <c r="Q1013" s="166">
        <f t="shared" si="343"/>
        <v>0</v>
      </c>
      <c r="R1013" s="166">
        <f t="shared" si="343"/>
        <v>2030</v>
      </c>
    </row>
    <row r="1014" spans="2:18" x14ac:dyDescent="0.2">
      <c r="B1014" s="171">
        <f t="shared" si="337"/>
        <v>481</v>
      </c>
      <c r="C1014" s="130"/>
      <c r="D1014" s="131"/>
      <c r="E1014" s="131"/>
      <c r="F1014" s="131" t="s">
        <v>200</v>
      </c>
      <c r="G1014" s="194" t="s">
        <v>247</v>
      </c>
      <c r="H1014" s="399">
        <v>1170</v>
      </c>
      <c r="I1014" s="399"/>
      <c r="J1014" s="399">
        <f t="shared" si="346"/>
        <v>1170</v>
      </c>
      <c r="K1014" s="339"/>
      <c r="L1014" s="434"/>
      <c r="M1014" s="434"/>
      <c r="N1014" s="434"/>
      <c r="O1014" s="339"/>
      <c r="P1014" s="167">
        <f t="shared" si="342"/>
        <v>1170</v>
      </c>
      <c r="Q1014" s="167">
        <f t="shared" si="343"/>
        <v>0</v>
      </c>
      <c r="R1014" s="167">
        <f t="shared" si="343"/>
        <v>1170</v>
      </c>
    </row>
    <row r="1015" spans="2:18" x14ac:dyDescent="0.2">
      <c r="B1015" s="171">
        <f t="shared" si="337"/>
        <v>482</v>
      </c>
      <c r="C1015" s="130"/>
      <c r="D1015" s="131"/>
      <c r="E1015" s="131"/>
      <c r="F1015" s="131" t="s">
        <v>214</v>
      </c>
      <c r="G1015" s="202" t="s">
        <v>261</v>
      </c>
      <c r="H1015" s="399">
        <v>100</v>
      </c>
      <c r="I1015" s="399"/>
      <c r="J1015" s="399">
        <f t="shared" si="346"/>
        <v>100</v>
      </c>
      <c r="K1015" s="339"/>
      <c r="L1015" s="434"/>
      <c r="M1015" s="434"/>
      <c r="N1015" s="434"/>
      <c r="O1015" s="339"/>
      <c r="P1015" s="167">
        <f t="shared" si="342"/>
        <v>100</v>
      </c>
      <c r="Q1015" s="167">
        <f t="shared" si="343"/>
        <v>0</v>
      </c>
      <c r="R1015" s="167">
        <f t="shared" si="343"/>
        <v>100</v>
      </c>
    </row>
    <row r="1016" spans="2:18" x14ac:dyDescent="0.2">
      <c r="B1016" s="171">
        <f t="shared" si="337"/>
        <v>483</v>
      </c>
      <c r="C1016" s="130"/>
      <c r="D1016" s="131"/>
      <c r="E1016" s="131"/>
      <c r="F1016" s="131" t="s">
        <v>216</v>
      </c>
      <c r="G1016" s="194" t="s">
        <v>248</v>
      </c>
      <c r="H1016" s="399">
        <v>760</v>
      </c>
      <c r="I1016" s="399"/>
      <c r="J1016" s="399">
        <f t="shared" si="346"/>
        <v>760</v>
      </c>
      <c r="K1016" s="339"/>
      <c r="L1016" s="434"/>
      <c r="M1016" s="434"/>
      <c r="N1016" s="434"/>
      <c r="O1016" s="339"/>
      <c r="P1016" s="167">
        <f t="shared" si="342"/>
        <v>760</v>
      </c>
      <c r="Q1016" s="167">
        <f t="shared" si="343"/>
        <v>0</v>
      </c>
      <c r="R1016" s="167">
        <f t="shared" si="343"/>
        <v>760</v>
      </c>
    </row>
    <row r="1017" spans="2:18" x14ac:dyDescent="0.2">
      <c r="B1017" s="171">
        <f t="shared" si="337"/>
        <v>484</v>
      </c>
      <c r="C1017" s="130"/>
      <c r="D1017" s="131"/>
      <c r="E1017" s="169"/>
      <c r="F1017" s="144" t="s">
        <v>606</v>
      </c>
      <c r="G1017" s="199" t="s">
        <v>725</v>
      </c>
      <c r="H1017" s="399"/>
      <c r="I1017" s="399"/>
      <c r="J1017" s="399">
        <f t="shared" si="346"/>
        <v>0</v>
      </c>
      <c r="K1017" s="339"/>
      <c r="L1017" s="434">
        <f>600-21</f>
        <v>579</v>
      </c>
      <c r="M1017" s="434"/>
      <c r="N1017" s="434">
        <f t="shared" si="341"/>
        <v>579</v>
      </c>
      <c r="O1017" s="339"/>
      <c r="P1017" s="166">
        <f t="shared" si="342"/>
        <v>579</v>
      </c>
      <c r="Q1017" s="166">
        <f t="shared" si="343"/>
        <v>0</v>
      </c>
      <c r="R1017" s="166">
        <f t="shared" si="343"/>
        <v>579</v>
      </c>
    </row>
    <row r="1018" spans="2:18" ht="15" x14ac:dyDescent="0.25">
      <c r="B1018" s="171">
        <f t="shared" si="337"/>
        <v>485</v>
      </c>
      <c r="C1018" s="130"/>
      <c r="D1018" s="261" t="s">
        <v>5</v>
      </c>
      <c r="E1018" s="175" t="s">
        <v>404</v>
      </c>
      <c r="F1018" s="147" t="s">
        <v>399</v>
      </c>
      <c r="G1018" s="236"/>
      <c r="H1018" s="425">
        <f>SUM(H1019:H1021)</f>
        <v>22495</v>
      </c>
      <c r="I1018" s="425">
        <f t="shared" ref="I1018" si="348">SUM(I1019:I1021)</f>
        <v>0</v>
      </c>
      <c r="J1018" s="425">
        <f t="shared" si="346"/>
        <v>22495</v>
      </c>
      <c r="K1018" s="334"/>
      <c r="L1018" s="849">
        <f>L1025</f>
        <v>2672</v>
      </c>
      <c r="M1018" s="849">
        <f t="shared" ref="M1018" si="349">M1025</f>
        <v>0</v>
      </c>
      <c r="N1018" s="849">
        <f t="shared" si="341"/>
        <v>2672</v>
      </c>
      <c r="O1018" s="334"/>
      <c r="P1018" s="330">
        <f t="shared" si="342"/>
        <v>25167</v>
      </c>
      <c r="Q1018" s="330">
        <f t="shared" si="343"/>
        <v>0</v>
      </c>
      <c r="R1018" s="330">
        <f t="shared" si="343"/>
        <v>25167</v>
      </c>
    </row>
    <row r="1019" spans="2:18" x14ac:dyDescent="0.2">
      <c r="B1019" s="171">
        <f t="shared" si="337"/>
        <v>486</v>
      </c>
      <c r="C1019" s="130"/>
      <c r="D1019" s="131"/>
      <c r="E1019" s="131"/>
      <c r="F1019" s="144" t="s">
        <v>211</v>
      </c>
      <c r="G1019" s="199" t="s">
        <v>505</v>
      </c>
      <c r="H1019" s="388">
        <f>13950+698+249</f>
        <v>14897</v>
      </c>
      <c r="I1019" s="388"/>
      <c r="J1019" s="388">
        <f t="shared" si="346"/>
        <v>14897</v>
      </c>
      <c r="K1019" s="132"/>
      <c r="L1019" s="527"/>
      <c r="M1019" s="527"/>
      <c r="N1019" s="527"/>
      <c r="O1019" s="132"/>
      <c r="P1019" s="166">
        <f t="shared" si="342"/>
        <v>14897</v>
      </c>
      <c r="Q1019" s="166">
        <f t="shared" si="343"/>
        <v>0</v>
      </c>
      <c r="R1019" s="166">
        <f t="shared" si="343"/>
        <v>14897</v>
      </c>
    </row>
    <row r="1020" spans="2:18" x14ac:dyDescent="0.2">
      <c r="B1020" s="171">
        <f t="shared" si="337"/>
        <v>487</v>
      </c>
      <c r="C1020" s="130"/>
      <c r="D1020" s="131"/>
      <c r="E1020" s="131"/>
      <c r="F1020" s="144" t="s">
        <v>212</v>
      </c>
      <c r="G1020" s="199" t="s">
        <v>259</v>
      </c>
      <c r="H1020" s="388">
        <f>5114+256-32</f>
        <v>5338</v>
      </c>
      <c r="I1020" s="388"/>
      <c r="J1020" s="388">
        <f t="shared" si="346"/>
        <v>5338</v>
      </c>
      <c r="K1020" s="132"/>
      <c r="L1020" s="527"/>
      <c r="M1020" s="527"/>
      <c r="N1020" s="527"/>
      <c r="O1020" s="132"/>
      <c r="P1020" s="166">
        <f t="shared" si="342"/>
        <v>5338</v>
      </c>
      <c r="Q1020" s="166">
        <f t="shared" si="343"/>
        <v>0</v>
      </c>
      <c r="R1020" s="166">
        <f t="shared" si="343"/>
        <v>5338</v>
      </c>
    </row>
    <row r="1021" spans="2:18" x14ac:dyDescent="0.2">
      <c r="B1021" s="171">
        <f t="shared" si="337"/>
        <v>488</v>
      </c>
      <c r="C1021" s="130"/>
      <c r="D1021" s="131"/>
      <c r="E1021" s="131"/>
      <c r="F1021" s="144" t="s">
        <v>218</v>
      </c>
      <c r="G1021" s="199" t="s">
        <v>340</v>
      </c>
      <c r="H1021" s="388">
        <f>SUM(H1022:H1024)</f>
        <v>2260</v>
      </c>
      <c r="I1021" s="388">
        <f>SUM(I1022:I1024)</f>
        <v>0</v>
      </c>
      <c r="J1021" s="388">
        <f t="shared" si="346"/>
        <v>2260</v>
      </c>
      <c r="K1021" s="132"/>
      <c r="L1021" s="527"/>
      <c r="M1021" s="527"/>
      <c r="N1021" s="527"/>
      <c r="O1021" s="132"/>
      <c r="P1021" s="166">
        <f t="shared" si="342"/>
        <v>2260</v>
      </c>
      <c r="Q1021" s="166">
        <f t="shared" si="343"/>
        <v>0</v>
      </c>
      <c r="R1021" s="166">
        <f t="shared" si="343"/>
        <v>2260</v>
      </c>
    </row>
    <row r="1022" spans="2:18" x14ac:dyDescent="0.2">
      <c r="B1022" s="171">
        <f t="shared" si="337"/>
        <v>489</v>
      </c>
      <c r="C1022" s="130"/>
      <c r="D1022" s="131"/>
      <c r="E1022" s="131"/>
      <c r="F1022" s="131" t="s">
        <v>200</v>
      </c>
      <c r="G1022" s="194" t="s">
        <v>247</v>
      </c>
      <c r="H1022" s="526">
        <f>1230-139</f>
        <v>1091</v>
      </c>
      <c r="I1022" s="526"/>
      <c r="J1022" s="526">
        <f t="shared" si="346"/>
        <v>1091</v>
      </c>
      <c r="K1022" s="132"/>
      <c r="L1022" s="527"/>
      <c r="M1022" s="527"/>
      <c r="N1022" s="527"/>
      <c r="O1022" s="132"/>
      <c r="P1022" s="167">
        <f t="shared" si="342"/>
        <v>1091</v>
      </c>
      <c r="Q1022" s="167">
        <f t="shared" si="343"/>
        <v>0</v>
      </c>
      <c r="R1022" s="167">
        <f t="shared" si="343"/>
        <v>1091</v>
      </c>
    </row>
    <row r="1023" spans="2:18" x14ac:dyDescent="0.2">
      <c r="B1023" s="171">
        <f t="shared" si="337"/>
        <v>490</v>
      </c>
      <c r="C1023" s="130"/>
      <c r="D1023" s="131"/>
      <c r="E1023" s="131"/>
      <c r="F1023" s="131" t="s">
        <v>214</v>
      </c>
      <c r="G1023" s="194" t="s">
        <v>261</v>
      </c>
      <c r="H1023" s="526">
        <v>100</v>
      </c>
      <c r="I1023" s="526"/>
      <c r="J1023" s="526">
        <f t="shared" si="346"/>
        <v>100</v>
      </c>
      <c r="K1023" s="132"/>
      <c r="L1023" s="527"/>
      <c r="M1023" s="527"/>
      <c r="N1023" s="527"/>
      <c r="O1023" s="132"/>
      <c r="P1023" s="167">
        <f t="shared" si="342"/>
        <v>100</v>
      </c>
      <c r="Q1023" s="167">
        <f t="shared" si="343"/>
        <v>0</v>
      </c>
      <c r="R1023" s="167">
        <f t="shared" si="343"/>
        <v>100</v>
      </c>
    </row>
    <row r="1024" spans="2:18" x14ac:dyDescent="0.2">
      <c r="B1024" s="171">
        <f t="shared" si="337"/>
        <v>491</v>
      </c>
      <c r="C1024" s="130"/>
      <c r="D1024" s="131"/>
      <c r="E1024" s="131"/>
      <c r="F1024" s="131" t="s">
        <v>216</v>
      </c>
      <c r="G1024" s="194" t="s">
        <v>248</v>
      </c>
      <c r="H1024" s="526">
        <f>830+239</f>
        <v>1069</v>
      </c>
      <c r="I1024" s="526"/>
      <c r="J1024" s="526">
        <f t="shared" si="346"/>
        <v>1069</v>
      </c>
      <c r="K1024" s="132"/>
      <c r="L1024" s="527"/>
      <c r="M1024" s="527"/>
      <c r="N1024" s="527"/>
      <c r="O1024" s="132"/>
      <c r="P1024" s="167">
        <f t="shared" si="342"/>
        <v>1069</v>
      </c>
      <c r="Q1024" s="167">
        <f t="shared" ref="Q1024:R1039" si="350">I1024+M1024</f>
        <v>0</v>
      </c>
      <c r="R1024" s="167">
        <f t="shared" si="350"/>
        <v>1069</v>
      </c>
    </row>
    <row r="1025" spans="2:18" x14ac:dyDescent="0.2">
      <c r="B1025" s="171">
        <f t="shared" si="337"/>
        <v>492</v>
      </c>
      <c r="C1025" s="130"/>
      <c r="D1025" s="131"/>
      <c r="E1025" s="169"/>
      <c r="F1025" s="284" t="s">
        <v>606</v>
      </c>
      <c r="G1025" s="203" t="s">
        <v>726</v>
      </c>
      <c r="H1025" s="526"/>
      <c r="I1025" s="526"/>
      <c r="J1025" s="526">
        <f t="shared" si="346"/>
        <v>0</v>
      </c>
      <c r="K1025" s="132"/>
      <c r="L1025" s="396">
        <f>2960-288</f>
        <v>2672</v>
      </c>
      <c r="M1025" s="396"/>
      <c r="N1025" s="396">
        <f t="shared" si="341"/>
        <v>2672</v>
      </c>
      <c r="O1025" s="132"/>
      <c r="P1025" s="166">
        <f t="shared" si="342"/>
        <v>2672</v>
      </c>
      <c r="Q1025" s="166">
        <f t="shared" si="350"/>
        <v>0</v>
      </c>
      <c r="R1025" s="166">
        <f t="shared" si="350"/>
        <v>2672</v>
      </c>
    </row>
    <row r="1026" spans="2:18" ht="15" x14ac:dyDescent="0.25">
      <c r="B1026" s="171">
        <f t="shared" si="337"/>
        <v>493</v>
      </c>
      <c r="C1026" s="130"/>
      <c r="D1026" s="261" t="s">
        <v>6</v>
      </c>
      <c r="E1026" s="175" t="s">
        <v>404</v>
      </c>
      <c r="F1026" s="147" t="s">
        <v>400</v>
      </c>
      <c r="G1026" s="236"/>
      <c r="H1026" s="425">
        <f>SUM(H1027:H1029)</f>
        <v>16476</v>
      </c>
      <c r="I1026" s="425">
        <f t="shared" ref="I1026" si="351">SUM(I1027:I1029)</f>
        <v>0</v>
      </c>
      <c r="J1026" s="425">
        <f t="shared" si="346"/>
        <v>16476</v>
      </c>
      <c r="K1026" s="334"/>
      <c r="L1026" s="849"/>
      <c r="M1026" s="849"/>
      <c r="N1026" s="849"/>
      <c r="O1026" s="334"/>
      <c r="P1026" s="330">
        <f t="shared" si="342"/>
        <v>16476</v>
      </c>
      <c r="Q1026" s="330">
        <f t="shared" si="350"/>
        <v>0</v>
      </c>
      <c r="R1026" s="330">
        <f t="shared" si="350"/>
        <v>16476</v>
      </c>
    </row>
    <row r="1027" spans="2:18" x14ac:dyDescent="0.2">
      <c r="B1027" s="171">
        <f t="shared" si="337"/>
        <v>494</v>
      </c>
      <c r="C1027" s="130"/>
      <c r="D1027" s="131"/>
      <c r="E1027" s="131"/>
      <c r="F1027" s="144" t="s">
        <v>211</v>
      </c>
      <c r="G1027" s="199" t="s">
        <v>505</v>
      </c>
      <c r="H1027" s="388">
        <f>13710+686-3795</f>
        <v>10601</v>
      </c>
      <c r="I1027" s="388"/>
      <c r="J1027" s="388">
        <f t="shared" si="346"/>
        <v>10601</v>
      </c>
      <c r="K1027" s="132"/>
      <c r="L1027" s="527"/>
      <c r="M1027" s="527"/>
      <c r="N1027" s="527"/>
      <c r="O1027" s="132"/>
      <c r="P1027" s="166">
        <f t="shared" si="342"/>
        <v>10601</v>
      </c>
      <c r="Q1027" s="166">
        <f t="shared" si="350"/>
        <v>0</v>
      </c>
      <c r="R1027" s="166">
        <f t="shared" si="350"/>
        <v>10601</v>
      </c>
    </row>
    <row r="1028" spans="2:18" x14ac:dyDescent="0.2">
      <c r="B1028" s="171">
        <f t="shared" si="337"/>
        <v>495</v>
      </c>
      <c r="C1028" s="130"/>
      <c r="D1028" s="131"/>
      <c r="E1028" s="131"/>
      <c r="F1028" s="144" t="s">
        <v>212</v>
      </c>
      <c r="G1028" s="199" t="s">
        <v>259</v>
      </c>
      <c r="H1028" s="388">
        <f>4924+246-1295</f>
        <v>3875</v>
      </c>
      <c r="I1028" s="388"/>
      <c r="J1028" s="388">
        <f t="shared" si="346"/>
        <v>3875</v>
      </c>
      <c r="K1028" s="132"/>
      <c r="L1028" s="527"/>
      <c r="M1028" s="527"/>
      <c r="N1028" s="527"/>
      <c r="O1028" s="132"/>
      <c r="P1028" s="166">
        <f t="shared" si="342"/>
        <v>3875</v>
      </c>
      <c r="Q1028" s="166">
        <f t="shared" si="350"/>
        <v>0</v>
      </c>
      <c r="R1028" s="166">
        <f t="shared" si="350"/>
        <v>3875</v>
      </c>
    </row>
    <row r="1029" spans="2:18" x14ac:dyDescent="0.2">
      <c r="B1029" s="171">
        <f t="shared" si="337"/>
        <v>496</v>
      </c>
      <c r="C1029" s="130"/>
      <c r="D1029" s="131"/>
      <c r="E1029" s="131"/>
      <c r="F1029" s="144" t="s">
        <v>218</v>
      </c>
      <c r="G1029" s="199" t="s">
        <v>340</v>
      </c>
      <c r="H1029" s="388">
        <f>SUM(H1030:H1032)</f>
        <v>2000</v>
      </c>
      <c r="I1029" s="388"/>
      <c r="J1029" s="388">
        <f t="shared" si="346"/>
        <v>2000</v>
      </c>
      <c r="K1029" s="132"/>
      <c r="L1029" s="527"/>
      <c r="M1029" s="527"/>
      <c r="N1029" s="527"/>
      <c r="O1029" s="132"/>
      <c r="P1029" s="166">
        <f t="shared" si="342"/>
        <v>2000</v>
      </c>
      <c r="Q1029" s="166">
        <f t="shared" si="350"/>
        <v>0</v>
      </c>
      <c r="R1029" s="166">
        <f t="shared" si="350"/>
        <v>2000</v>
      </c>
    </row>
    <row r="1030" spans="2:18" x14ac:dyDescent="0.2">
      <c r="B1030" s="171">
        <f t="shared" si="337"/>
        <v>497</v>
      </c>
      <c r="C1030" s="130"/>
      <c r="D1030" s="131"/>
      <c r="E1030" s="131"/>
      <c r="F1030" s="131" t="s">
        <v>200</v>
      </c>
      <c r="G1030" s="194" t="s">
        <v>247</v>
      </c>
      <c r="H1030" s="526">
        <v>1020</v>
      </c>
      <c r="I1030" s="526"/>
      <c r="J1030" s="526">
        <f t="shared" si="346"/>
        <v>1020</v>
      </c>
      <c r="K1030" s="132"/>
      <c r="L1030" s="527"/>
      <c r="M1030" s="527"/>
      <c r="N1030" s="527"/>
      <c r="O1030" s="132"/>
      <c r="P1030" s="167">
        <f t="shared" si="342"/>
        <v>1020</v>
      </c>
      <c r="Q1030" s="167">
        <f t="shared" si="350"/>
        <v>0</v>
      </c>
      <c r="R1030" s="167">
        <f t="shared" si="350"/>
        <v>1020</v>
      </c>
    </row>
    <row r="1031" spans="2:18" x14ac:dyDescent="0.2">
      <c r="B1031" s="171">
        <f t="shared" si="337"/>
        <v>498</v>
      </c>
      <c r="C1031" s="130"/>
      <c r="D1031" s="131"/>
      <c r="E1031" s="131"/>
      <c r="F1031" s="131" t="s">
        <v>214</v>
      </c>
      <c r="G1031" s="194" t="s">
        <v>261</v>
      </c>
      <c r="H1031" s="526">
        <v>100</v>
      </c>
      <c r="I1031" s="526"/>
      <c r="J1031" s="526">
        <f t="shared" si="346"/>
        <v>100</v>
      </c>
      <c r="K1031" s="132"/>
      <c r="L1031" s="527"/>
      <c r="M1031" s="527"/>
      <c r="N1031" s="527"/>
      <c r="O1031" s="132"/>
      <c r="P1031" s="167">
        <f t="shared" si="342"/>
        <v>100</v>
      </c>
      <c r="Q1031" s="167">
        <f t="shared" si="350"/>
        <v>0</v>
      </c>
      <c r="R1031" s="167">
        <f t="shared" si="350"/>
        <v>100</v>
      </c>
    </row>
    <row r="1032" spans="2:18" x14ac:dyDescent="0.2">
      <c r="B1032" s="171">
        <f t="shared" si="337"/>
        <v>499</v>
      </c>
      <c r="C1032" s="130"/>
      <c r="D1032" s="131"/>
      <c r="E1032" s="131"/>
      <c r="F1032" s="131" t="s">
        <v>216</v>
      </c>
      <c r="G1032" s="194" t="s">
        <v>248</v>
      </c>
      <c r="H1032" s="526">
        <v>880</v>
      </c>
      <c r="I1032" s="526"/>
      <c r="J1032" s="526">
        <f t="shared" si="346"/>
        <v>880</v>
      </c>
      <c r="K1032" s="132"/>
      <c r="L1032" s="527"/>
      <c r="M1032" s="527"/>
      <c r="N1032" s="527"/>
      <c r="O1032" s="132"/>
      <c r="P1032" s="167">
        <f t="shared" si="342"/>
        <v>880</v>
      </c>
      <c r="Q1032" s="167">
        <f t="shared" si="350"/>
        <v>0</v>
      </c>
      <c r="R1032" s="167">
        <f t="shared" si="350"/>
        <v>880</v>
      </c>
    </row>
    <row r="1033" spans="2:18" ht="15" x14ac:dyDescent="0.25">
      <c r="B1033" s="171">
        <f t="shared" si="337"/>
        <v>500</v>
      </c>
      <c r="C1033" s="130"/>
      <c r="D1033" s="261" t="s">
        <v>7</v>
      </c>
      <c r="E1033" s="175" t="s">
        <v>404</v>
      </c>
      <c r="F1033" s="147" t="s">
        <v>401</v>
      </c>
      <c r="G1033" s="236"/>
      <c r="H1033" s="425">
        <f>SUM(H1034:H1036)</f>
        <v>21686</v>
      </c>
      <c r="I1033" s="425">
        <f t="shared" ref="I1033" si="352">SUM(I1034:I1036)</f>
        <v>0</v>
      </c>
      <c r="J1033" s="425">
        <f t="shared" si="346"/>
        <v>21686</v>
      </c>
      <c r="K1033" s="334"/>
      <c r="L1033" s="849"/>
      <c r="M1033" s="849"/>
      <c r="N1033" s="849"/>
      <c r="O1033" s="334"/>
      <c r="P1033" s="330">
        <f t="shared" si="342"/>
        <v>21686</v>
      </c>
      <c r="Q1033" s="330">
        <f t="shared" si="350"/>
        <v>0</v>
      </c>
      <c r="R1033" s="330">
        <f t="shared" si="350"/>
        <v>21686</v>
      </c>
    </row>
    <row r="1034" spans="2:18" x14ac:dyDescent="0.2">
      <c r="B1034" s="171">
        <f t="shared" si="337"/>
        <v>501</v>
      </c>
      <c r="C1034" s="130"/>
      <c r="D1034" s="131"/>
      <c r="E1034" s="131"/>
      <c r="F1034" s="144" t="s">
        <v>211</v>
      </c>
      <c r="G1034" s="199" t="s">
        <v>505</v>
      </c>
      <c r="H1034" s="388">
        <f>19220+961-6491+700</f>
        <v>14390</v>
      </c>
      <c r="I1034" s="388"/>
      <c r="J1034" s="388">
        <f t="shared" si="346"/>
        <v>14390</v>
      </c>
      <c r="K1034" s="132"/>
      <c r="L1034" s="527"/>
      <c r="M1034" s="527"/>
      <c r="N1034" s="527"/>
      <c r="O1034" s="132"/>
      <c r="P1034" s="166">
        <f t="shared" si="342"/>
        <v>14390</v>
      </c>
      <c r="Q1034" s="166">
        <f t="shared" si="350"/>
        <v>0</v>
      </c>
      <c r="R1034" s="166">
        <f t="shared" si="350"/>
        <v>14390</v>
      </c>
    </row>
    <row r="1035" spans="2:18" x14ac:dyDescent="0.2">
      <c r="B1035" s="171">
        <f t="shared" si="337"/>
        <v>502</v>
      </c>
      <c r="C1035" s="130"/>
      <c r="D1035" s="131"/>
      <c r="E1035" s="131"/>
      <c r="F1035" s="144" t="s">
        <v>212</v>
      </c>
      <c r="G1035" s="199" t="s">
        <v>259</v>
      </c>
      <c r="H1035" s="388">
        <f>7171+359-2550+226</f>
        <v>5206</v>
      </c>
      <c r="I1035" s="388"/>
      <c r="J1035" s="388">
        <f t="shared" si="346"/>
        <v>5206</v>
      </c>
      <c r="K1035" s="132"/>
      <c r="L1035" s="527"/>
      <c r="M1035" s="527"/>
      <c r="N1035" s="527"/>
      <c r="O1035" s="132"/>
      <c r="P1035" s="166">
        <f t="shared" si="342"/>
        <v>5206</v>
      </c>
      <c r="Q1035" s="166">
        <f t="shared" si="350"/>
        <v>0</v>
      </c>
      <c r="R1035" s="166">
        <f t="shared" si="350"/>
        <v>5206</v>
      </c>
    </row>
    <row r="1036" spans="2:18" x14ac:dyDescent="0.2">
      <c r="B1036" s="171">
        <f t="shared" si="337"/>
        <v>503</v>
      </c>
      <c r="C1036" s="130"/>
      <c r="D1036" s="131"/>
      <c r="E1036" s="131"/>
      <c r="F1036" s="144" t="s">
        <v>218</v>
      </c>
      <c r="G1036" s="199" t="s">
        <v>340</v>
      </c>
      <c r="H1036" s="388">
        <f>SUM(H1037:H1039)</f>
        <v>2090</v>
      </c>
      <c r="I1036" s="388">
        <f>SUM(I1037:I1039)</f>
        <v>0</v>
      </c>
      <c r="J1036" s="388">
        <f t="shared" si="346"/>
        <v>2090</v>
      </c>
      <c r="K1036" s="132"/>
      <c r="L1036" s="527"/>
      <c r="M1036" s="527"/>
      <c r="N1036" s="527"/>
      <c r="O1036" s="132"/>
      <c r="P1036" s="166">
        <f t="shared" si="342"/>
        <v>2090</v>
      </c>
      <c r="Q1036" s="166">
        <f t="shared" si="350"/>
        <v>0</v>
      </c>
      <c r="R1036" s="166">
        <f t="shared" si="350"/>
        <v>2090</v>
      </c>
    </row>
    <row r="1037" spans="2:18" x14ac:dyDescent="0.2">
      <c r="B1037" s="171">
        <f t="shared" si="337"/>
        <v>504</v>
      </c>
      <c r="C1037" s="130"/>
      <c r="D1037" s="131"/>
      <c r="E1037" s="131"/>
      <c r="F1037" s="131" t="s">
        <v>200</v>
      </c>
      <c r="G1037" s="194" t="s">
        <v>247</v>
      </c>
      <c r="H1037" s="526">
        <f>1380-100</f>
        <v>1280</v>
      </c>
      <c r="I1037" s="526"/>
      <c r="J1037" s="526">
        <f t="shared" si="346"/>
        <v>1280</v>
      </c>
      <c r="K1037" s="132"/>
      <c r="L1037" s="527"/>
      <c r="M1037" s="527"/>
      <c r="N1037" s="527"/>
      <c r="O1037" s="132"/>
      <c r="P1037" s="167">
        <f t="shared" si="342"/>
        <v>1280</v>
      </c>
      <c r="Q1037" s="167">
        <f t="shared" si="350"/>
        <v>0</v>
      </c>
      <c r="R1037" s="167">
        <f t="shared" si="350"/>
        <v>1280</v>
      </c>
    </row>
    <row r="1038" spans="2:18" x14ac:dyDescent="0.2">
      <c r="B1038" s="171">
        <f t="shared" si="337"/>
        <v>505</v>
      </c>
      <c r="C1038" s="130"/>
      <c r="D1038" s="131"/>
      <c r="E1038" s="131"/>
      <c r="F1038" s="131" t="s">
        <v>214</v>
      </c>
      <c r="G1038" s="194" t="s">
        <v>261</v>
      </c>
      <c r="H1038" s="526">
        <v>100</v>
      </c>
      <c r="I1038" s="526"/>
      <c r="J1038" s="526">
        <f t="shared" si="346"/>
        <v>100</v>
      </c>
      <c r="K1038" s="132"/>
      <c r="L1038" s="527"/>
      <c r="M1038" s="527"/>
      <c r="N1038" s="527"/>
      <c r="O1038" s="132"/>
      <c r="P1038" s="167">
        <f t="shared" si="342"/>
        <v>100</v>
      </c>
      <c r="Q1038" s="167">
        <f t="shared" si="350"/>
        <v>0</v>
      </c>
      <c r="R1038" s="167">
        <f t="shared" si="350"/>
        <v>100</v>
      </c>
    </row>
    <row r="1039" spans="2:18" x14ac:dyDescent="0.2">
      <c r="B1039" s="171">
        <f t="shared" si="337"/>
        <v>506</v>
      </c>
      <c r="C1039" s="130"/>
      <c r="D1039" s="131"/>
      <c r="E1039" s="131"/>
      <c r="F1039" s="131" t="s">
        <v>216</v>
      </c>
      <c r="G1039" s="194" t="s">
        <v>248</v>
      </c>
      <c r="H1039" s="526">
        <v>710</v>
      </c>
      <c r="I1039" s="526"/>
      <c r="J1039" s="526">
        <f t="shared" si="346"/>
        <v>710</v>
      </c>
      <c r="K1039" s="132"/>
      <c r="L1039" s="527"/>
      <c r="M1039" s="527"/>
      <c r="N1039" s="527"/>
      <c r="O1039" s="132"/>
      <c r="P1039" s="167">
        <f t="shared" si="342"/>
        <v>710</v>
      </c>
      <c r="Q1039" s="167">
        <f t="shared" si="350"/>
        <v>0</v>
      </c>
      <c r="R1039" s="167">
        <f t="shared" si="350"/>
        <v>710</v>
      </c>
    </row>
    <row r="1040" spans="2:18" ht="15" x14ac:dyDescent="0.25">
      <c r="B1040" s="171">
        <f t="shared" si="337"/>
        <v>507</v>
      </c>
      <c r="C1040" s="130"/>
      <c r="D1040" s="261" t="s">
        <v>8</v>
      </c>
      <c r="E1040" s="175" t="s">
        <v>404</v>
      </c>
      <c r="F1040" s="147" t="s">
        <v>402</v>
      </c>
      <c r="G1040" s="236"/>
      <c r="H1040" s="487">
        <f>SUM(H1041:H1043)+H1047</f>
        <v>27320</v>
      </c>
      <c r="I1040" s="487">
        <f t="shared" ref="I1040" si="353">SUM(I1041:I1043)+I1047</f>
        <v>0</v>
      </c>
      <c r="J1040" s="487">
        <f t="shared" si="346"/>
        <v>27320</v>
      </c>
      <c r="K1040" s="334"/>
      <c r="L1040" s="849">
        <f>L1048</f>
        <v>5476</v>
      </c>
      <c r="M1040" s="849">
        <f t="shared" ref="M1040" si="354">M1048</f>
        <v>0</v>
      </c>
      <c r="N1040" s="849">
        <f t="shared" si="341"/>
        <v>5476</v>
      </c>
      <c r="O1040" s="334"/>
      <c r="P1040" s="330">
        <f t="shared" si="342"/>
        <v>32796</v>
      </c>
      <c r="Q1040" s="330">
        <f t="shared" ref="Q1040:R1055" si="355">I1040+M1040</f>
        <v>0</v>
      </c>
      <c r="R1040" s="330">
        <f t="shared" si="355"/>
        <v>32796</v>
      </c>
    </row>
    <row r="1041" spans="2:18" x14ac:dyDescent="0.2">
      <c r="B1041" s="171">
        <f t="shared" si="337"/>
        <v>508</v>
      </c>
      <c r="C1041" s="130"/>
      <c r="D1041" s="131"/>
      <c r="E1041" s="131"/>
      <c r="F1041" s="144" t="s">
        <v>211</v>
      </c>
      <c r="G1041" s="199" t="s">
        <v>505</v>
      </c>
      <c r="H1041" s="388">
        <f>15885+794+226</f>
        <v>16905</v>
      </c>
      <c r="I1041" s="388"/>
      <c r="J1041" s="388">
        <f t="shared" si="346"/>
        <v>16905</v>
      </c>
      <c r="K1041" s="132"/>
      <c r="L1041" s="527"/>
      <c r="M1041" s="527"/>
      <c r="N1041" s="527"/>
      <c r="O1041" s="132"/>
      <c r="P1041" s="166">
        <f t="shared" si="342"/>
        <v>16905</v>
      </c>
      <c r="Q1041" s="166">
        <f t="shared" si="355"/>
        <v>0</v>
      </c>
      <c r="R1041" s="166">
        <f t="shared" si="355"/>
        <v>16905</v>
      </c>
    </row>
    <row r="1042" spans="2:18" x14ac:dyDescent="0.2">
      <c r="B1042" s="171">
        <f t="shared" si="337"/>
        <v>509</v>
      </c>
      <c r="C1042" s="130"/>
      <c r="D1042" s="131"/>
      <c r="E1042" s="131"/>
      <c r="F1042" s="144" t="s">
        <v>212</v>
      </c>
      <c r="G1042" s="199" t="s">
        <v>259</v>
      </c>
      <c r="H1042" s="388">
        <f>5854+293-443</f>
        <v>5704</v>
      </c>
      <c r="I1042" s="388"/>
      <c r="J1042" s="388">
        <f t="shared" si="346"/>
        <v>5704</v>
      </c>
      <c r="K1042" s="132"/>
      <c r="L1042" s="527"/>
      <c r="M1042" s="527"/>
      <c r="N1042" s="527"/>
      <c r="O1042" s="132"/>
      <c r="P1042" s="166">
        <f t="shared" si="342"/>
        <v>5704</v>
      </c>
      <c r="Q1042" s="166">
        <f t="shared" si="355"/>
        <v>0</v>
      </c>
      <c r="R1042" s="166">
        <f t="shared" si="355"/>
        <v>5704</v>
      </c>
    </row>
    <row r="1043" spans="2:18" x14ac:dyDescent="0.2">
      <c r="B1043" s="171">
        <f t="shared" si="337"/>
        <v>510</v>
      </c>
      <c r="C1043" s="130"/>
      <c r="D1043" s="131"/>
      <c r="E1043" s="131"/>
      <c r="F1043" s="144" t="s">
        <v>218</v>
      </c>
      <c r="G1043" s="199" t="s">
        <v>340</v>
      </c>
      <c r="H1043" s="388">
        <f>SUM(H1044:H1046)</f>
        <v>2170</v>
      </c>
      <c r="I1043" s="388"/>
      <c r="J1043" s="388">
        <f t="shared" si="346"/>
        <v>2170</v>
      </c>
      <c r="K1043" s="132"/>
      <c r="L1043" s="527"/>
      <c r="M1043" s="527"/>
      <c r="N1043" s="527"/>
      <c r="O1043" s="132"/>
      <c r="P1043" s="166">
        <f t="shared" si="342"/>
        <v>2170</v>
      </c>
      <c r="Q1043" s="166">
        <f t="shared" si="355"/>
        <v>0</v>
      </c>
      <c r="R1043" s="166">
        <f t="shared" si="355"/>
        <v>2170</v>
      </c>
    </row>
    <row r="1044" spans="2:18" x14ac:dyDescent="0.2">
      <c r="B1044" s="171">
        <f t="shared" si="337"/>
        <v>511</v>
      </c>
      <c r="C1044" s="130"/>
      <c r="D1044" s="131"/>
      <c r="E1044" s="131"/>
      <c r="F1044" s="131" t="s">
        <v>200</v>
      </c>
      <c r="G1044" s="194" t="s">
        <v>247</v>
      </c>
      <c r="H1044" s="526">
        <v>1230</v>
      </c>
      <c r="I1044" s="526"/>
      <c r="J1044" s="526">
        <f t="shared" si="346"/>
        <v>1230</v>
      </c>
      <c r="K1044" s="132"/>
      <c r="L1044" s="527"/>
      <c r="M1044" s="527"/>
      <c r="N1044" s="527"/>
      <c r="O1044" s="132"/>
      <c r="P1044" s="168">
        <f t="shared" si="342"/>
        <v>1230</v>
      </c>
      <c r="Q1044" s="168">
        <f t="shared" si="355"/>
        <v>0</v>
      </c>
      <c r="R1044" s="168">
        <f t="shared" si="355"/>
        <v>1230</v>
      </c>
    </row>
    <row r="1045" spans="2:18" x14ac:dyDescent="0.2">
      <c r="B1045" s="171">
        <f t="shared" si="337"/>
        <v>512</v>
      </c>
      <c r="C1045" s="130"/>
      <c r="D1045" s="131"/>
      <c r="E1045" s="131"/>
      <c r="F1045" s="131" t="s">
        <v>214</v>
      </c>
      <c r="G1045" s="194" t="s">
        <v>261</v>
      </c>
      <c r="H1045" s="526">
        <v>100</v>
      </c>
      <c r="I1045" s="526"/>
      <c r="J1045" s="526">
        <f t="shared" si="346"/>
        <v>100</v>
      </c>
      <c r="K1045" s="132"/>
      <c r="L1045" s="527"/>
      <c r="M1045" s="527"/>
      <c r="N1045" s="527"/>
      <c r="O1045" s="132"/>
      <c r="P1045" s="168">
        <f t="shared" si="342"/>
        <v>100</v>
      </c>
      <c r="Q1045" s="168">
        <f t="shared" si="355"/>
        <v>0</v>
      </c>
      <c r="R1045" s="168">
        <f t="shared" si="355"/>
        <v>100</v>
      </c>
    </row>
    <row r="1046" spans="2:18" x14ac:dyDescent="0.2">
      <c r="B1046" s="171">
        <f t="shared" si="337"/>
        <v>513</v>
      </c>
      <c r="C1046" s="130"/>
      <c r="D1046" s="131"/>
      <c r="E1046" s="131"/>
      <c r="F1046" s="131" t="s">
        <v>216</v>
      </c>
      <c r="G1046" s="194" t="s">
        <v>248</v>
      </c>
      <c r="H1046" s="382">
        <v>840</v>
      </c>
      <c r="I1046" s="382"/>
      <c r="J1046" s="382">
        <f t="shared" si="346"/>
        <v>840</v>
      </c>
      <c r="K1046" s="181"/>
      <c r="L1046" s="526"/>
      <c r="M1046" s="526"/>
      <c r="N1046" s="526"/>
      <c r="O1046" s="132"/>
      <c r="P1046" s="168">
        <f t="shared" si="342"/>
        <v>840</v>
      </c>
      <c r="Q1046" s="168">
        <f t="shared" si="355"/>
        <v>0</v>
      </c>
      <c r="R1046" s="168">
        <f t="shared" si="355"/>
        <v>840</v>
      </c>
    </row>
    <row r="1047" spans="2:18" x14ac:dyDescent="0.2">
      <c r="B1047" s="171">
        <f t="shared" si="337"/>
        <v>514</v>
      </c>
      <c r="C1047" s="130"/>
      <c r="D1047" s="131"/>
      <c r="E1047" s="169"/>
      <c r="F1047" s="144" t="s">
        <v>217</v>
      </c>
      <c r="G1047" s="199" t="s">
        <v>504</v>
      </c>
      <c r="H1047" s="432">
        <f>780+1761</f>
        <v>2541</v>
      </c>
      <c r="I1047" s="432"/>
      <c r="J1047" s="432">
        <f t="shared" si="346"/>
        <v>2541</v>
      </c>
      <c r="K1047" s="132"/>
      <c r="L1047" s="526"/>
      <c r="M1047" s="526"/>
      <c r="N1047" s="526"/>
      <c r="O1047" s="132"/>
      <c r="P1047" s="168">
        <f t="shared" si="342"/>
        <v>2541</v>
      </c>
      <c r="Q1047" s="168">
        <f t="shared" si="355"/>
        <v>0</v>
      </c>
      <c r="R1047" s="168">
        <f t="shared" si="355"/>
        <v>2541</v>
      </c>
    </row>
    <row r="1048" spans="2:18" x14ac:dyDescent="0.2">
      <c r="B1048" s="171">
        <f t="shared" si="337"/>
        <v>515</v>
      </c>
      <c r="C1048" s="130"/>
      <c r="D1048" s="131"/>
      <c r="E1048" s="169"/>
      <c r="F1048" s="436" t="s">
        <v>606</v>
      </c>
      <c r="G1048" s="488" t="s">
        <v>727</v>
      </c>
      <c r="H1048" s="382"/>
      <c r="I1048" s="382"/>
      <c r="J1048" s="382">
        <f t="shared" si="346"/>
        <v>0</v>
      </c>
      <c r="K1048" s="132"/>
      <c r="L1048" s="388">
        <f>3120+2356</f>
        <v>5476</v>
      </c>
      <c r="M1048" s="388"/>
      <c r="N1048" s="388">
        <f t="shared" si="341"/>
        <v>5476</v>
      </c>
      <c r="O1048" s="132"/>
      <c r="P1048" s="530">
        <f t="shared" si="342"/>
        <v>5476</v>
      </c>
      <c r="Q1048" s="530">
        <f t="shared" si="355"/>
        <v>0</v>
      </c>
      <c r="R1048" s="530">
        <f t="shared" si="355"/>
        <v>5476</v>
      </c>
    </row>
    <row r="1049" spans="2:18" ht="15" x14ac:dyDescent="0.25">
      <c r="B1049" s="171">
        <f t="shared" si="337"/>
        <v>516</v>
      </c>
      <c r="C1049" s="130"/>
      <c r="D1049" s="261" t="s">
        <v>169</v>
      </c>
      <c r="E1049" s="175" t="s">
        <v>404</v>
      </c>
      <c r="F1049" s="147" t="s">
        <v>403</v>
      </c>
      <c r="G1049" s="236"/>
      <c r="H1049" s="425">
        <f>SUM(H1050:H1052)</f>
        <v>35726</v>
      </c>
      <c r="I1049" s="425">
        <f t="shared" ref="I1049" si="356">SUM(I1050:I1052)</f>
        <v>0</v>
      </c>
      <c r="J1049" s="425">
        <f t="shared" si="346"/>
        <v>35726</v>
      </c>
      <c r="K1049" s="334"/>
      <c r="L1049" s="426">
        <f>L1056</f>
        <v>13290</v>
      </c>
      <c r="M1049" s="426">
        <f t="shared" ref="M1049" si="357">M1056</f>
        <v>0</v>
      </c>
      <c r="N1049" s="426">
        <f t="shared" si="341"/>
        <v>13290</v>
      </c>
      <c r="O1049" s="334"/>
      <c r="P1049" s="345">
        <f t="shared" si="342"/>
        <v>49016</v>
      </c>
      <c r="Q1049" s="345">
        <f t="shared" si="355"/>
        <v>0</v>
      </c>
      <c r="R1049" s="345">
        <f t="shared" si="355"/>
        <v>49016</v>
      </c>
    </row>
    <row r="1050" spans="2:18" x14ac:dyDescent="0.2">
      <c r="B1050" s="171">
        <f t="shared" si="337"/>
        <v>517</v>
      </c>
      <c r="C1050" s="130"/>
      <c r="D1050" s="131"/>
      <c r="E1050" s="131"/>
      <c r="F1050" s="144" t="s">
        <v>211</v>
      </c>
      <c r="G1050" s="199" t="s">
        <v>505</v>
      </c>
      <c r="H1050" s="388">
        <f>24295+1215-1461</f>
        <v>24049</v>
      </c>
      <c r="I1050" s="388"/>
      <c r="J1050" s="388">
        <f t="shared" si="346"/>
        <v>24049</v>
      </c>
      <c r="K1050" s="132"/>
      <c r="L1050" s="526"/>
      <c r="M1050" s="526"/>
      <c r="N1050" s="526"/>
      <c r="O1050" s="132"/>
      <c r="P1050" s="166">
        <f t="shared" si="342"/>
        <v>24049</v>
      </c>
      <c r="Q1050" s="166">
        <f t="shared" si="355"/>
        <v>0</v>
      </c>
      <c r="R1050" s="166">
        <f t="shared" si="355"/>
        <v>24049</v>
      </c>
    </row>
    <row r="1051" spans="2:18" x14ac:dyDescent="0.2">
      <c r="B1051" s="171">
        <f t="shared" si="337"/>
        <v>518</v>
      </c>
      <c r="C1051" s="130"/>
      <c r="D1051" s="131"/>
      <c r="E1051" s="131"/>
      <c r="F1051" s="144" t="s">
        <v>212</v>
      </c>
      <c r="G1051" s="199" t="s">
        <v>259</v>
      </c>
      <c r="H1051" s="388">
        <f>9091+455-842</f>
        <v>8704</v>
      </c>
      <c r="I1051" s="388"/>
      <c r="J1051" s="388">
        <f t="shared" si="346"/>
        <v>8704</v>
      </c>
      <c r="K1051" s="132"/>
      <c r="L1051" s="526"/>
      <c r="M1051" s="526"/>
      <c r="N1051" s="526"/>
      <c r="O1051" s="132"/>
      <c r="P1051" s="166">
        <f t="shared" si="342"/>
        <v>8704</v>
      </c>
      <c r="Q1051" s="166">
        <f t="shared" si="355"/>
        <v>0</v>
      </c>
      <c r="R1051" s="166">
        <f t="shared" si="355"/>
        <v>8704</v>
      </c>
    </row>
    <row r="1052" spans="2:18" x14ac:dyDescent="0.2">
      <c r="B1052" s="171">
        <f t="shared" si="337"/>
        <v>519</v>
      </c>
      <c r="C1052" s="130"/>
      <c r="D1052" s="131"/>
      <c r="E1052" s="131"/>
      <c r="F1052" s="144" t="s">
        <v>218</v>
      </c>
      <c r="G1052" s="199" t="s">
        <v>340</v>
      </c>
      <c r="H1052" s="388">
        <f>SUM(H1053:H1055)</f>
        <v>2973</v>
      </c>
      <c r="I1052" s="388">
        <f>SUM(I1053:I1055)</f>
        <v>0</v>
      </c>
      <c r="J1052" s="388">
        <f t="shared" si="346"/>
        <v>2973</v>
      </c>
      <c r="K1052" s="132"/>
      <c r="L1052" s="527"/>
      <c r="M1052" s="527"/>
      <c r="N1052" s="527"/>
      <c r="O1052" s="132"/>
      <c r="P1052" s="166">
        <f t="shared" si="342"/>
        <v>2973</v>
      </c>
      <c r="Q1052" s="166">
        <f t="shared" si="355"/>
        <v>0</v>
      </c>
      <c r="R1052" s="166">
        <f t="shared" si="355"/>
        <v>2973</v>
      </c>
    </row>
    <row r="1053" spans="2:18" x14ac:dyDescent="0.2">
      <c r="B1053" s="171">
        <f t="shared" si="337"/>
        <v>520</v>
      </c>
      <c r="C1053" s="130"/>
      <c r="D1053" s="131"/>
      <c r="E1053" s="131"/>
      <c r="F1053" s="131" t="s">
        <v>200</v>
      </c>
      <c r="G1053" s="194" t="s">
        <v>247</v>
      </c>
      <c r="H1053" s="526">
        <f>1750-100</f>
        <v>1650</v>
      </c>
      <c r="I1053" s="526"/>
      <c r="J1053" s="526">
        <f t="shared" si="346"/>
        <v>1650</v>
      </c>
      <c r="K1053" s="132"/>
      <c r="L1053" s="527"/>
      <c r="M1053" s="527"/>
      <c r="N1053" s="527"/>
      <c r="O1053" s="132"/>
      <c r="P1053" s="167">
        <f t="shared" si="342"/>
        <v>1650</v>
      </c>
      <c r="Q1053" s="167">
        <f t="shared" si="355"/>
        <v>0</v>
      </c>
      <c r="R1053" s="167">
        <f t="shared" si="355"/>
        <v>1650</v>
      </c>
    </row>
    <row r="1054" spans="2:18" x14ac:dyDescent="0.2">
      <c r="B1054" s="171">
        <f t="shared" si="337"/>
        <v>521</v>
      </c>
      <c r="C1054" s="130"/>
      <c r="D1054" s="131"/>
      <c r="E1054" s="131"/>
      <c r="F1054" s="131" t="s">
        <v>214</v>
      </c>
      <c r="G1054" s="194" t="s">
        <v>261</v>
      </c>
      <c r="H1054" s="526">
        <v>100</v>
      </c>
      <c r="I1054" s="526"/>
      <c r="J1054" s="526">
        <f t="shared" si="346"/>
        <v>100</v>
      </c>
      <c r="K1054" s="132"/>
      <c r="L1054" s="527"/>
      <c r="M1054" s="527"/>
      <c r="N1054" s="527"/>
      <c r="O1054" s="132"/>
      <c r="P1054" s="167">
        <f t="shared" si="342"/>
        <v>100</v>
      </c>
      <c r="Q1054" s="167">
        <f t="shared" si="355"/>
        <v>0</v>
      </c>
      <c r="R1054" s="167">
        <f t="shared" si="355"/>
        <v>100</v>
      </c>
    </row>
    <row r="1055" spans="2:18" x14ac:dyDescent="0.2">
      <c r="B1055" s="171">
        <f t="shared" si="337"/>
        <v>522</v>
      </c>
      <c r="C1055" s="130"/>
      <c r="D1055" s="131"/>
      <c r="E1055" s="131"/>
      <c r="F1055" s="131" t="s">
        <v>216</v>
      </c>
      <c r="G1055" s="194" t="s">
        <v>248</v>
      </c>
      <c r="H1055" s="526">
        <f>950+273</f>
        <v>1223</v>
      </c>
      <c r="I1055" s="526"/>
      <c r="J1055" s="526">
        <f t="shared" si="346"/>
        <v>1223</v>
      </c>
      <c r="K1055" s="132"/>
      <c r="L1055" s="527"/>
      <c r="M1055" s="527"/>
      <c r="N1055" s="527"/>
      <c r="O1055" s="132"/>
      <c r="P1055" s="167">
        <f t="shared" si="342"/>
        <v>1223</v>
      </c>
      <c r="Q1055" s="167">
        <f t="shared" si="355"/>
        <v>0</v>
      </c>
      <c r="R1055" s="167">
        <f t="shared" si="355"/>
        <v>1223</v>
      </c>
    </row>
    <row r="1056" spans="2:18" x14ac:dyDescent="0.2">
      <c r="B1056" s="171">
        <f t="shared" si="337"/>
        <v>523</v>
      </c>
      <c r="C1056" s="130"/>
      <c r="D1056" s="131"/>
      <c r="E1056" s="169"/>
      <c r="F1056" s="436" t="s">
        <v>606</v>
      </c>
      <c r="G1056" s="488" t="s">
        <v>728</v>
      </c>
      <c r="H1056" s="399"/>
      <c r="I1056" s="399"/>
      <c r="J1056" s="399">
        <f t="shared" si="346"/>
        <v>0</v>
      </c>
      <c r="K1056" s="339"/>
      <c r="L1056" s="402">
        <f>13900-610</f>
        <v>13290</v>
      </c>
      <c r="M1056" s="402"/>
      <c r="N1056" s="402">
        <f t="shared" si="341"/>
        <v>13290</v>
      </c>
      <c r="O1056" s="339"/>
      <c r="P1056" s="166">
        <f t="shared" si="342"/>
        <v>13290</v>
      </c>
      <c r="Q1056" s="166">
        <f t="shared" ref="Q1056:R1071" si="358">I1056+M1056</f>
        <v>0</v>
      </c>
      <c r="R1056" s="166">
        <f t="shared" si="358"/>
        <v>13290</v>
      </c>
    </row>
    <row r="1057" spans="2:18" ht="15" x14ac:dyDescent="0.25">
      <c r="B1057" s="171">
        <f t="shared" si="337"/>
        <v>524</v>
      </c>
      <c r="C1057" s="143"/>
      <c r="D1057" s="261" t="s">
        <v>173</v>
      </c>
      <c r="E1057" s="175" t="s">
        <v>404</v>
      </c>
      <c r="F1057" s="147" t="s">
        <v>405</v>
      </c>
      <c r="G1057" s="236"/>
      <c r="H1057" s="425">
        <f>SUM(H1058:H1060)</f>
        <v>41338</v>
      </c>
      <c r="I1057" s="425">
        <f t="shared" ref="I1057" si="359">SUM(I1058:I1060)</f>
        <v>0</v>
      </c>
      <c r="J1057" s="425">
        <f t="shared" si="346"/>
        <v>41338</v>
      </c>
      <c r="K1057" s="334"/>
      <c r="L1057" s="849">
        <f>L1065</f>
        <v>13290</v>
      </c>
      <c r="M1057" s="849">
        <f t="shared" ref="M1057" si="360">M1065</f>
        <v>0</v>
      </c>
      <c r="N1057" s="849">
        <f t="shared" si="341"/>
        <v>13290</v>
      </c>
      <c r="O1057" s="334"/>
      <c r="P1057" s="330">
        <f t="shared" si="342"/>
        <v>54628</v>
      </c>
      <c r="Q1057" s="330">
        <f t="shared" si="358"/>
        <v>0</v>
      </c>
      <c r="R1057" s="330">
        <f t="shared" si="358"/>
        <v>54628</v>
      </c>
    </row>
    <row r="1058" spans="2:18" x14ac:dyDescent="0.2">
      <c r="B1058" s="171">
        <f t="shared" si="337"/>
        <v>525</v>
      </c>
      <c r="C1058" s="143"/>
      <c r="D1058" s="144"/>
      <c r="E1058" s="131"/>
      <c r="F1058" s="144" t="s">
        <v>211</v>
      </c>
      <c r="G1058" s="199" t="s">
        <v>505</v>
      </c>
      <c r="H1058" s="388">
        <f>24090+1205+1295</f>
        <v>26590</v>
      </c>
      <c r="I1058" s="388"/>
      <c r="J1058" s="388">
        <f t="shared" si="346"/>
        <v>26590</v>
      </c>
      <c r="K1058" s="145"/>
      <c r="L1058" s="396"/>
      <c r="M1058" s="396"/>
      <c r="N1058" s="396"/>
      <c r="O1058" s="145"/>
      <c r="P1058" s="166">
        <f t="shared" si="342"/>
        <v>26590</v>
      </c>
      <c r="Q1058" s="166">
        <f t="shared" si="358"/>
        <v>0</v>
      </c>
      <c r="R1058" s="166">
        <f t="shared" si="358"/>
        <v>26590</v>
      </c>
    </row>
    <row r="1059" spans="2:18" x14ac:dyDescent="0.2">
      <c r="B1059" s="171">
        <f t="shared" si="337"/>
        <v>526</v>
      </c>
      <c r="C1059" s="143"/>
      <c r="D1059" s="144"/>
      <c r="E1059" s="131"/>
      <c r="F1059" s="144" t="s">
        <v>212</v>
      </c>
      <c r="G1059" s="199" t="s">
        <v>259</v>
      </c>
      <c r="H1059" s="388">
        <f>9019+451+363</f>
        <v>9833</v>
      </c>
      <c r="I1059" s="388"/>
      <c r="J1059" s="388">
        <f t="shared" si="346"/>
        <v>9833</v>
      </c>
      <c r="K1059" s="145"/>
      <c r="L1059" s="396"/>
      <c r="M1059" s="396"/>
      <c r="N1059" s="396"/>
      <c r="O1059" s="145"/>
      <c r="P1059" s="166">
        <f t="shared" si="342"/>
        <v>9833</v>
      </c>
      <c r="Q1059" s="166">
        <f t="shared" si="358"/>
        <v>0</v>
      </c>
      <c r="R1059" s="166">
        <f t="shared" si="358"/>
        <v>9833</v>
      </c>
    </row>
    <row r="1060" spans="2:18" x14ac:dyDescent="0.2">
      <c r="B1060" s="171">
        <f t="shared" si="337"/>
        <v>527</v>
      </c>
      <c r="C1060" s="143"/>
      <c r="D1060" s="144"/>
      <c r="E1060" s="131"/>
      <c r="F1060" s="144" t="s">
        <v>218</v>
      </c>
      <c r="G1060" s="199" t="s">
        <v>340</v>
      </c>
      <c r="H1060" s="388">
        <f>SUM(H1061:H1064)</f>
        <v>4915</v>
      </c>
      <c r="I1060" s="388">
        <f>SUM(I1061:I1064)</f>
        <v>0</v>
      </c>
      <c r="J1060" s="388">
        <f t="shared" si="346"/>
        <v>4915</v>
      </c>
      <c r="K1060" s="145"/>
      <c r="L1060" s="396"/>
      <c r="M1060" s="396"/>
      <c r="N1060" s="396"/>
      <c r="O1060" s="145"/>
      <c r="P1060" s="166">
        <f t="shared" si="342"/>
        <v>4915</v>
      </c>
      <c r="Q1060" s="166">
        <f t="shared" si="358"/>
        <v>0</v>
      </c>
      <c r="R1060" s="166">
        <f t="shared" si="358"/>
        <v>4915</v>
      </c>
    </row>
    <row r="1061" spans="2:18" x14ac:dyDescent="0.2">
      <c r="B1061" s="171">
        <f t="shared" si="337"/>
        <v>528</v>
      </c>
      <c r="C1061" s="143"/>
      <c r="D1061" s="144"/>
      <c r="E1061" s="131"/>
      <c r="F1061" s="131" t="s">
        <v>199</v>
      </c>
      <c r="G1061" s="194" t="s">
        <v>318</v>
      </c>
      <c r="H1061" s="526">
        <v>825</v>
      </c>
      <c r="I1061" s="526"/>
      <c r="J1061" s="526">
        <f t="shared" si="346"/>
        <v>825</v>
      </c>
      <c r="K1061" s="145"/>
      <c r="L1061" s="396"/>
      <c r="M1061" s="396"/>
      <c r="N1061" s="396"/>
      <c r="O1061" s="145"/>
      <c r="P1061" s="167">
        <f t="shared" si="342"/>
        <v>825</v>
      </c>
      <c r="Q1061" s="167">
        <f t="shared" si="358"/>
        <v>0</v>
      </c>
      <c r="R1061" s="167">
        <f t="shared" si="358"/>
        <v>825</v>
      </c>
    </row>
    <row r="1062" spans="2:18" x14ac:dyDescent="0.2">
      <c r="B1062" s="171">
        <f t="shared" si="337"/>
        <v>529</v>
      </c>
      <c r="C1062" s="143"/>
      <c r="D1062" s="144"/>
      <c r="E1062" s="131"/>
      <c r="F1062" s="131" t="s">
        <v>200</v>
      </c>
      <c r="G1062" s="194" t="s">
        <v>247</v>
      </c>
      <c r="H1062" s="526">
        <f>1300+400</f>
        <v>1700</v>
      </c>
      <c r="I1062" s="526"/>
      <c r="J1062" s="526">
        <f t="shared" si="346"/>
        <v>1700</v>
      </c>
      <c r="K1062" s="145"/>
      <c r="L1062" s="396"/>
      <c r="M1062" s="396"/>
      <c r="N1062" s="396"/>
      <c r="O1062" s="145"/>
      <c r="P1062" s="167">
        <f t="shared" si="342"/>
        <v>1700</v>
      </c>
      <c r="Q1062" s="167">
        <f t="shared" si="358"/>
        <v>0</v>
      </c>
      <c r="R1062" s="167">
        <f t="shared" si="358"/>
        <v>1700</v>
      </c>
    </row>
    <row r="1063" spans="2:18" x14ac:dyDescent="0.2">
      <c r="B1063" s="171">
        <f t="shared" ref="B1063:B1126" si="361">B1062+1</f>
        <v>530</v>
      </c>
      <c r="C1063" s="143"/>
      <c r="D1063" s="144"/>
      <c r="E1063" s="131"/>
      <c r="F1063" s="131" t="s">
        <v>214</v>
      </c>
      <c r="G1063" s="194" t="s">
        <v>261</v>
      </c>
      <c r="H1063" s="526">
        <v>100</v>
      </c>
      <c r="I1063" s="526"/>
      <c r="J1063" s="526">
        <f t="shared" si="346"/>
        <v>100</v>
      </c>
      <c r="K1063" s="145"/>
      <c r="L1063" s="396"/>
      <c r="M1063" s="396"/>
      <c r="N1063" s="396"/>
      <c r="O1063" s="145"/>
      <c r="P1063" s="167">
        <f t="shared" si="342"/>
        <v>100</v>
      </c>
      <c r="Q1063" s="167">
        <f t="shared" si="358"/>
        <v>0</v>
      </c>
      <c r="R1063" s="167">
        <f t="shared" si="358"/>
        <v>100</v>
      </c>
    </row>
    <row r="1064" spans="2:18" x14ac:dyDescent="0.2">
      <c r="B1064" s="171">
        <f t="shared" si="361"/>
        <v>531</v>
      </c>
      <c r="C1064" s="143"/>
      <c r="D1064" s="144"/>
      <c r="E1064" s="131"/>
      <c r="F1064" s="131" t="s">
        <v>216</v>
      </c>
      <c r="G1064" s="194" t="s">
        <v>248</v>
      </c>
      <c r="H1064" s="526">
        <f>1940+350</f>
        <v>2290</v>
      </c>
      <c r="I1064" s="526"/>
      <c r="J1064" s="526">
        <f t="shared" si="346"/>
        <v>2290</v>
      </c>
      <c r="K1064" s="145"/>
      <c r="L1064" s="396"/>
      <c r="M1064" s="396"/>
      <c r="N1064" s="396"/>
      <c r="O1064" s="145"/>
      <c r="P1064" s="167">
        <f t="shared" si="342"/>
        <v>2290</v>
      </c>
      <c r="Q1064" s="167">
        <f t="shared" si="358"/>
        <v>0</v>
      </c>
      <c r="R1064" s="167">
        <f t="shared" si="358"/>
        <v>2290</v>
      </c>
    </row>
    <row r="1065" spans="2:18" x14ac:dyDescent="0.2">
      <c r="B1065" s="171">
        <f t="shared" si="361"/>
        <v>532</v>
      </c>
      <c r="C1065" s="143"/>
      <c r="D1065" s="144"/>
      <c r="E1065" s="169"/>
      <c r="F1065" s="436" t="s">
        <v>606</v>
      </c>
      <c r="G1065" s="488" t="s">
        <v>728</v>
      </c>
      <c r="H1065" s="526"/>
      <c r="I1065" s="526"/>
      <c r="J1065" s="526">
        <f t="shared" si="346"/>
        <v>0</v>
      </c>
      <c r="K1065" s="145"/>
      <c r="L1065" s="396">
        <f>13900-610</f>
        <v>13290</v>
      </c>
      <c r="M1065" s="396"/>
      <c r="N1065" s="396">
        <f t="shared" ref="N1065:N1122" si="362">L1065+M1065</f>
        <v>13290</v>
      </c>
      <c r="O1065" s="145"/>
      <c r="P1065" s="166">
        <f t="shared" si="342"/>
        <v>13290</v>
      </c>
      <c r="Q1065" s="166">
        <f t="shared" si="358"/>
        <v>0</v>
      </c>
      <c r="R1065" s="166">
        <f t="shared" si="358"/>
        <v>13290</v>
      </c>
    </row>
    <row r="1066" spans="2:18" ht="15" x14ac:dyDescent="0.25">
      <c r="B1066" s="171">
        <f t="shared" si="361"/>
        <v>533</v>
      </c>
      <c r="C1066" s="143"/>
      <c r="D1066" s="261" t="s">
        <v>347</v>
      </c>
      <c r="E1066" s="175" t="s">
        <v>404</v>
      </c>
      <c r="F1066" s="147" t="s">
        <v>406</v>
      </c>
      <c r="G1066" s="236"/>
      <c r="H1066" s="425">
        <f>SUM(H1067:H1069)</f>
        <v>36288</v>
      </c>
      <c r="I1066" s="425">
        <f t="shared" ref="I1066" si="363">SUM(I1067:I1069)</f>
        <v>0</v>
      </c>
      <c r="J1066" s="425">
        <f t="shared" si="346"/>
        <v>36288</v>
      </c>
      <c r="K1066" s="334"/>
      <c r="L1066" s="849">
        <f>L1073</f>
        <v>5772</v>
      </c>
      <c r="M1066" s="849">
        <f t="shared" ref="M1066" si="364">M1073</f>
        <v>0</v>
      </c>
      <c r="N1066" s="849">
        <f t="shared" si="362"/>
        <v>5772</v>
      </c>
      <c r="O1066" s="334"/>
      <c r="P1066" s="330">
        <f t="shared" si="342"/>
        <v>42060</v>
      </c>
      <c r="Q1066" s="330">
        <f t="shared" si="358"/>
        <v>0</v>
      </c>
      <c r="R1066" s="330">
        <f t="shared" si="358"/>
        <v>42060</v>
      </c>
    </row>
    <row r="1067" spans="2:18" x14ac:dyDescent="0.2">
      <c r="B1067" s="171">
        <f t="shared" si="361"/>
        <v>534</v>
      </c>
      <c r="C1067" s="143"/>
      <c r="D1067" s="144"/>
      <c r="E1067" s="131"/>
      <c r="F1067" s="144" t="s">
        <v>211</v>
      </c>
      <c r="G1067" s="199" t="s">
        <v>505</v>
      </c>
      <c r="H1067" s="388">
        <f>23655+1183-3</f>
        <v>24835</v>
      </c>
      <c r="I1067" s="388"/>
      <c r="J1067" s="388">
        <f t="shared" si="346"/>
        <v>24835</v>
      </c>
      <c r="K1067" s="145"/>
      <c r="L1067" s="396"/>
      <c r="M1067" s="396"/>
      <c r="N1067" s="396"/>
      <c r="O1067" s="145"/>
      <c r="P1067" s="166">
        <f t="shared" si="342"/>
        <v>24835</v>
      </c>
      <c r="Q1067" s="166">
        <f t="shared" si="358"/>
        <v>0</v>
      </c>
      <c r="R1067" s="166">
        <f t="shared" si="358"/>
        <v>24835</v>
      </c>
    </row>
    <row r="1068" spans="2:18" x14ac:dyDescent="0.2">
      <c r="B1068" s="171">
        <f t="shared" si="361"/>
        <v>535</v>
      </c>
      <c r="C1068" s="143"/>
      <c r="D1068" s="144"/>
      <c r="E1068" s="131"/>
      <c r="F1068" s="144" t="s">
        <v>212</v>
      </c>
      <c r="G1068" s="199" t="s">
        <v>259</v>
      </c>
      <c r="H1068" s="388">
        <f>8269+413-20</f>
        <v>8662</v>
      </c>
      <c r="I1068" s="388"/>
      <c r="J1068" s="388">
        <f t="shared" si="346"/>
        <v>8662</v>
      </c>
      <c r="K1068" s="145"/>
      <c r="L1068" s="396"/>
      <c r="M1068" s="396"/>
      <c r="N1068" s="396"/>
      <c r="O1068" s="145"/>
      <c r="P1068" s="166">
        <f t="shared" si="342"/>
        <v>8662</v>
      </c>
      <c r="Q1068" s="166">
        <f t="shared" si="358"/>
        <v>0</v>
      </c>
      <c r="R1068" s="166">
        <f t="shared" si="358"/>
        <v>8662</v>
      </c>
    </row>
    <row r="1069" spans="2:18" x14ac:dyDescent="0.2">
      <c r="B1069" s="171">
        <f t="shared" si="361"/>
        <v>536</v>
      </c>
      <c r="C1069" s="143"/>
      <c r="D1069" s="144"/>
      <c r="E1069" s="131"/>
      <c r="F1069" s="144" t="s">
        <v>218</v>
      </c>
      <c r="G1069" s="199" t="s">
        <v>340</v>
      </c>
      <c r="H1069" s="388">
        <f>SUM(H1070:H1072)</f>
        <v>2791</v>
      </c>
      <c r="I1069" s="388">
        <f>SUM(I1070:I1072)</f>
        <v>0</v>
      </c>
      <c r="J1069" s="388">
        <f t="shared" si="346"/>
        <v>2791</v>
      </c>
      <c r="K1069" s="145"/>
      <c r="L1069" s="396"/>
      <c r="M1069" s="396"/>
      <c r="N1069" s="396"/>
      <c r="O1069" s="145"/>
      <c r="P1069" s="166">
        <f t="shared" si="342"/>
        <v>2791</v>
      </c>
      <c r="Q1069" s="166">
        <f t="shared" si="358"/>
        <v>0</v>
      </c>
      <c r="R1069" s="166">
        <f t="shared" si="358"/>
        <v>2791</v>
      </c>
    </row>
    <row r="1070" spans="2:18" x14ac:dyDescent="0.2">
      <c r="B1070" s="171">
        <f t="shared" si="361"/>
        <v>537</v>
      </c>
      <c r="C1070" s="143"/>
      <c r="D1070" s="144"/>
      <c r="E1070" s="131"/>
      <c r="F1070" s="131" t="s">
        <v>200</v>
      </c>
      <c r="G1070" s="194" t="s">
        <v>247</v>
      </c>
      <c r="H1070" s="526">
        <v>1650</v>
      </c>
      <c r="I1070" s="526"/>
      <c r="J1070" s="526">
        <f t="shared" si="346"/>
        <v>1650</v>
      </c>
      <c r="K1070" s="145"/>
      <c r="L1070" s="396"/>
      <c r="M1070" s="396"/>
      <c r="N1070" s="396"/>
      <c r="O1070" s="145"/>
      <c r="P1070" s="167">
        <f t="shared" si="342"/>
        <v>1650</v>
      </c>
      <c r="Q1070" s="167">
        <f t="shared" si="358"/>
        <v>0</v>
      </c>
      <c r="R1070" s="167">
        <f t="shared" si="358"/>
        <v>1650</v>
      </c>
    </row>
    <row r="1071" spans="2:18" x14ac:dyDescent="0.2">
      <c r="B1071" s="171">
        <f t="shared" si="361"/>
        <v>538</v>
      </c>
      <c r="C1071" s="143"/>
      <c r="D1071" s="144"/>
      <c r="E1071" s="131"/>
      <c r="F1071" s="131" t="s">
        <v>214</v>
      </c>
      <c r="G1071" s="194" t="s">
        <v>261</v>
      </c>
      <c r="H1071" s="526">
        <v>100</v>
      </c>
      <c r="I1071" s="526"/>
      <c r="J1071" s="526">
        <f t="shared" si="346"/>
        <v>100</v>
      </c>
      <c r="K1071" s="145"/>
      <c r="L1071" s="388"/>
      <c r="M1071" s="388"/>
      <c r="N1071" s="388"/>
      <c r="O1071" s="145"/>
      <c r="P1071" s="167">
        <f t="shared" si="342"/>
        <v>100</v>
      </c>
      <c r="Q1071" s="167">
        <f t="shared" si="358"/>
        <v>0</v>
      </c>
      <c r="R1071" s="167">
        <f t="shared" si="358"/>
        <v>100</v>
      </c>
    </row>
    <row r="1072" spans="2:18" x14ac:dyDescent="0.2">
      <c r="B1072" s="171">
        <f t="shared" si="361"/>
        <v>539</v>
      </c>
      <c r="C1072" s="143"/>
      <c r="D1072" s="144"/>
      <c r="E1072" s="131"/>
      <c r="F1072" s="131" t="s">
        <v>216</v>
      </c>
      <c r="G1072" s="194" t="s">
        <v>248</v>
      </c>
      <c r="H1072" s="526">
        <f>900+141</f>
        <v>1041</v>
      </c>
      <c r="I1072" s="526"/>
      <c r="J1072" s="526">
        <f t="shared" si="346"/>
        <v>1041</v>
      </c>
      <c r="K1072" s="283"/>
      <c r="L1072" s="388"/>
      <c r="M1072" s="388"/>
      <c r="N1072" s="388"/>
      <c r="O1072" s="283"/>
      <c r="P1072" s="168">
        <f t="shared" ref="P1072:P1135" si="365">H1072+L1072</f>
        <v>1041</v>
      </c>
      <c r="Q1072" s="168">
        <f t="shared" ref="Q1072:R1087" si="366">I1072+M1072</f>
        <v>0</v>
      </c>
      <c r="R1072" s="168">
        <f t="shared" si="366"/>
        <v>1041</v>
      </c>
    </row>
    <row r="1073" spans="2:18" x14ac:dyDescent="0.2">
      <c r="B1073" s="171">
        <f t="shared" si="361"/>
        <v>540</v>
      </c>
      <c r="C1073" s="130"/>
      <c r="D1073" s="131"/>
      <c r="E1073" s="169"/>
      <c r="F1073" s="436" t="s">
        <v>606</v>
      </c>
      <c r="G1073" s="488" t="s">
        <v>655</v>
      </c>
      <c r="H1073" s="399"/>
      <c r="I1073" s="399"/>
      <c r="J1073" s="399"/>
      <c r="K1073" s="339"/>
      <c r="L1073" s="529">
        <f>4430+1810-468</f>
        <v>5772</v>
      </c>
      <c r="M1073" s="529"/>
      <c r="N1073" s="529">
        <f t="shared" si="362"/>
        <v>5772</v>
      </c>
      <c r="O1073" s="339"/>
      <c r="P1073" s="166">
        <f t="shared" si="365"/>
        <v>5772</v>
      </c>
      <c r="Q1073" s="166">
        <f t="shared" si="366"/>
        <v>0</v>
      </c>
      <c r="R1073" s="166">
        <f t="shared" si="366"/>
        <v>5772</v>
      </c>
    </row>
    <row r="1074" spans="2:18" ht="15" x14ac:dyDescent="0.25">
      <c r="B1074" s="171">
        <f t="shared" si="361"/>
        <v>541</v>
      </c>
      <c r="C1074" s="143"/>
      <c r="D1074" s="261" t="s">
        <v>349</v>
      </c>
      <c r="E1074" s="268" t="s">
        <v>404</v>
      </c>
      <c r="F1074" s="265" t="s">
        <v>407</v>
      </c>
      <c r="G1074" s="266"/>
      <c r="H1074" s="427">
        <f>SUM(H1075:H1077)</f>
        <v>19353</v>
      </c>
      <c r="I1074" s="427">
        <f t="shared" ref="I1074" si="367">SUM(I1075:I1077)</f>
        <v>0</v>
      </c>
      <c r="J1074" s="427">
        <f t="shared" ref="J1074:J1137" si="368">H1074+I1074</f>
        <v>19353</v>
      </c>
      <c r="K1074" s="334"/>
      <c r="L1074" s="426">
        <f>L1081</f>
        <v>5693</v>
      </c>
      <c r="M1074" s="426">
        <f t="shared" ref="M1074" si="369">M1081</f>
        <v>0</v>
      </c>
      <c r="N1074" s="426">
        <f t="shared" si="362"/>
        <v>5693</v>
      </c>
      <c r="O1074" s="334"/>
      <c r="P1074" s="345">
        <f t="shared" si="365"/>
        <v>25046</v>
      </c>
      <c r="Q1074" s="345">
        <f t="shared" si="366"/>
        <v>0</v>
      </c>
      <c r="R1074" s="345">
        <f t="shared" si="366"/>
        <v>25046</v>
      </c>
    </row>
    <row r="1075" spans="2:18" x14ac:dyDescent="0.2">
      <c r="B1075" s="171">
        <f t="shared" si="361"/>
        <v>542</v>
      </c>
      <c r="C1075" s="143"/>
      <c r="D1075" s="144"/>
      <c r="E1075" s="131"/>
      <c r="F1075" s="144" t="s">
        <v>211</v>
      </c>
      <c r="G1075" s="199" t="s">
        <v>505</v>
      </c>
      <c r="H1075" s="388">
        <f>11220+561+599+70</f>
        <v>12450</v>
      </c>
      <c r="I1075" s="388"/>
      <c r="J1075" s="388">
        <f t="shared" si="368"/>
        <v>12450</v>
      </c>
      <c r="K1075" s="145"/>
      <c r="L1075" s="388"/>
      <c r="M1075" s="388"/>
      <c r="N1075" s="388"/>
      <c r="O1075" s="145"/>
      <c r="P1075" s="166">
        <f t="shared" si="365"/>
        <v>12450</v>
      </c>
      <c r="Q1075" s="166">
        <f t="shared" si="366"/>
        <v>0</v>
      </c>
      <c r="R1075" s="166">
        <f t="shared" si="366"/>
        <v>12450</v>
      </c>
    </row>
    <row r="1076" spans="2:18" x14ac:dyDescent="0.2">
      <c r="B1076" s="171">
        <f t="shared" si="361"/>
        <v>543</v>
      </c>
      <c r="C1076" s="143"/>
      <c r="D1076" s="144"/>
      <c r="E1076" s="131"/>
      <c r="F1076" s="144" t="s">
        <v>212</v>
      </c>
      <c r="G1076" s="199" t="s">
        <v>259</v>
      </c>
      <c r="H1076" s="388">
        <f>4071+204+211+288</f>
        <v>4774</v>
      </c>
      <c r="I1076" s="388"/>
      <c r="J1076" s="388">
        <f t="shared" si="368"/>
        <v>4774</v>
      </c>
      <c r="K1076" s="145"/>
      <c r="L1076" s="396"/>
      <c r="M1076" s="396"/>
      <c r="N1076" s="396"/>
      <c r="O1076" s="145"/>
      <c r="P1076" s="166">
        <f t="shared" si="365"/>
        <v>4774</v>
      </c>
      <c r="Q1076" s="166">
        <f t="shared" si="366"/>
        <v>0</v>
      </c>
      <c r="R1076" s="166">
        <f t="shared" si="366"/>
        <v>4774</v>
      </c>
    </row>
    <row r="1077" spans="2:18" x14ac:dyDescent="0.2">
      <c r="B1077" s="171">
        <f t="shared" si="361"/>
        <v>544</v>
      </c>
      <c r="C1077" s="143"/>
      <c r="D1077" s="144"/>
      <c r="E1077" s="131"/>
      <c r="F1077" s="144" t="s">
        <v>218</v>
      </c>
      <c r="G1077" s="199" t="s">
        <v>340</v>
      </c>
      <c r="H1077" s="388">
        <f>SUM(H1078:H1080)</f>
        <v>2129</v>
      </c>
      <c r="I1077" s="388">
        <f>SUM(I1078:I1080)</f>
        <v>0</v>
      </c>
      <c r="J1077" s="388">
        <f t="shared" si="368"/>
        <v>2129</v>
      </c>
      <c r="K1077" s="145"/>
      <c r="L1077" s="396"/>
      <c r="M1077" s="396"/>
      <c r="N1077" s="396"/>
      <c r="O1077" s="145"/>
      <c r="P1077" s="166">
        <f t="shared" si="365"/>
        <v>2129</v>
      </c>
      <c r="Q1077" s="166">
        <f t="shared" si="366"/>
        <v>0</v>
      </c>
      <c r="R1077" s="166">
        <f t="shared" si="366"/>
        <v>2129</v>
      </c>
    </row>
    <row r="1078" spans="2:18" x14ac:dyDescent="0.2">
      <c r="B1078" s="171">
        <f t="shared" si="361"/>
        <v>545</v>
      </c>
      <c r="C1078" s="143"/>
      <c r="D1078" s="144"/>
      <c r="E1078" s="131"/>
      <c r="F1078" s="131" t="s">
        <v>200</v>
      </c>
      <c r="G1078" s="194" t="s">
        <v>247</v>
      </c>
      <c r="H1078" s="526">
        <f>1070+550-341</f>
        <v>1279</v>
      </c>
      <c r="I1078" s="526"/>
      <c r="J1078" s="526">
        <f t="shared" si="368"/>
        <v>1279</v>
      </c>
      <c r="K1078" s="145"/>
      <c r="L1078" s="396"/>
      <c r="M1078" s="396"/>
      <c r="N1078" s="396"/>
      <c r="O1078" s="145"/>
      <c r="P1078" s="167">
        <f t="shared" si="365"/>
        <v>1279</v>
      </c>
      <c r="Q1078" s="167">
        <f t="shared" si="366"/>
        <v>0</v>
      </c>
      <c r="R1078" s="167">
        <f t="shared" si="366"/>
        <v>1279</v>
      </c>
    </row>
    <row r="1079" spans="2:18" x14ac:dyDescent="0.2">
      <c r="B1079" s="171">
        <f t="shared" si="361"/>
        <v>546</v>
      </c>
      <c r="C1079" s="143"/>
      <c r="D1079" s="144"/>
      <c r="E1079" s="131"/>
      <c r="F1079" s="131" t="s">
        <v>214</v>
      </c>
      <c r="G1079" s="194" t="s">
        <v>261</v>
      </c>
      <c r="H1079" s="526">
        <v>100</v>
      </c>
      <c r="I1079" s="526"/>
      <c r="J1079" s="526">
        <f t="shared" si="368"/>
        <v>100</v>
      </c>
      <c r="K1079" s="145"/>
      <c r="L1079" s="396"/>
      <c r="M1079" s="396"/>
      <c r="N1079" s="396"/>
      <c r="O1079" s="145"/>
      <c r="P1079" s="167">
        <f t="shared" si="365"/>
        <v>100</v>
      </c>
      <c r="Q1079" s="167">
        <f t="shared" si="366"/>
        <v>0</v>
      </c>
      <c r="R1079" s="167">
        <f t="shared" si="366"/>
        <v>100</v>
      </c>
    </row>
    <row r="1080" spans="2:18" x14ac:dyDescent="0.2">
      <c r="B1080" s="171">
        <f t="shared" si="361"/>
        <v>547</v>
      </c>
      <c r="C1080" s="143"/>
      <c r="D1080" s="144"/>
      <c r="E1080" s="131"/>
      <c r="F1080" s="131" t="s">
        <v>216</v>
      </c>
      <c r="G1080" s="194" t="s">
        <v>248</v>
      </c>
      <c r="H1080" s="526">
        <v>750</v>
      </c>
      <c r="I1080" s="526"/>
      <c r="J1080" s="526">
        <f t="shared" si="368"/>
        <v>750</v>
      </c>
      <c r="K1080" s="145"/>
      <c r="L1080" s="396"/>
      <c r="M1080" s="396"/>
      <c r="N1080" s="396"/>
      <c r="O1080" s="145"/>
      <c r="P1080" s="167">
        <f t="shared" si="365"/>
        <v>750</v>
      </c>
      <c r="Q1080" s="167">
        <f t="shared" si="366"/>
        <v>0</v>
      </c>
      <c r="R1080" s="167">
        <f t="shared" si="366"/>
        <v>750</v>
      </c>
    </row>
    <row r="1081" spans="2:18" x14ac:dyDescent="0.2">
      <c r="B1081" s="171">
        <f t="shared" si="361"/>
        <v>548</v>
      </c>
      <c r="C1081" s="130"/>
      <c r="D1081" s="131"/>
      <c r="E1081" s="169"/>
      <c r="F1081" s="436" t="s">
        <v>606</v>
      </c>
      <c r="G1081" s="488" t="s">
        <v>656</v>
      </c>
      <c r="H1081" s="399"/>
      <c r="I1081" s="399"/>
      <c r="J1081" s="399"/>
      <c r="K1081" s="339"/>
      <c r="L1081" s="402">
        <f>5200+1130-637</f>
        <v>5693</v>
      </c>
      <c r="M1081" s="402"/>
      <c r="N1081" s="402">
        <f t="shared" si="362"/>
        <v>5693</v>
      </c>
      <c r="O1081" s="339"/>
      <c r="P1081" s="166">
        <f t="shared" si="365"/>
        <v>5693</v>
      </c>
      <c r="Q1081" s="166">
        <f t="shared" si="366"/>
        <v>0</v>
      </c>
      <c r="R1081" s="166">
        <f t="shared" si="366"/>
        <v>5693</v>
      </c>
    </row>
    <row r="1082" spans="2:18" ht="15" x14ac:dyDescent="0.25">
      <c r="B1082" s="171">
        <f t="shared" si="361"/>
        <v>549</v>
      </c>
      <c r="C1082" s="143"/>
      <c r="D1082" s="261" t="s">
        <v>351</v>
      </c>
      <c r="E1082" s="175" t="s">
        <v>404</v>
      </c>
      <c r="F1082" s="147" t="s">
        <v>408</v>
      </c>
      <c r="G1082" s="236"/>
      <c r="H1082" s="425">
        <f>SUM(H1083:H1085)</f>
        <v>20882</v>
      </c>
      <c r="I1082" s="425">
        <f t="shared" ref="I1082" si="370">SUM(I1083:I1085)</f>
        <v>0</v>
      </c>
      <c r="J1082" s="425">
        <f t="shared" si="368"/>
        <v>20882</v>
      </c>
      <c r="K1082" s="334"/>
      <c r="L1082" s="849">
        <f>L1089</f>
        <v>1855</v>
      </c>
      <c r="M1082" s="849">
        <f t="shared" ref="M1082" si="371">M1089</f>
        <v>0</v>
      </c>
      <c r="N1082" s="849">
        <f t="shared" si="362"/>
        <v>1855</v>
      </c>
      <c r="O1082" s="334"/>
      <c r="P1082" s="330">
        <f t="shared" si="365"/>
        <v>22737</v>
      </c>
      <c r="Q1082" s="330">
        <f t="shared" si="366"/>
        <v>0</v>
      </c>
      <c r="R1082" s="330">
        <f t="shared" si="366"/>
        <v>22737</v>
      </c>
    </row>
    <row r="1083" spans="2:18" x14ac:dyDescent="0.2">
      <c r="B1083" s="171">
        <f t="shared" si="361"/>
        <v>550</v>
      </c>
      <c r="C1083" s="143"/>
      <c r="D1083" s="144"/>
      <c r="E1083" s="131"/>
      <c r="F1083" s="144" t="s">
        <v>211</v>
      </c>
      <c r="G1083" s="199" t="s">
        <v>505</v>
      </c>
      <c r="H1083" s="388">
        <f>12965+648+1209-810</f>
        <v>14012</v>
      </c>
      <c r="I1083" s="388"/>
      <c r="J1083" s="388">
        <f t="shared" si="368"/>
        <v>14012</v>
      </c>
      <c r="K1083" s="145"/>
      <c r="L1083" s="396"/>
      <c r="M1083" s="396"/>
      <c r="N1083" s="396"/>
      <c r="O1083" s="145"/>
      <c r="P1083" s="166">
        <f t="shared" si="365"/>
        <v>14012</v>
      </c>
      <c r="Q1083" s="166">
        <f t="shared" si="366"/>
        <v>0</v>
      </c>
      <c r="R1083" s="166">
        <f t="shared" si="366"/>
        <v>14012</v>
      </c>
    </row>
    <row r="1084" spans="2:18" x14ac:dyDescent="0.2">
      <c r="B1084" s="171">
        <f t="shared" si="361"/>
        <v>551</v>
      </c>
      <c r="C1084" s="143"/>
      <c r="D1084" s="144"/>
      <c r="E1084" s="131"/>
      <c r="F1084" s="144" t="s">
        <v>212</v>
      </c>
      <c r="G1084" s="199" t="s">
        <v>259</v>
      </c>
      <c r="H1084" s="388">
        <f>4679+234+464-514</f>
        <v>4863</v>
      </c>
      <c r="I1084" s="388"/>
      <c r="J1084" s="388">
        <f t="shared" si="368"/>
        <v>4863</v>
      </c>
      <c r="K1084" s="145"/>
      <c r="L1084" s="396"/>
      <c r="M1084" s="396"/>
      <c r="N1084" s="396"/>
      <c r="O1084" s="145"/>
      <c r="P1084" s="166">
        <f t="shared" si="365"/>
        <v>4863</v>
      </c>
      <c r="Q1084" s="166">
        <f t="shared" si="366"/>
        <v>0</v>
      </c>
      <c r="R1084" s="166">
        <f t="shared" si="366"/>
        <v>4863</v>
      </c>
    </row>
    <row r="1085" spans="2:18" x14ac:dyDescent="0.2">
      <c r="B1085" s="171">
        <f t="shared" si="361"/>
        <v>552</v>
      </c>
      <c r="C1085" s="143"/>
      <c r="D1085" s="144"/>
      <c r="E1085" s="131"/>
      <c r="F1085" s="144" t="s">
        <v>218</v>
      </c>
      <c r="G1085" s="199" t="s">
        <v>340</v>
      </c>
      <c r="H1085" s="388">
        <f>SUM(H1086:H1088)</f>
        <v>2007</v>
      </c>
      <c r="I1085" s="388">
        <f>SUM(I1086:I1088)</f>
        <v>0</v>
      </c>
      <c r="J1085" s="388">
        <f t="shared" si="368"/>
        <v>2007</v>
      </c>
      <c r="K1085" s="145"/>
      <c r="L1085" s="396"/>
      <c r="M1085" s="396"/>
      <c r="N1085" s="396"/>
      <c r="O1085" s="145"/>
      <c r="P1085" s="166">
        <f t="shared" si="365"/>
        <v>2007</v>
      </c>
      <c r="Q1085" s="166">
        <f t="shared" si="366"/>
        <v>0</v>
      </c>
      <c r="R1085" s="166">
        <f t="shared" si="366"/>
        <v>2007</v>
      </c>
    </row>
    <row r="1086" spans="2:18" x14ac:dyDescent="0.2">
      <c r="B1086" s="171">
        <f t="shared" si="361"/>
        <v>553</v>
      </c>
      <c r="C1086" s="143"/>
      <c r="D1086" s="144"/>
      <c r="E1086" s="131"/>
      <c r="F1086" s="131" t="s">
        <v>200</v>
      </c>
      <c r="G1086" s="194" t="s">
        <v>247</v>
      </c>
      <c r="H1086" s="526">
        <f>1470-323</f>
        <v>1147</v>
      </c>
      <c r="I1086" s="526"/>
      <c r="J1086" s="526">
        <f t="shared" si="368"/>
        <v>1147</v>
      </c>
      <c r="K1086" s="145"/>
      <c r="L1086" s="396"/>
      <c r="M1086" s="396"/>
      <c r="N1086" s="396"/>
      <c r="O1086" s="145"/>
      <c r="P1086" s="167">
        <f t="shared" si="365"/>
        <v>1147</v>
      </c>
      <c r="Q1086" s="167">
        <f t="shared" si="366"/>
        <v>0</v>
      </c>
      <c r="R1086" s="167">
        <f t="shared" si="366"/>
        <v>1147</v>
      </c>
    </row>
    <row r="1087" spans="2:18" x14ac:dyDescent="0.2">
      <c r="B1087" s="171">
        <f t="shared" si="361"/>
        <v>554</v>
      </c>
      <c r="C1087" s="143"/>
      <c r="D1087" s="144"/>
      <c r="E1087" s="131"/>
      <c r="F1087" s="131" t="s">
        <v>214</v>
      </c>
      <c r="G1087" s="194" t="s">
        <v>261</v>
      </c>
      <c r="H1087" s="526">
        <v>100</v>
      </c>
      <c r="I1087" s="526"/>
      <c r="J1087" s="526">
        <f t="shared" si="368"/>
        <v>100</v>
      </c>
      <c r="K1087" s="145"/>
      <c r="L1087" s="396"/>
      <c r="M1087" s="396"/>
      <c r="N1087" s="396"/>
      <c r="O1087" s="145"/>
      <c r="P1087" s="167">
        <f t="shared" si="365"/>
        <v>100</v>
      </c>
      <c r="Q1087" s="167">
        <f t="shared" si="366"/>
        <v>0</v>
      </c>
      <c r="R1087" s="167">
        <f t="shared" si="366"/>
        <v>100</v>
      </c>
    </row>
    <row r="1088" spans="2:18" x14ac:dyDescent="0.2">
      <c r="B1088" s="171">
        <f t="shared" si="361"/>
        <v>555</v>
      </c>
      <c r="C1088" s="143"/>
      <c r="D1088" s="144"/>
      <c r="E1088" s="131"/>
      <c r="F1088" s="131" t="s">
        <v>216</v>
      </c>
      <c r="G1088" s="194" t="s">
        <v>248</v>
      </c>
      <c r="H1088" s="526">
        <v>760</v>
      </c>
      <c r="I1088" s="526"/>
      <c r="J1088" s="526">
        <f t="shared" si="368"/>
        <v>760</v>
      </c>
      <c r="K1088" s="145"/>
      <c r="L1088" s="396"/>
      <c r="M1088" s="396"/>
      <c r="N1088" s="396"/>
      <c r="O1088" s="145"/>
      <c r="P1088" s="167">
        <f t="shared" si="365"/>
        <v>760</v>
      </c>
      <c r="Q1088" s="167">
        <f t="shared" ref="Q1088:R1103" si="372">I1088+M1088</f>
        <v>0</v>
      </c>
      <c r="R1088" s="167">
        <f t="shared" si="372"/>
        <v>760</v>
      </c>
    </row>
    <row r="1089" spans="2:18" x14ac:dyDescent="0.2">
      <c r="B1089" s="171">
        <f t="shared" si="361"/>
        <v>556</v>
      </c>
      <c r="C1089" s="143"/>
      <c r="D1089" s="144"/>
      <c r="E1089" s="169"/>
      <c r="F1089" s="436" t="s">
        <v>606</v>
      </c>
      <c r="G1089" s="488" t="s">
        <v>662</v>
      </c>
      <c r="H1089" s="526"/>
      <c r="I1089" s="526"/>
      <c r="J1089" s="526">
        <f t="shared" si="368"/>
        <v>0</v>
      </c>
      <c r="K1089" s="145"/>
      <c r="L1089" s="396">
        <f>3220-1680+315</f>
        <v>1855</v>
      </c>
      <c r="M1089" s="396"/>
      <c r="N1089" s="396">
        <f t="shared" si="362"/>
        <v>1855</v>
      </c>
      <c r="O1089" s="145"/>
      <c r="P1089" s="166">
        <f t="shared" si="365"/>
        <v>1855</v>
      </c>
      <c r="Q1089" s="166">
        <f t="shared" si="372"/>
        <v>0</v>
      </c>
      <c r="R1089" s="166">
        <f t="shared" si="372"/>
        <v>1855</v>
      </c>
    </row>
    <row r="1090" spans="2:18" ht="15" x14ac:dyDescent="0.25">
      <c r="B1090" s="171">
        <f t="shared" si="361"/>
        <v>557</v>
      </c>
      <c r="C1090" s="143"/>
      <c r="D1090" s="261" t="s">
        <v>353</v>
      </c>
      <c r="E1090" s="268" t="s">
        <v>404</v>
      </c>
      <c r="F1090" s="265" t="s">
        <v>409</v>
      </c>
      <c r="G1090" s="266"/>
      <c r="H1090" s="425">
        <f>SUM(H1091:H1093)</f>
        <v>29234</v>
      </c>
      <c r="I1090" s="425">
        <f t="shared" ref="I1090" si="373">SUM(I1091:I1093)</f>
        <v>0</v>
      </c>
      <c r="J1090" s="425">
        <f t="shared" si="368"/>
        <v>29234</v>
      </c>
      <c r="K1090" s="334"/>
      <c r="L1090" s="849">
        <f>L1097</f>
        <v>4464</v>
      </c>
      <c r="M1090" s="849">
        <f t="shared" ref="M1090" si="374">M1097</f>
        <v>0</v>
      </c>
      <c r="N1090" s="849">
        <f t="shared" si="362"/>
        <v>4464</v>
      </c>
      <c r="O1090" s="334"/>
      <c r="P1090" s="330">
        <f t="shared" si="365"/>
        <v>33698</v>
      </c>
      <c r="Q1090" s="330">
        <f t="shared" si="372"/>
        <v>0</v>
      </c>
      <c r="R1090" s="330">
        <f t="shared" si="372"/>
        <v>33698</v>
      </c>
    </row>
    <row r="1091" spans="2:18" x14ac:dyDescent="0.2">
      <c r="B1091" s="171">
        <f t="shared" si="361"/>
        <v>558</v>
      </c>
      <c r="C1091" s="143"/>
      <c r="D1091" s="144"/>
      <c r="E1091" s="131"/>
      <c r="F1091" s="144" t="s">
        <v>211</v>
      </c>
      <c r="G1091" s="199" t="s">
        <v>505</v>
      </c>
      <c r="H1091" s="388">
        <f>17980+899+788</f>
        <v>19667</v>
      </c>
      <c r="I1091" s="388"/>
      <c r="J1091" s="388">
        <f t="shared" si="368"/>
        <v>19667</v>
      </c>
      <c r="K1091" s="145"/>
      <c r="L1091" s="388"/>
      <c r="M1091" s="388"/>
      <c r="N1091" s="388"/>
      <c r="O1091" s="145"/>
      <c r="P1091" s="530">
        <f t="shared" si="365"/>
        <v>19667</v>
      </c>
      <c r="Q1091" s="530">
        <f t="shared" si="372"/>
        <v>0</v>
      </c>
      <c r="R1091" s="530">
        <f t="shared" si="372"/>
        <v>19667</v>
      </c>
    </row>
    <row r="1092" spans="2:18" x14ac:dyDescent="0.2">
      <c r="B1092" s="171">
        <f t="shared" si="361"/>
        <v>559</v>
      </c>
      <c r="C1092" s="143"/>
      <c r="D1092" s="144"/>
      <c r="E1092" s="131"/>
      <c r="F1092" s="144" t="s">
        <v>212</v>
      </c>
      <c r="G1092" s="199" t="s">
        <v>259</v>
      </c>
      <c r="H1092" s="388">
        <f>6435+322+430</f>
        <v>7187</v>
      </c>
      <c r="I1092" s="388"/>
      <c r="J1092" s="388">
        <f t="shared" si="368"/>
        <v>7187</v>
      </c>
      <c r="K1092" s="145"/>
      <c r="L1092" s="396"/>
      <c r="M1092" s="396"/>
      <c r="N1092" s="396"/>
      <c r="O1092" s="145"/>
      <c r="P1092" s="166">
        <f t="shared" si="365"/>
        <v>7187</v>
      </c>
      <c r="Q1092" s="166">
        <f t="shared" si="372"/>
        <v>0</v>
      </c>
      <c r="R1092" s="166">
        <f t="shared" si="372"/>
        <v>7187</v>
      </c>
    </row>
    <row r="1093" spans="2:18" x14ac:dyDescent="0.2">
      <c r="B1093" s="171">
        <f t="shared" si="361"/>
        <v>560</v>
      </c>
      <c r="C1093" s="143"/>
      <c r="D1093" s="144"/>
      <c r="E1093" s="131"/>
      <c r="F1093" s="144" t="s">
        <v>218</v>
      </c>
      <c r="G1093" s="199" t="s">
        <v>340</v>
      </c>
      <c r="H1093" s="388">
        <f>SUM(H1094:H1096)</f>
        <v>2380</v>
      </c>
      <c r="I1093" s="388">
        <f>SUM(I1094:I1096)</f>
        <v>0</v>
      </c>
      <c r="J1093" s="388">
        <f t="shared" si="368"/>
        <v>2380</v>
      </c>
      <c r="K1093" s="145"/>
      <c r="L1093" s="396"/>
      <c r="M1093" s="396"/>
      <c r="N1093" s="396"/>
      <c r="O1093" s="145"/>
      <c r="P1093" s="166">
        <f t="shared" si="365"/>
        <v>2380</v>
      </c>
      <c r="Q1093" s="166">
        <f t="shared" si="372"/>
        <v>0</v>
      </c>
      <c r="R1093" s="166">
        <f t="shared" si="372"/>
        <v>2380</v>
      </c>
    </row>
    <row r="1094" spans="2:18" x14ac:dyDescent="0.2">
      <c r="B1094" s="171">
        <f t="shared" si="361"/>
        <v>561</v>
      </c>
      <c r="C1094" s="143"/>
      <c r="D1094" s="144"/>
      <c r="E1094" s="131"/>
      <c r="F1094" s="131" t="s">
        <v>200</v>
      </c>
      <c r="G1094" s="194" t="s">
        <v>247</v>
      </c>
      <c r="H1094" s="526">
        <f>1850-400</f>
        <v>1450</v>
      </c>
      <c r="I1094" s="526"/>
      <c r="J1094" s="526">
        <f t="shared" si="368"/>
        <v>1450</v>
      </c>
      <c r="K1094" s="145"/>
      <c r="L1094" s="396"/>
      <c r="M1094" s="396"/>
      <c r="N1094" s="396"/>
      <c r="O1094" s="145"/>
      <c r="P1094" s="167">
        <f t="shared" si="365"/>
        <v>1450</v>
      </c>
      <c r="Q1094" s="167">
        <f t="shared" si="372"/>
        <v>0</v>
      </c>
      <c r="R1094" s="167">
        <f t="shared" si="372"/>
        <v>1450</v>
      </c>
    </row>
    <row r="1095" spans="2:18" x14ac:dyDescent="0.2">
      <c r="B1095" s="171">
        <f t="shared" si="361"/>
        <v>562</v>
      </c>
      <c r="C1095" s="143"/>
      <c r="D1095" s="144"/>
      <c r="E1095" s="131"/>
      <c r="F1095" s="131" t="s">
        <v>214</v>
      </c>
      <c r="G1095" s="194" t="s">
        <v>261</v>
      </c>
      <c r="H1095" s="526">
        <v>100</v>
      </c>
      <c r="I1095" s="526"/>
      <c r="J1095" s="526">
        <f t="shared" si="368"/>
        <v>100</v>
      </c>
      <c r="K1095" s="145"/>
      <c r="L1095" s="396"/>
      <c r="M1095" s="396"/>
      <c r="N1095" s="396"/>
      <c r="O1095" s="145"/>
      <c r="P1095" s="167">
        <f t="shared" si="365"/>
        <v>100</v>
      </c>
      <c r="Q1095" s="167">
        <f t="shared" si="372"/>
        <v>0</v>
      </c>
      <c r="R1095" s="167">
        <f t="shared" si="372"/>
        <v>100</v>
      </c>
    </row>
    <row r="1096" spans="2:18" x14ac:dyDescent="0.2">
      <c r="B1096" s="171">
        <f t="shared" si="361"/>
        <v>563</v>
      </c>
      <c r="C1096" s="143"/>
      <c r="D1096" s="144"/>
      <c r="E1096" s="131"/>
      <c r="F1096" s="131" t="s">
        <v>216</v>
      </c>
      <c r="G1096" s="194" t="s">
        <v>248</v>
      </c>
      <c r="H1096" s="526">
        <v>830</v>
      </c>
      <c r="I1096" s="526"/>
      <c r="J1096" s="526">
        <f t="shared" si="368"/>
        <v>830</v>
      </c>
      <c r="K1096" s="145"/>
      <c r="L1096" s="396"/>
      <c r="M1096" s="396"/>
      <c r="N1096" s="396"/>
      <c r="O1096" s="145"/>
      <c r="P1096" s="167">
        <f t="shared" si="365"/>
        <v>830</v>
      </c>
      <c r="Q1096" s="167">
        <f t="shared" si="372"/>
        <v>0</v>
      </c>
      <c r="R1096" s="167">
        <f t="shared" si="372"/>
        <v>830</v>
      </c>
    </row>
    <row r="1097" spans="2:18" x14ac:dyDescent="0.2">
      <c r="B1097" s="171">
        <f t="shared" si="361"/>
        <v>564</v>
      </c>
      <c r="C1097" s="143"/>
      <c r="D1097" s="144"/>
      <c r="E1097" s="169"/>
      <c r="F1097" s="436" t="s">
        <v>606</v>
      </c>
      <c r="G1097" s="488" t="s">
        <v>729</v>
      </c>
      <c r="H1097" s="526"/>
      <c r="I1097" s="526"/>
      <c r="J1097" s="526">
        <f t="shared" si="368"/>
        <v>0</v>
      </c>
      <c r="K1097" s="145"/>
      <c r="L1097" s="396">
        <f>4850-386</f>
        <v>4464</v>
      </c>
      <c r="M1097" s="396"/>
      <c r="N1097" s="396">
        <f t="shared" si="362"/>
        <v>4464</v>
      </c>
      <c r="O1097" s="145"/>
      <c r="P1097" s="166">
        <f t="shared" si="365"/>
        <v>4464</v>
      </c>
      <c r="Q1097" s="166">
        <f t="shared" si="372"/>
        <v>0</v>
      </c>
      <c r="R1097" s="166">
        <f t="shared" si="372"/>
        <v>4464</v>
      </c>
    </row>
    <row r="1098" spans="2:18" ht="15" x14ac:dyDescent="0.25">
      <c r="B1098" s="171">
        <f t="shared" si="361"/>
        <v>565</v>
      </c>
      <c r="C1098" s="143"/>
      <c r="D1098" s="261" t="s">
        <v>356</v>
      </c>
      <c r="E1098" s="175" t="s">
        <v>404</v>
      </c>
      <c r="F1098" s="147" t="s">
        <v>410</v>
      </c>
      <c r="G1098" s="236"/>
      <c r="H1098" s="425">
        <f>SUM(H1099:H1101)</f>
        <v>23895</v>
      </c>
      <c r="I1098" s="425">
        <f t="shared" ref="I1098" si="375">SUM(I1099:I1101)</f>
        <v>0</v>
      </c>
      <c r="J1098" s="425">
        <f t="shared" si="368"/>
        <v>23895</v>
      </c>
      <c r="K1098" s="334"/>
      <c r="L1098" s="849">
        <f>L1105</f>
        <v>2628</v>
      </c>
      <c r="M1098" s="849">
        <f t="shared" ref="M1098" si="376">M1105</f>
        <v>0</v>
      </c>
      <c r="N1098" s="849">
        <f t="shared" si="362"/>
        <v>2628</v>
      </c>
      <c r="O1098" s="334"/>
      <c r="P1098" s="330">
        <f t="shared" si="365"/>
        <v>26523</v>
      </c>
      <c r="Q1098" s="330">
        <f t="shared" si="372"/>
        <v>0</v>
      </c>
      <c r="R1098" s="330">
        <f t="shared" si="372"/>
        <v>26523</v>
      </c>
    </row>
    <row r="1099" spans="2:18" x14ac:dyDescent="0.2">
      <c r="B1099" s="171">
        <f t="shared" si="361"/>
        <v>566</v>
      </c>
      <c r="C1099" s="143"/>
      <c r="D1099" s="144"/>
      <c r="E1099" s="131"/>
      <c r="F1099" s="144" t="s">
        <v>211</v>
      </c>
      <c r="G1099" s="199" t="s">
        <v>505</v>
      </c>
      <c r="H1099" s="388">
        <f>16520+826-1462</f>
        <v>15884</v>
      </c>
      <c r="I1099" s="388"/>
      <c r="J1099" s="388">
        <f t="shared" si="368"/>
        <v>15884</v>
      </c>
      <c r="K1099" s="145"/>
      <c r="L1099" s="396"/>
      <c r="M1099" s="396"/>
      <c r="N1099" s="396"/>
      <c r="O1099" s="145"/>
      <c r="P1099" s="166">
        <f t="shared" si="365"/>
        <v>15884</v>
      </c>
      <c r="Q1099" s="166">
        <f t="shared" si="372"/>
        <v>0</v>
      </c>
      <c r="R1099" s="166">
        <f t="shared" si="372"/>
        <v>15884</v>
      </c>
    </row>
    <row r="1100" spans="2:18" x14ac:dyDescent="0.2">
      <c r="B1100" s="171">
        <f t="shared" si="361"/>
        <v>567</v>
      </c>
      <c r="C1100" s="143"/>
      <c r="D1100" s="144"/>
      <c r="E1100" s="131"/>
      <c r="F1100" s="144" t="s">
        <v>212</v>
      </c>
      <c r="G1100" s="199" t="s">
        <v>259</v>
      </c>
      <c r="H1100" s="388">
        <f>6036+302-497</f>
        <v>5841</v>
      </c>
      <c r="I1100" s="388"/>
      <c r="J1100" s="388">
        <f t="shared" si="368"/>
        <v>5841</v>
      </c>
      <c r="K1100" s="145"/>
      <c r="L1100" s="396"/>
      <c r="M1100" s="396"/>
      <c r="N1100" s="396"/>
      <c r="O1100" s="145"/>
      <c r="P1100" s="166">
        <f t="shared" si="365"/>
        <v>5841</v>
      </c>
      <c r="Q1100" s="166">
        <f t="shared" si="372"/>
        <v>0</v>
      </c>
      <c r="R1100" s="166">
        <f t="shared" si="372"/>
        <v>5841</v>
      </c>
    </row>
    <row r="1101" spans="2:18" x14ac:dyDescent="0.2">
      <c r="B1101" s="171">
        <f t="shared" si="361"/>
        <v>568</v>
      </c>
      <c r="C1101" s="143"/>
      <c r="D1101" s="144"/>
      <c r="E1101" s="131"/>
      <c r="F1101" s="144" t="s">
        <v>218</v>
      </c>
      <c r="G1101" s="199" t="s">
        <v>340</v>
      </c>
      <c r="H1101" s="388">
        <f>SUM(H1102:H1104)</f>
        <v>2170</v>
      </c>
      <c r="I1101" s="388"/>
      <c r="J1101" s="388">
        <f t="shared" si="368"/>
        <v>2170</v>
      </c>
      <c r="K1101" s="145"/>
      <c r="L1101" s="396"/>
      <c r="M1101" s="396"/>
      <c r="N1101" s="396"/>
      <c r="O1101" s="145"/>
      <c r="P1101" s="166">
        <f t="shared" si="365"/>
        <v>2170</v>
      </c>
      <c r="Q1101" s="166">
        <f t="shared" si="372"/>
        <v>0</v>
      </c>
      <c r="R1101" s="166">
        <f t="shared" si="372"/>
        <v>2170</v>
      </c>
    </row>
    <row r="1102" spans="2:18" x14ac:dyDescent="0.2">
      <c r="B1102" s="171">
        <f t="shared" si="361"/>
        <v>569</v>
      </c>
      <c r="C1102" s="143"/>
      <c r="D1102" s="144"/>
      <c r="E1102" s="131"/>
      <c r="F1102" s="131" t="s">
        <v>200</v>
      </c>
      <c r="G1102" s="194" t="s">
        <v>247</v>
      </c>
      <c r="H1102" s="526">
        <v>1230</v>
      </c>
      <c r="I1102" s="526"/>
      <c r="J1102" s="526">
        <f t="shared" si="368"/>
        <v>1230</v>
      </c>
      <c r="K1102" s="145"/>
      <c r="L1102" s="396"/>
      <c r="M1102" s="396"/>
      <c r="N1102" s="396"/>
      <c r="O1102" s="145"/>
      <c r="P1102" s="167">
        <f t="shared" si="365"/>
        <v>1230</v>
      </c>
      <c r="Q1102" s="167">
        <f t="shared" si="372"/>
        <v>0</v>
      </c>
      <c r="R1102" s="167">
        <f t="shared" si="372"/>
        <v>1230</v>
      </c>
    </row>
    <row r="1103" spans="2:18" x14ac:dyDescent="0.2">
      <c r="B1103" s="171">
        <f t="shared" si="361"/>
        <v>570</v>
      </c>
      <c r="C1103" s="143"/>
      <c r="D1103" s="144"/>
      <c r="E1103" s="131"/>
      <c r="F1103" s="131" t="s">
        <v>214</v>
      </c>
      <c r="G1103" s="194" t="s">
        <v>261</v>
      </c>
      <c r="H1103" s="526">
        <v>100</v>
      </c>
      <c r="I1103" s="526"/>
      <c r="J1103" s="526">
        <f t="shared" si="368"/>
        <v>100</v>
      </c>
      <c r="K1103" s="145"/>
      <c r="L1103" s="396"/>
      <c r="M1103" s="396"/>
      <c r="N1103" s="396"/>
      <c r="O1103" s="145"/>
      <c r="P1103" s="167">
        <f t="shared" si="365"/>
        <v>100</v>
      </c>
      <c r="Q1103" s="167">
        <f t="shared" si="372"/>
        <v>0</v>
      </c>
      <c r="R1103" s="167">
        <f t="shared" si="372"/>
        <v>100</v>
      </c>
    </row>
    <row r="1104" spans="2:18" x14ac:dyDescent="0.2">
      <c r="B1104" s="171">
        <f t="shared" si="361"/>
        <v>571</v>
      </c>
      <c r="C1104" s="143"/>
      <c r="D1104" s="144"/>
      <c r="E1104" s="131"/>
      <c r="F1104" s="131" t="s">
        <v>216</v>
      </c>
      <c r="G1104" s="194" t="s">
        <v>248</v>
      </c>
      <c r="H1104" s="526">
        <v>840</v>
      </c>
      <c r="I1104" s="526"/>
      <c r="J1104" s="526">
        <f t="shared" si="368"/>
        <v>840</v>
      </c>
      <c r="K1104" s="145"/>
      <c r="L1104" s="396"/>
      <c r="M1104" s="396"/>
      <c r="N1104" s="396"/>
      <c r="O1104" s="145"/>
      <c r="P1104" s="167">
        <f t="shared" si="365"/>
        <v>840</v>
      </c>
      <c r="Q1104" s="167">
        <f t="shared" ref="Q1104:R1119" si="377">I1104+M1104</f>
        <v>0</v>
      </c>
      <c r="R1104" s="167">
        <f t="shared" si="377"/>
        <v>840</v>
      </c>
    </row>
    <row r="1105" spans="2:18" x14ac:dyDescent="0.2">
      <c r="B1105" s="171">
        <f t="shared" si="361"/>
        <v>572</v>
      </c>
      <c r="C1105" s="130"/>
      <c r="D1105" s="131"/>
      <c r="E1105" s="169"/>
      <c r="F1105" s="436" t="s">
        <v>606</v>
      </c>
      <c r="G1105" s="488" t="s">
        <v>657</v>
      </c>
      <c r="H1105" s="399"/>
      <c r="I1105" s="399"/>
      <c r="J1105" s="399">
        <f t="shared" si="368"/>
        <v>0</v>
      </c>
      <c r="K1105" s="339"/>
      <c r="L1105" s="402">
        <f>2880+60-312</f>
        <v>2628</v>
      </c>
      <c r="M1105" s="402"/>
      <c r="N1105" s="402">
        <f t="shared" si="362"/>
        <v>2628</v>
      </c>
      <c r="O1105" s="339"/>
      <c r="P1105" s="166">
        <f t="shared" si="365"/>
        <v>2628</v>
      </c>
      <c r="Q1105" s="166">
        <f t="shared" si="377"/>
        <v>0</v>
      </c>
      <c r="R1105" s="166">
        <f t="shared" si="377"/>
        <v>2628</v>
      </c>
    </row>
    <row r="1106" spans="2:18" ht="15" x14ac:dyDescent="0.25">
      <c r="B1106" s="171">
        <f t="shared" si="361"/>
        <v>573</v>
      </c>
      <c r="C1106" s="143"/>
      <c r="D1106" s="261" t="s">
        <v>358</v>
      </c>
      <c r="E1106" s="175" t="s">
        <v>404</v>
      </c>
      <c r="F1106" s="147" t="s">
        <v>411</v>
      </c>
      <c r="G1106" s="236"/>
      <c r="H1106" s="487">
        <f>SUM(H1107:H1109)+H1113</f>
        <v>14327</v>
      </c>
      <c r="I1106" s="487">
        <f t="shared" ref="I1106" si="378">SUM(I1107:I1109)+I1113</f>
        <v>0</v>
      </c>
      <c r="J1106" s="487">
        <f t="shared" si="368"/>
        <v>14327</v>
      </c>
      <c r="K1106" s="334"/>
      <c r="L1106" s="849"/>
      <c r="M1106" s="849"/>
      <c r="N1106" s="849"/>
      <c r="O1106" s="334"/>
      <c r="P1106" s="330">
        <f t="shared" si="365"/>
        <v>14327</v>
      </c>
      <c r="Q1106" s="330">
        <f t="shared" si="377"/>
        <v>0</v>
      </c>
      <c r="R1106" s="330">
        <f t="shared" si="377"/>
        <v>14327</v>
      </c>
    </row>
    <row r="1107" spans="2:18" x14ac:dyDescent="0.2">
      <c r="B1107" s="171">
        <f t="shared" si="361"/>
        <v>574</v>
      </c>
      <c r="C1107" s="143"/>
      <c r="D1107" s="144"/>
      <c r="E1107" s="131"/>
      <c r="F1107" s="144" t="s">
        <v>211</v>
      </c>
      <c r="G1107" s="199" t="s">
        <v>505</v>
      </c>
      <c r="H1107" s="388">
        <f>9850+493-1918</f>
        <v>8425</v>
      </c>
      <c r="I1107" s="388"/>
      <c r="J1107" s="388">
        <f t="shared" si="368"/>
        <v>8425</v>
      </c>
      <c r="K1107" s="145"/>
      <c r="L1107" s="396"/>
      <c r="M1107" s="396"/>
      <c r="N1107" s="396"/>
      <c r="O1107" s="145"/>
      <c r="P1107" s="166">
        <f t="shared" si="365"/>
        <v>8425</v>
      </c>
      <c r="Q1107" s="166">
        <f t="shared" si="377"/>
        <v>0</v>
      </c>
      <c r="R1107" s="166">
        <f t="shared" si="377"/>
        <v>8425</v>
      </c>
    </row>
    <row r="1108" spans="2:18" x14ac:dyDescent="0.2">
      <c r="B1108" s="171">
        <f t="shared" si="361"/>
        <v>575</v>
      </c>
      <c r="C1108" s="143"/>
      <c r="D1108" s="144"/>
      <c r="E1108" s="131"/>
      <c r="F1108" s="144" t="s">
        <v>212</v>
      </c>
      <c r="G1108" s="199" t="s">
        <v>259</v>
      </c>
      <c r="H1108" s="388">
        <f>3644+182-379</f>
        <v>3447</v>
      </c>
      <c r="I1108" s="388"/>
      <c r="J1108" s="388">
        <f t="shared" si="368"/>
        <v>3447</v>
      </c>
      <c r="K1108" s="145"/>
      <c r="L1108" s="396"/>
      <c r="M1108" s="396"/>
      <c r="N1108" s="396"/>
      <c r="O1108" s="145"/>
      <c r="P1108" s="166">
        <f t="shared" si="365"/>
        <v>3447</v>
      </c>
      <c r="Q1108" s="166">
        <f t="shared" si="377"/>
        <v>0</v>
      </c>
      <c r="R1108" s="166">
        <f t="shared" si="377"/>
        <v>3447</v>
      </c>
    </row>
    <row r="1109" spans="2:18" x14ac:dyDescent="0.2">
      <c r="B1109" s="171">
        <f t="shared" si="361"/>
        <v>576</v>
      </c>
      <c r="C1109" s="143"/>
      <c r="D1109" s="144"/>
      <c r="E1109" s="131"/>
      <c r="F1109" s="144" t="s">
        <v>218</v>
      </c>
      <c r="G1109" s="199" t="s">
        <v>340</v>
      </c>
      <c r="H1109" s="388">
        <f>SUM(H1110:H1112)</f>
        <v>1595</v>
      </c>
      <c r="I1109" s="388"/>
      <c r="J1109" s="388">
        <f t="shared" si="368"/>
        <v>1595</v>
      </c>
      <c r="K1109" s="145"/>
      <c r="L1109" s="396"/>
      <c r="M1109" s="396"/>
      <c r="N1109" s="396"/>
      <c r="O1109" s="145"/>
      <c r="P1109" s="166">
        <f t="shared" si="365"/>
        <v>1595</v>
      </c>
      <c r="Q1109" s="166">
        <f t="shared" si="377"/>
        <v>0</v>
      </c>
      <c r="R1109" s="166">
        <f t="shared" si="377"/>
        <v>1595</v>
      </c>
    </row>
    <row r="1110" spans="2:18" x14ac:dyDescent="0.2">
      <c r="B1110" s="171">
        <f t="shared" si="361"/>
        <v>577</v>
      </c>
      <c r="C1110" s="143"/>
      <c r="D1110" s="144"/>
      <c r="E1110" s="131"/>
      <c r="F1110" s="131" t="s">
        <v>200</v>
      </c>
      <c r="G1110" s="194" t="s">
        <v>247</v>
      </c>
      <c r="H1110" s="526">
        <v>815</v>
      </c>
      <c r="I1110" s="526"/>
      <c r="J1110" s="526">
        <f t="shared" si="368"/>
        <v>815</v>
      </c>
      <c r="K1110" s="145"/>
      <c r="L1110" s="396"/>
      <c r="M1110" s="396"/>
      <c r="N1110" s="396"/>
      <c r="O1110" s="145"/>
      <c r="P1110" s="167">
        <f t="shared" si="365"/>
        <v>815</v>
      </c>
      <c r="Q1110" s="167">
        <f t="shared" si="377"/>
        <v>0</v>
      </c>
      <c r="R1110" s="167">
        <f t="shared" si="377"/>
        <v>815</v>
      </c>
    </row>
    <row r="1111" spans="2:18" x14ac:dyDescent="0.2">
      <c r="B1111" s="171">
        <f t="shared" si="361"/>
        <v>578</v>
      </c>
      <c r="C1111" s="143"/>
      <c r="D1111" s="144"/>
      <c r="E1111" s="131"/>
      <c r="F1111" s="131" t="s">
        <v>214</v>
      </c>
      <c r="G1111" s="194" t="s">
        <v>261</v>
      </c>
      <c r="H1111" s="526">
        <v>60</v>
      </c>
      <c r="I1111" s="526"/>
      <c r="J1111" s="526">
        <f t="shared" si="368"/>
        <v>60</v>
      </c>
      <c r="K1111" s="145"/>
      <c r="L1111" s="396"/>
      <c r="M1111" s="396"/>
      <c r="N1111" s="396"/>
      <c r="O1111" s="145"/>
      <c r="P1111" s="167">
        <f t="shared" si="365"/>
        <v>60</v>
      </c>
      <c r="Q1111" s="167">
        <f t="shared" si="377"/>
        <v>0</v>
      </c>
      <c r="R1111" s="167">
        <f t="shared" si="377"/>
        <v>60</v>
      </c>
    </row>
    <row r="1112" spans="2:18" x14ac:dyDescent="0.2">
      <c r="B1112" s="171">
        <f t="shared" si="361"/>
        <v>579</v>
      </c>
      <c r="C1112" s="143"/>
      <c r="D1112" s="144"/>
      <c r="E1112" s="131"/>
      <c r="F1112" s="131" t="s">
        <v>216</v>
      </c>
      <c r="G1112" s="194" t="s">
        <v>248</v>
      </c>
      <c r="H1112" s="526">
        <v>720</v>
      </c>
      <c r="I1112" s="526"/>
      <c r="J1112" s="526">
        <f t="shared" si="368"/>
        <v>720</v>
      </c>
      <c r="K1112" s="145"/>
      <c r="L1112" s="396"/>
      <c r="M1112" s="396"/>
      <c r="N1112" s="396"/>
      <c r="O1112" s="145"/>
      <c r="P1112" s="167">
        <f t="shared" si="365"/>
        <v>720</v>
      </c>
      <c r="Q1112" s="167">
        <f t="shared" si="377"/>
        <v>0</v>
      </c>
      <c r="R1112" s="167">
        <f t="shared" si="377"/>
        <v>720</v>
      </c>
    </row>
    <row r="1113" spans="2:18" x14ac:dyDescent="0.2">
      <c r="B1113" s="171">
        <f t="shared" si="361"/>
        <v>580</v>
      </c>
      <c r="C1113" s="143"/>
      <c r="D1113" s="144"/>
      <c r="E1113" s="169"/>
      <c r="F1113" s="144" t="s">
        <v>217</v>
      </c>
      <c r="G1113" s="199" t="s">
        <v>504</v>
      </c>
      <c r="H1113" s="388">
        <v>860</v>
      </c>
      <c r="I1113" s="388"/>
      <c r="J1113" s="388">
        <f t="shared" si="368"/>
        <v>860</v>
      </c>
      <c r="K1113" s="145"/>
      <c r="L1113" s="396"/>
      <c r="M1113" s="396"/>
      <c r="N1113" s="396"/>
      <c r="O1113" s="145"/>
      <c r="P1113" s="166">
        <f t="shared" si="365"/>
        <v>860</v>
      </c>
      <c r="Q1113" s="166">
        <f t="shared" si="377"/>
        <v>0</v>
      </c>
      <c r="R1113" s="166">
        <f t="shared" si="377"/>
        <v>860</v>
      </c>
    </row>
    <row r="1114" spans="2:18" ht="15" x14ac:dyDescent="0.25">
      <c r="B1114" s="171">
        <f t="shared" si="361"/>
        <v>581</v>
      </c>
      <c r="C1114" s="143"/>
      <c r="D1114" s="261" t="s">
        <v>360</v>
      </c>
      <c r="E1114" s="175" t="s">
        <v>404</v>
      </c>
      <c r="F1114" s="147" t="s">
        <v>412</v>
      </c>
      <c r="G1114" s="236"/>
      <c r="H1114" s="425">
        <f>SUM(H1115:H1117)</f>
        <v>18768</v>
      </c>
      <c r="I1114" s="425">
        <f t="shared" ref="I1114" si="379">SUM(I1115:I1117)</f>
        <v>0</v>
      </c>
      <c r="J1114" s="425">
        <f t="shared" si="368"/>
        <v>18768</v>
      </c>
      <c r="K1114" s="334"/>
      <c r="L1114" s="849">
        <f>L1121</f>
        <v>580</v>
      </c>
      <c r="M1114" s="849">
        <f t="shared" ref="M1114" si="380">M1121</f>
        <v>0</v>
      </c>
      <c r="N1114" s="849">
        <f t="shared" si="362"/>
        <v>580</v>
      </c>
      <c r="O1114" s="334"/>
      <c r="P1114" s="330">
        <f t="shared" si="365"/>
        <v>19348</v>
      </c>
      <c r="Q1114" s="330">
        <f t="shared" si="377"/>
        <v>0</v>
      </c>
      <c r="R1114" s="330">
        <f t="shared" si="377"/>
        <v>19348</v>
      </c>
    </row>
    <row r="1115" spans="2:18" x14ac:dyDescent="0.2">
      <c r="B1115" s="171">
        <f t="shared" si="361"/>
        <v>582</v>
      </c>
      <c r="C1115" s="143"/>
      <c r="D1115" s="144"/>
      <c r="E1115" s="131"/>
      <c r="F1115" s="144" t="s">
        <v>211</v>
      </c>
      <c r="G1115" s="199" t="s">
        <v>505</v>
      </c>
      <c r="H1115" s="388">
        <f>12135+607-292</f>
        <v>12450</v>
      </c>
      <c r="I1115" s="388"/>
      <c r="J1115" s="388">
        <f t="shared" si="368"/>
        <v>12450</v>
      </c>
      <c r="K1115" s="145"/>
      <c r="L1115" s="396"/>
      <c r="M1115" s="396"/>
      <c r="N1115" s="396"/>
      <c r="O1115" s="145"/>
      <c r="P1115" s="166">
        <f t="shared" si="365"/>
        <v>12450</v>
      </c>
      <c r="Q1115" s="166">
        <f t="shared" si="377"/>
        <v>0</v>
      </c>
      <c r="R1115" s="166">
        <f t="shared" si="377"/>
        <v>12450</v>
      </c>
    </row>
    <row r="1116" spans="2:18" x14ac:dyDescent="0.2">
      <c r="B1116" s="171">
        <f t="shared" si="361"/>
        <v>583</v>
      </c>
      <c r="C1116" s="143"/>
      <c r="D1116" s="144"/>
      <c r="E1116" s="131"/>
      <c r="F1116" s="144" t="s">
        <v>212</v>
      </c>
      <c r="G1116" s="199" t="s">
        <v>259</v>
      </c>
      <c r="H1116" s="388">
        <f>4490+225-122</f>
        <v>4593</v>
      </c>
      <c r="I1116" s="388"/>
      <c r="J1116" s="388">
        <f t="shared" si="368"/>
        <v>4593</v>
      </c>
      <c r="K1116" s="145"/>
      <c r="L1116" s="396"/>
      <c r="M1116" s="396"/>
      <c r="N1116" s="396"/>
      <c r="O1116" s="145"/>
      <c r="P1116" s="166">
        <f t="shared" si="365"/>
        <v>4593</v>
      </c>
      <c r="Q1116" s="166">
        <f t="shared" si="377"/>
        <v>0</v>
      </c>
      <c r="R1116" s="166">
        <f t="shared" si="377"/>
        <v>4593</v>
      </c>
    </row>
    <row r="1117" spans="2:18" x14ac:dyDescent="0.2">
      <c r="B1117" s="171">
        <f t="shared" si="361"/>
        <v>584</v>
      </c>
      <c r="C1117" s="143"/>
      <c r="D1117" s="144"/>
      <c r="E1117" s="131"/>
      <c r="F1117" s="144" t="s">
        <v>218</v>
      </c>
      <c r="G1117" s="199" t="s">
        <v>340</v>
      </c>
      <c r="H1117" s="388">
        <f>SUM(H1118:H1120)</f>
        <v>1725</v>
      </c>
      <c r="I1117" s="388"/>
      <c r="J1117" s="388">
        <f t="shared" si="368"/>
        <v>1725</v>
      </c>
      <c r="K1117" s="145"/>
      <c r="L1117" s="396"/>
      <c r="M1117" s="396"/>
      <c r="N1117" s="396"/>
      <c r="O1117" s="145"/>
      <c r="P1117" s="166">
        <f t="shared" si="365"/>
        <v>1725</v>
      </c>
      <c r="Q1117" s="166">
        <f t="shared" si="377"/>
        <v>0</v>
      </c>
      <c r="R1117" s="166">
        <f t="shared" si="377"/>
        <v>1725</v>
      </c>
    </row>
    <row r="1118" spans="2:18" x14ac:dyDescent="0.2">
      <c r="B1118" s="618">
        <f t="shared" si="361"/>
        <v>585</v>
      </c>
      <c r="C1118" s="619"/>
      <c r="D1118" s="620"/>
      <c r="E1118" s="306"/>
      <c r="F1118" s="306" t="s">
        <v>200</v>
      </c>
      <c r="G1118" s="223" t="s">
        <v>247</v>
      </c>
      <c r="H1118" s="527">
        <v>815</v>
      </c>
      <c r="I1118" s="527"/>
      <c r="J1118" s="527">
        <f t="shared" si="368"/>
        <v>815</v>
      </c>
      <c r="K1118" s="145"/>
      <c r="L1118" s="396"/>
      <c r="M1118" s="396"/>
      <c r="N1118" s="396"/>
      <c r="O1118" s="145"/>
      <c r="P1118" s="167">
        <f t="shared" si="365"/>
        <v>815</v>
      </c>
      <c r="Q1118" s="167">
        <f t="shared" si="377"/>
        <v>0</v>
      </c>
      <c r="R1118" s="167">
        <f t="shared" si="377"/>
        <v>815</v>
      </c>
    </row>
    <row r="1119" spans="2:18" x14ac:dyDescent="0.2">
      <c r="B1119" s="622">
        <f t="shared" si="361"/>
        <v>586</v>
      </c>
      <c r="C1119" s="289"/>
      <c r="D1119" s="284"/>
      <c r="E1119" s="290"/>
      <c r="F1119" s="290" t="s">
        <v>214</v>
      </c>
      <c r="G1119" s="202" t="s">
        <v>261</v>
      </c>
      <c r="H1119" s="526">
        <v>100</v>
      </c>
      <c r="I1119" s="526"/>
      <c r="J1119" s="526">
        <f t="shared" si="368"/>
        <v>100</v>
      </c>
      <c r="K1119" s="243"/>
      <c r="L1119" s="388"/>
      <c r="M1119" s="388"/>
      <c r="N1119" s="388"/>
      <c r="O1119" s="243"/>
      <c r="P1119" s="168">
        <f t="shared" si="365"/>
        <v>100</v>
      </c>
      <c r="Q1119" s="168">
        <f t="shared" si="377"/>
        <v>0</v>
      </c>
      <c r="R1119" s="168">
        <f t="shared" si="377"/>
        <v>100</v>
      </c>
    </row>
    <row r="1120" spans="2:18" x14ac:dyDescent="0.2">
      <c r="B1120" s="622">
        <f t="shared" si="361"/>
        <v>587</v>
      </c>
      <c r="C1120" s="289"/>
      <c r="D1120" s="284"/>
      <c r="E1120" s="290"/>
      <c r="F1120" s="290" t="s">
        <v>216</v>
      </c>
      <c r="G1120" s="202" t="s">
        <v>248</v>
      </c>
      <c r="H1120" s="526">
        <v>810</v>
      </c>
      <c r="I1120" s="526"/>
      <c r="J1120" s="526">
        <f t="shared" si="368"/>
        <v>810</v>
      </c>
      <c r="K1120" s="243"/>
      <c r="L1120" s="388"/>
      <c r="M1120" s="388"/>
      <c r="N1120" s="388"/>
      <c r="O1120" s="243"/>
      <c r="P1120" s="168">
        <f t="shared" si="365"/>
        <v>810</v>
      </c>
      <c r="Q1120" s="168">
        <f t="shared" ref="Q1120:R1135" si="381">I1120+M1120</f>
        <v>0</v>
      </c>
      <c r="R1120" s="168">
        <f t="shared" si="381"/>
        <v>810</v>
      </c>
    </row>
    <row r="1121" spans="2:18" x14ac:dyDescent="0.2">
      <c r="B1121" s="622">
        <f t="shared" si="361"/>
        <v>588</v>
      </c>
      <c r="C1121" s="289"/>
      <c r="D1121" s="284"/>
      <c r="E1121" s="290"/>
      <c r="F1121" s="284" t="s">
        <v>606</v>
      </c>
      <c r="G1121" s="203" t="s">
        <v>725</v>
      </c>
      <c r="H1121" s="526"/>
      <c r="I1121" s="526"/>
      <c r="J1121" s="526">
        <f t="shared" si="368"/>
        <v>0</v>
      </c>
      <c r="K1121" s="243"/>
      <c r="L1121" s="388">
        <f>600-20</f>
        <v>580</v>
      </c>
      <c r="M1121" s="388"/>
      <c r="N1121" s="388">
        <f t="shared" si="362"/>
        <v>580</v>
      </c>
      <c r="O1121" s="243"/>
      <c r="P1121" s="530">
        <f t="shared" si="365"/>
        <v>580</v>
      </c>
      <c r="Q1121" s="530">
        <f t="shared" si="381"/>
        <v>0</v>
      </c>
      <c r="R1121" s="530">
        <f t="shared" si="381"/>
        <v>580</v>
      </c>
    </row>
    <row r="1122" spans="2:18" ht="15" x14ac:dyDescent="0.25">
      <c r="B1122" s="622">
        <f t="shared" si="361"/>
        <v>589</v>
      </c>
      <c r="C1122" s="289"/>
      <c r="D1122" s="284"/>
      <c r="E1122" s="623" t="s">
        <v>510</v>
      </c>
      <c r="F1122" s="290"/>
      <c r="G1122" s="202"/>
      <c r="H1122" s="431">
        <f>H1123+H1144+H1163+H1185+H1204+H1223+H1244+H1264</f>
        <v>665135</v>
      </c>
      <c r="I1122" s="431">
        <f t="shared" ref="I1122" si="382">I1123+I1144+I1163+I1185+I1204+I1223+I1244+I1264</f>
        <v>6500</v>
      </c>
      <c r="J1122" s="431">
        <f t="shared" si="368"/>
        <v>671635</v>
      </c>
      <c r="K1122" s="243"/>
      <c r="L1122" s="388">
        <f>L1123+L1144+L1163+L1185+L1204+L1223+L1244+L1264</f>
        <v>67202</v>
      </c>
      <c r="M1122" s="388">
        <f>M1123+M1144+M1163+M1185+M1204+M1223+M1244+M1264</f>
        <v>0</v>
      </c>
      <c r="N1122" s="388">
        <f t="shared" si="362"/>
        <v>67202</v>
      </c>
      <c r="O1122" s="243"/>
      <c r="P1122" s="530">
        <f t="shared" si="365"/>
        <v>732337</v>
      </c>
      <c r="Q1122" s="530">
        <f t="shared" si="381"/>
        <v>6500</v>
      </c>
      <c r="R1122" s="530">
        <f t="shared" si="381"/>
        <v>738837</v>
      </c>
    </row>
    <row r="1123" spans="2:18" ht="15" x14ac:dyDescent="0.25">
      <c r="B1123" s="622">
        <f t="shared" si="361"/>
        <v>590</v>
      </c>
      <c r="C1123" s="289"/>
      <c r="D1123" s="624" t="s">
        <v>362</v>
      </c>
      <c r="E1123" s="175"/>
      <c r="F1123" s="355" t="s">
        <v>377</v>
      </c>
      <c r="G1123" s="236"/>
      <c r="H1123" s="425">
        <f>H1124+H1134</f>
        <v>92290</v>
      </c>
      <c r="I1123" s="425">
        <f t="shared" ref="I1123" si="383">I1124+I1134</f>
        <v>6500</v>
      </c>
      <c r="J1123" s="425">
        <f t="shared" si="368"/>
        <v>98790</v>
      </c>
      <c r="K1123" s="625"/>
      <c r="L1123" s="426"/>
      <c r="M1123" s="426"/>
      <c r="N1123" s="426"/>
      <c r="O1123" s="625"/>
      <c r="P1123" s="345">
        <f t="shared" si="365"/>
        <v>92290</v>
      </c>
      <c r="Q1123" s="345">
        <f t="shared" si="381"/>
        <v>6500</v>
      </c>
      <c r="R1123" s="345">
        <f t="shared" si="381"/>
        <v>98790</v>
      </c>
    </row>
    <row r="1124" spans="2:18" ht="14.25" x14ac:dyDescent="0.2">
      <c r="B1124" s="622">
        <f t="shared" si="361"/>
        <v>591</v>
      </c>
      <c r="C1124" s="77"/>
      <c r="D1124" s="626"/>
      <c r="E1124" s="627" t="s">
        <v>688</v>
      </c>
      <c r="F1124" s="628" t="s">
        <v>691</v>
      </c>
      <c r="G1124" s="629"/>
      <c r="H1124" s="523">
        <f>H1125+H1126+H1127+H1133</f>
        <v>36916</v>
      </c>
      <c r="I1124" s="523">
        <f t="shared" ref="I1124" si="384">I1125+I1126+I1127+I1133</f>
        <v>0</v>
      </c>
      <c r="J1124" s="523">
        <f t="shared" si="368"/>
        <v>36916</v>
      </c>
      <c r="K1124" s="630"/>
      <c r="L1124" s="856"/>
      <c r="M1124" s="856"/>
      <c r="N1124" s="856"/>
      <c r="O1124" s="630"/>
      <c r="P1124" s="520">
        <f t="shared" si="365"/>
        <v>36916</v>
      </c>
      <c r="Q1124" s="520">
        <f t="shared" si="381"/>
        <v>0</v>
      </c>
      <c r="R1124" s="520">
        <f t="shared" si="381"/>
        <v>36916</v>
      </c>
    </row>
    <row r="1125" spans="2:18" x14ac:dyDescent="0.2">
      <c r="B1125" s="622">
        <f t="shared" si="361"/>
        <v>592</v>
      </c>
      <c r="C1125" s="289"/>
      <c r="D1125" s="284"/>
      <c r="E1125" s="290"/>
      <c r="F1125" s="284" t="s">
        <v>211</v>
      </c>
      <c r="G1125" s="203" t="s">
        <v>505</v>
      </c>
      <c r="H1125" s="529">
        <f>21840+1092</f>
        <v>22932</v>
      </c>
      <c r="I1125" s="529">
        <v>-4300</v>
      </c>
      <c r="J1125" s="529">
        <f t="shared" si="368"/>
        <v>18632</v>
      </c>
      <c r="K1125" s="341"/>
      <c r="L1125" s="529"/>
      <c r="M1125" s="529"/>
      <c r="N1125" s="529"/>
      <c r="O1125" s="341"/>
      <c r="P1125" s="530">
        <f t="shared" si="365"/>
        <v>22932</v>
      </c>
      <c r="Q1125" s="530">
        <f t="shared" si="381"/>
        <v>-4300</v>
      </c>
      <c r="R1125" s="530">
        <f t="shared" si="381"/>
        <v>18632</v>
      </c>
    </row>
    <row r="1126" spans="2:18" x14ac:dyDescent="0.2">
      <c r="B1126" s="171">
        <f t="shared" si="361"/>
        <v>593</v>
      </c>
      <c r="C1126" s="143"/>
      <c r="D1126" s="144"/>
      <c r="E1126" s="131"/>
      <c r="F1126" s="144" t="s">
        <v>212</v>
      </c>
      <c r="G1126" s="199" t="s">
        <v>259</v>
      </c>
      <c r="H1126" s="462">
        <f>7644+382</f>
        <v>8026</v>
      </c>
      <c r="I1126" s="462">
        <v>-1200</v>
      </c>
      <c r="J1126" s="462">
        <f t="shared" si="368"/>
        <v>6826</v>
      </c>
      <c r="K1126" s="336"/>
      <c r="L1126" s="865"/>
      <c r="M1126" s="865"/>
      <c r="N1126" s="865"/>
      <c r="O1126" s="336"/>
      <c r="P1126" s="621">
        <f t="shared" si="365"/>
        <v>8026</v>
      </c>
      <c r="Q1126" s="621">
        <f t="shared" si="381"/>
        <v>-1200</v>
      </c>
      <c r="R1126" s="621">
        <f t="shared" si="381"/>
        <v>6826</v>
      </c>
    </row>
    <row r="1127" spans="2:18" x14ac:dyDescent="0.2">
      <c r="B1127" s="171">
        <f t="shared" ref="B1127:B1190" si="385">B1126+1</f>
        <v>594</v>
      </c>
      <c r="C1127" s="143"/>
      <c r="D1127" s="144"/>
      <c r="E1127" s="131"/>
      <c r="F1127" s="144" t="s">
        <v>218</v>
      </c>
      <c r="G1127" s="199" t="s">
        <v>340</v>
      </c>
      <c r="H1127" s="529">
        <f>SUM(H1128:H1132)</f>
        <v>5858</v>
      </c>
      <c r="I1127" s="529">
        <f>SUM(I1128:I1132)</f>
        <v>4040</v>
      </c>
      <c r="J1127" s="529">
        <f t="shared" si="368"/>
        <v>9898</v>
      </c>
      <c r="K1127" s="336"/>
      <c r="L1127" s="402"/>
      <c r="M1127" s="402"/>
      <c r="N1127" s="402"/>
      <c r="O1127" s="336"/>
      <c r="P1127" s="166">
        <f t="shared" si="365"/>
        <v>5858</v>
      </c>
      <c r="Q1127" s="166">
        <f t="shared" si="381"/>
        <v>4040</v>
      </c>
      <c r="R1127" s="166">
        <f t="shared" si="381"/>
        <v>9898</v>
      </c>
    </row>
    <row r="1128" spans="2:18" x14ac:dyDescent="0.2">
      <c r="B1128" s="171">
        <f t="shared" si="385"/>
        <v>595</v>
      </c>
      <c r="C1128" s="143"/>
      <c r="D1128" s="144"/>
      <c r="E1128" s="131"/>
      <c r="F1128" s="131" t="s">
        <v>213</v>
      </c>
      <c r="G1128" s="194" t="s">
        <v>255</v>
      </c>
      <c r="H1128" s="399">
        <v>20</v>
      </c>
      <c r="I1128" s="399">
        <v>-20</v>
      </c>
      <c r="J1128" s="399">
        <f t="shared" si="368"/>
        <v>0</v>
      </c>
      <c r="K1128" s="336"/>
      <c r="L1128" s="402"/>
      <c r="M1128" s="402"/>
      <c r="N1128" s="402"/>
      <c r="O1128" s="336"/>
      <c r="P1128" s="167">
        <f t="shared" si="365"/>
        <v>20</v>
      </c>
      <c r="Q1128" s="167">
        <f t="shared" si="381"/>
        <v>-20</v>
      </c>
      <c r="R1128" s="167">
        <f t="shared" si="381"/>
        <v>0</v>
      </c>
    </row>
    <row r="1129" spans="2:18" x14ac:dyDescent="0.2">
      <c r="B1129" s="171">
        <f t="shared" si="385"/>
        <v>596</v>
      </c>
      <c r="C1129" s="143"/>
      <c r="D1129" s="144"/>
      <c r="E1129" s="131"/>
      <c r="F1129" s="131" t="s">
        <v>199</v>
      </c>
      <c r="G1129" s="194" t="s">
        <v>318</v>
      </c>
      <c r="H1129" s="399">
        <v>1824</v>
      </c>
      <c r="I1129" s="399">
        <v>136</v>
      </c>
      <c r="J1129" s="399">
        <f t="shared" si="368"/>
        <v>1960</v>
      </c>
      <c r="K1129" s="336"/>
      <c r="L1129" s="402"/>
      <c r="M1129" s="402"/>
      <c r="N1129" s="402"/>
      <c r="O1129" s="336"/>
      <c r="P1129" s="167">
        <f t="shared" si="365"/>
        <v>1824</v>
      </c>
      <c r="Q1129" s="167">
        <f t="shared" si="381"/>
        <v>136</v>
      </c>
      <c r="R1129" s="167">
        <f t="shared" si="381"/>
        <v>1960</v>
      </c>
    </row>
    <row r="1130" spans="2:18" x14ac:dyDescent="0.2">
      <c r="B1130" s="171">
        <f t="shared" si="385"/>
        <v>597</v>
      </c>
      <c r="C1130" s="143"/>
      <c r="D1130" s="144"/>
      <c r="E1130" s="131"/>
      <c r="F1130" s="131" t="s">
        <v>200</v>
      </c>
      <c r="G1130" s="194" t="s">
        <v>247</v>
      </c>
      <c r="H1130" s="399">
        <v>1530</v>
      </c>
      <c r="I1130" s="399">
        <v>2744</v>
      </c>
      <c r="J1130" s="399">
        <f t="shared" si="368"/>
        <v>4274</v>
      </c>
      <c r="K1130" s="336"/>
      <c r="L1130" s="402"/>
      <c r="M1130" s="402"/>
      <c r="N1130" s="402"/>
      <c r="O1130" s="336"/>
      <c r="P1130" s="167">
        <f t="shared" si="365"/>
        <v>1530</v>
      </c>
      <c r="Q1130" s="167">
        <f t="shared" si="381"/>
        <v>2744</v>
      </c>
      <c r="R1130" s="167">
        <f t="shared" si="381"/>
        <v>4274</v>
      </c>
    </row>
    <row r="1131" spans="2:18" x14ac:dyDescent="0.2">
      <c r="B1131" s="171">
        <f t="shared" si="385"/>
        <v>598</v>
      </c>
      <c r="C1131" s="289"/>
      <c r="D1131" s="284"/>
      <c r="E1131" s="290"/>
      <c r="F1131" s="290" t="s">
        <v>214</v>
      </c>
      <c r="G1131" s="202" t="s">
        <v>261</v>
      </c>
      <c r="H1131" s="399">
        <v>340</v>
      </c>
      <c r="I1131" s="399">
        <v>1180</v>
      </c>
      <c r="J1131" s="399">
        <f t="shared" si="368"/>
        <v>1520</v>
      </c>
      <c r="K1131" s="336"/>
      <c r="L1131" s="402"/>
      <c r="M1131" s="402"/>
      <c r="N1131" s="402"/>
      <c r="O1131" s="336"/>
      <c r="P1131" s="167">
        <f t="shared" si="365"/>
        <v>340</v>
      </c>
      <c r="Q1131" s="167">
        <f t="shared" si="381"/>
        <v>1180</v>
      </c>
      <c r="R1131" s="167">
        <f t="shared" si="381"/>
        <v>1520</v>
      </c>
    </row>
    <row r="1132" spans="2:18" x14ac:dyDescent="0.2">
      <c r="B1132" s="171">
        <f t="shared" si="385"/>
        <v>599</v>
      </c>
      <c r="C1132" s="143"/>
      <c r="D1132" s="144"/>
      <c r="E1132" s="131"/>
      <c r="F1132" s="131" t="s">
        <v>216</v>
      </c>
      <c r="G1132" s="194" t="s">
        <v>248</v>
      </c>
      <c r="H1132" s="399">
        <v>2144</v>
      </c>
      <c r="I1132" s="399"/>
      <c r="J1132" s="399">
        <f t="shared" si="368"/>
        <v>2144</v>
      </c>
      <c r="K1132" s="336"/>
      <c r="L1132" s="529"/>
      <c r="M1132" s="529"/>
      <c r="N1132" s="529"/>
      <c r="O1132" s="336"/>
      <c r="P1132" s="168">
        <f t="shared" si="365"/>
        <v>2144</v>
      </c>
      <c r="Q1132" s="168">
        <f t="shared" si="381"/>
        <v>0</v>
      </c>
      <c r="R1132" s="168">
        <f t="shared" si="381"/>
        <v>2144</v>
      </c>
    </row>
    <row r="1133" spans="2:18" x14ac:dyDescent="0.2">
      <c r="B1133" s="171">
        <f t="shared" si="385"/>
        <v>600</v>
      </c>
      <c r="C1133" s="143"/>
      <c r="D1133" s="144"/>
      <c r="E1133" s="131"/>
      <c r="F1133" s="144" t="s">
        <v>217</v>
      </c>
      <c r="G1133" s="199" t="s">
        <v>371</v>
      </c>
      <c r="H1133" s="529">
        <v>100</v>
      </c>
      <c r="I1133" s="529">
        <v>1460</v>
      </c>
      <c r="J1133" s="529">
        <f t="shared" si="368"/>
        <v>1560</v>
      </c>
      <c r="K1133" s="337"/>
      <c r="L1133" s="529"/>
      <c r="M1133" s="529"/>
      <c r="N1133" s="529"/>
      <c r="O1133" s="337"/>
      <c r="P1133" s="530">
        <f t="shared" si="365"/>
        <v>100</v>
      </c>
      <c r="Q1133" s="530">
        <f t="shared" si="381"/>
        <v>1460</v>
      </c>
      <c r="R1133" s="530">
        <f t="shared" si="381"/>
        <v>1560</v>
      </c>
    </row>
    <row r="1134" spans="2:18" ht="14.25" x14ac:dyDescent="0.2">
      <c r="B1134" s="171">
        <f t="shared" si="385"/>
        <v>601</v>
      </c>
      <c r="C1134" s="76"/>
      <c r="D1134" s="515"/>
      <c r="E1134" s="521" t="s">
        <v>689</v>
      </c>
      <c r="F1134" s="518" t="s">
        <v>690</v>
      </c>
      <c r="G1134" s="517"/>
      <c r="H1134" s="523">
        <f>H1135+H1136+H1137+H1143</f>
        <v>55374</v>
      </c>
      <c r="I1134" s="523">
        <f t="shared" ref="I1134" si="386">I1135+I1136+I1137+I1143</f>
        <v>6500</v>
      </c>
      <c r="J1134" s="523">
        <f t="shared" si="368"/>
        <v>61874</v>
      </c>
      <c r="K1134" s="333"/>
      <c r="L1134" s="856"/>
      <c r="M1134" s="856"/>
      <c r="N1134" s="856"/>
      <c r="O1134" s="333"/>
      <c r="P1134" s="520">
        <f t="shared" si="365"/>
        <v>55374</v>
      </c>
      <c r="Q1134" s="520">
        <f t="shared" si="381"/>
        <v>6500</v>
      </c>
      <c r="R1134" s="520">
        <f t="shared" si="381"/>
        <v>61874</v>
      </c>
    </row>
    <row r="1135" spans="2:18" x14ac:dyDescent="0.2">
      <c r="B1135" s="171">
        <f t="shared" si="385"/>
        <v>602</v>
      </c>
      <c r="C1135" s="143"/>
      <c r="D1135" s="144"/>
      <c r="E1135" s="169"/>
      <c r="F1135" s="144" t="s">
        <v>211</v>
      </c>
      <c r="G1135" s="199" t="s">
        <v>505</v>
      </c>
      <c r="H1135" s="529">
        <f>32760+1638</f>
        <v>34398</v>
      </c>
      <c r="I1135" s="529">
        <v>2600</v>
      </c>
      <c r="J1135" s="529">
        <f t="shared" si="368"/>
        <v>36998</v>
      </c>
      <c r="K1135" s="336"/>
      <c r="L1135" s="529"/>
      <c r="M1135" s="529"/>
      <c r="N1135" s="529"/>
      <c r="O1135" s="336"/>
      <c r="P1135" s="530">
        <f t="shared" si="365"/>
        <v>34398</v>
      </c>
      <c r="Q1135" s="530">
        <f t="shared" si="381"/>
        <v>2600</v>
      </c>
      <c r="R1135" s="530">
        <f t="shared" si="381"/>
        <v>36998</v>
      </c>
    </row>
    <row r="1136" spans="2:18" x14ac:dyDescent="0.2">
      <c r="B1136" s="171">
        <f t="shared" si="385"/>
        <v>603</v>
      </c>
      <c r="C1136" s="143"/>
      <c r="D1136" s="144"/>
      <c r="E1136" s="169"/>
      <c r="F1136" s="144" t="s">
        <v>212</v>
      </c>
      <c r="G1136" s="199" t="s">
        <v>259</v>
      </c>
      <c r="H1136" s="529">
        <f>11466+573</f>
        <v>12039</v>
      </c>
      <c r="I1136" s="529">
        <v>-1100</v>
      </c>
      <c r="J1136" s="529">
        <f t="shared" si="368"/>
        <v>10939</v>
      </c>
      <c r="K1136" s="336"/>
      <c r="L1136" s="529"/>
      <c r="M1136" s="529"/>
      <c r="N1136" s="529"/>
      <c r="O1136" s="336"/>
      <c r="P1136" s="530">
        <f t="shared" ref="P1136:P1199" si="387">H1136+L1136</f>
        <v>12039</v>
      </c>
      <c r="Q1136" s="530">
        <f t="shared" ref="Q1136:R1151" si="388">I1136+M1136</f>
        <v>-1100</v>
      </c>
      <c r="R1136" s="530">
        <f t="shared" si="388"/>
        <v>10939</v>
      </c>
    </row>
    <row r="1137" spans="2:18" x14ac:dyDescent="0.2">
      <c r="B1137" s="171">
        <f t="shared" si="385"/>
        <v>604</v>
      </c>
      <c r="C1137" s="143"/>
      <c r="D1137" s="144"/>
      <c r="E1137" s="169"/>
      <c r="F1137" s="144" t="s">
        <v>218</v>
      </c>
      <c r="G1137" s="199" t="s">
        <v>340</v>
      </c>
      <c r="H1137" s="402">
        <f>SUM(H1138:H1142)</f>
        <v>8787</v>
      </c>
      <c r="I1137" s="402">
        <f>SUM(I1138:I1142)</f>
        <v>5000</v>
      </c>
      <c r="J1137" s="402">
        <f t="shared" si="368"/>
        <v>13787</v>
      </c>
      <c r="K1137" s="336"/>
      <c r="L1137" s="529"/>
      <c r="M1137" s="529"/>
      <c r="N1137" s="529"/>
      <c r="O1137" s="336"/>
      <c r="P1137" s="530">
        <f t="shared" si="387"/>
        <v>8787</v>
      </c>
      <c r="Q1137" s="530">
        <f t="shared" si="388"/>
        <v>5000</v>
      </c>
      <c r="R1137" s="530">
        <f t="shared" si="388"/>
        <v>13787</v>
      </c>
    </row>
    <row r="1138" spans="2:18" x14ac:dyDescent="0.2">
      <c r="B1138" s="171">
        <f t="shared" si="385"/>
        <v>605</v>
      </c>
      <c r="C1138" s="143"/>
      <c r="D1138" s="144"/>
      <c r="E1138" s="169"/>
      <c r="F1138" s="131" t="s">
        <v>213</v>
      </c>
      <c r="G1138" s="194" t="s">
        <v>255</v>
      </c>
      <c r="H1138" s="434">
        <v>30</v>
      </c>
      <c r="I1138" s="434">
        <v>-30</v>
      </c>
      <c r="J1138" s="434">
        <f t="shared" ref="J1138:J1201" si="389">H1138+I1138</f>
        <v>0</v>
      </c>
      <c r="K1138" s="336"/>
      <c r="L1138" s="529"/>
      <c r="M1138" s="529"/>
      <c r="N1138" s="529"/>
      <c r="O1138" s="336"/>
      <c r="P1138" s="168">
        <f t="shared" si="387"/>
        <v>30</v>
      </c>
      <c r="Q1138" s="168">
        <f t="shared" si="388"/>
        <v>-30</v>
      </c>
      <c r="R1138" s="168">
        <f t="shared" si="388"/>
        <v>0</v>
      </c>
    </row>
    <row r="1139" spans="2:18" x14ac:dyDescent="0.2">
      <c r="B1139" s="171">
        <f t="shared" si="385"/>
        <v>606</v>
      </c>
      <c r="C1139" s="143"/>
      <c r="D1139" s="144"/>
      <c r="E1139" s="169"/>
      <c r="F1139" s="131" t="s">
        <v>199</v>
      </c>
      <c r="G1139" s="194" t="s">
        <v>318</v>
      </c>
      <c r="H1139" s="434">
        <v>2736</v>
      </c>
      <c r="I1139" s="434"/>
      <c r="J1139" s="434">
        <f t="shared" si="389"/>
        <v>2736</v>
      </c>
      <c r="K1139" s="336"/>
      <c r="L1139" s="529"/>
      <c r="M1139" s="529"/>
      <c r="N1139" s="529"/>
      <c r="O1139" s="336"/>
      <c r="P1139" s="168">
        <f t="shared" si="387"/>
        <v>2736</v>
      </c>
      <c r="Q1139" s="168">
        <f t="shared" si="388"/>
        <v>0</v>
      </c>
      <c r="R1139" s="168">
        <f t="shared" si="388"/>
        <v>2736</v>
      </c>
    </row>
    <row r="1140" spans="2:18" x14ac:dyDescent="0.2">
      <c r="B1140" s="171">
        <f t="shared" si="385"/>
        <v>607</v>
      </c>
      <c r="C1140" s="143"/>
      <c r="D1140" s="144"/>
      <c r="E1140" s="169"/>
      <c r="F1140" s="131" t="s">
        <v>200</v>
      </c>
      <c r="G1140" s="194" t="s">
        <v>247</v>
      </c>
      <c r="H1140" s="434">
        <v>2295</v>
      </c>
      <c r="I1140" s="434">
        <v>3556</v>
      </c>
      <c r="J1140" s="434">
        <f t="shared" si="389"/>
        <v>5851</v>
      </c>
      <c r="K1140" s="336"/>
      <c r="L1140" s="529"/>
      <c r="M1140" s="529"/>
      <c r="N1140" s="529"/>
      <c r="O1140" s="336"/>
      <c r="P1140" s="168">
        <f t="shared" si="387"/>
        <v>2295</v>
      </c>
      <c r="Q1140" s="168">
        <f t="shared" si="388"/>
        <v>3556</v>
      </c>
      <c r="R1140" s="168">
        <f t="shared" si="388"/>
        <v>5851</v>
      </c>
    </row>
    <row r="1141" spans="2:18" x14ac:dyDescent="0.2">
      <c r="B1141" s="171">
        <f t="shared" si="385"/>
        <v>608</v>
      </c>
      <c r="C1141" s="143"/>
      <c r="D1141" s="144"/>
      <c r="E1141" s="169"/>
      <c r="F1141" s="290" t="s">
        <v>214</v>
      </c>
      <c r="G1141" s="202" t="s">
        <v>261</v>
      </c>
      <c r="H1141" s="434">
        <v>510</v>
      </c>
      <c r="I1141" s="434">
        <v>1690</v>
      </c>
      <c r="J1141" s="434">
        <f t="shared" si="389"/>
        <v>2200</v>
      </c>
      <c r="K1141" s="336"/>
      <c r="L1141" s="529"/>
      <c r="M1141" s="529"/>
      <c r="N1141" s="529"/>
      <c r="O1141" s="336"/>
      <c r="P1141" s="168">
        <f t="shared" si="387"/>
        <v>510</v>
      </c>
      <c r="Q1141" s="168">
        <f t="shared" si="388"/>
        <v>1690</v>
      </c>
      <c r="R1141" s="168">
        <f t="shared" si="388"/>
        <v>2200</v>
      </c>
    </row>
    <row r="1142" spans="2:18" x14ac:dyDescent="0.2">
      <c r="B1142" s="171">
        <f t="shared" si="385"/>
        <v>609</v>
      </c>
      <c r="C1142" s="143"/>
      <c r="D1142" s="144"/>
      <c r="E1142" s="169"/>
      <c r="F1142" s="131" t="s">
        <v>216</v>
      </c>
      <c r="G1142" s="194" t="s">
        <v>248</v>
      </c>
      <c r="H1142" s="434">
        <v>3216</v>
      </c>
      <c r="I1142" s="434">
        <v>-216</v>
      </c>
      <c r="J1142" s="434">
        <f t="shared" si="389"/>
        <v>3000</v>
      </c>
      <c r="K1142" s="336"/>
      <c r="L1142" s="529"/>
      <c r="M1142" s="529"/>
      <c r="N1142" s="529"/>
      <c r="O1142" s="336"/>
      <c r="P1142" s="168">
        <f t="shared" si="387"/>
        <v>3216</v>
      </c>
      <c r="Q1142" s="168">
        <f t="shared" si="388"/>
        <v>-216</v>
      </c>
      <c r="R1142" s="168">
        <f t="shared" si="388"/>
        <v>3000</v>
      </c>
    </row>
    <row r="1143" spans="2:18" x14ac:dyDescent="0.2">
      <c r="B1143" s="171">
        <f t="shared" si="385"/>
        <v>610</v>
      </c>
      <c r="C1143" s="143"/>
      <c r="D1143" s="144"/>
      <c r="E1143" s="169"/>
      <c r="F1143" s="144" t="s">
        <v>217</v>
      </c>
      <c r="G1143" s="199" t="s">
        <v>371</v>
      </c>
      <c r="H1143" s="402">
        <v>150</v>
      </c>
      <c r="I1143" s="402"/>
      <c r="J1143" s="402">
        <f t="shared" si="389"/>
        <v>150</v>
      </c>
      <c r="K1143" s="336"/>
      <c r="L1143" s="529"/>
      <c r="M1143" s="529"/>
      <c r="N1143" s="529"/>
      <c r="O1143" s="336"/>
      <c r="P1143" s="530">
        <f t="shared" si="387"/>
        <v>150</v>
      </c>
      <c r="Q1143" s="530">
        <f t="shared" si="388"/>
        <v>0</v>
      </c>
      <c r="R1143" s="530">
        <f t="shared" si="388"/>
        <v>150</v>
      </c>
    </row>
    <row r="1144" spans="2:18" ht="15" x14ac:dyDescent="0.25">
      <c r="B1144" s="171">
        <f t="shared" si="385"/>
        <v>611</v>
      </c>
      <c r="C1144" s="143"/>
      <c r="D1144" s="261" t="s">
        <v>364</v>
      </c>
      <c r="E1144" s="268"/>
      <c r="F1144" s="265" t="s">
        <v>378</v>
      </c>
      <c r="G1144" s="266"/>
      <c r="H1144" s="425">
        <f>H1145+H1154</f>
        <v>75838</v>
      </c>
      <c r="I1144" s="425">
        <f t="shared" ref="I1144" si="390">I1145+I1154</f>
        <v>0</v>
      </c>
      <c r="J1144" s="425">
        <f t="shared" si="389"/>
        <v>75838</v>
      </c>
      <c r="K1144" s="334"/>
      <c r="L1144" s="426"/>
      <c r="M1144" s="426"/>
      <c r="N1144" s="426"/>
      <c r="O1144" s="334"/>
      <c r="P1144" s="345">
        <f t="shared" si="387"/>
        <v>75838</v>
      </c>
      <c r="Q1144" s="345">
        <f t="shared" si="388"/>
        <v>0</v>
      </c>
      <c r="R1144" s="345">
        <f t="shared" si="388"/>
        <v>75838</v>
      </c>
    </row>
    <row r="1145" spans="2:18" ht="14.25" x14ac:dyDescent="0.2">
      <c r="B1145" s="171">
        <f t="shared" si="385"/>
        <v>612</v>
      </c>
      <c r="C1145" s="76"/>
      <c r="D1145" s="515"/>
      <c r="E1145" s="521" t="s">
        <v>688</v>
      </c>
      <c r="F1145" s="518" t="s">
        <v>691</v>
      </c>
      <c r="G1145" s="517"/>
      <c r="H1145" s="519">
        <f>H1146+H1147+H1148+H1153</f>
        <v>32292</v>
      </c>
      <c r="I1145" s="519">
        <f t="shared" ref="I1145" si="391">I1146+I1147+I1148+I1153</f>
        <v>0</v>
      </c>
      <c r="J1145" s="519">
        <f t="shared" si="389"/>
        <v>32292</v>
      </c>
      <c r="K1145" s="333"/>
      <c r="L1145" s="856"/>
      <c r="M1145" s="856"/>
      <c r="N1145" s="856"/>
      <c r="O1145" s="333"/>
      <c r="P1145" s="520">
        <f t="shared" si="387"/>
        <v>32292</v>
      </c>
      <c r="Q1145" s="520">
        <f t="shared" si="388"/>
        <v>0</v>
      </c>
      <c r="R1145" s="520">
        <f t="shared" si="388"/>
        <v>32292</v>
      </c>
    </row>
    <row r="1146" spans="2:18" x14ac:dyDescent="0.2">
      <c r="B1146" s="171">
        <f t="shared" si="385"/>
        <v>613</v>
      </c>
      <c r="C1146" s="143"/>
      <c r="D1146" s="144"/>
      <c r="E1146" s="131"/>
      <c r="F1146" s="144" t="s">
        <v>211</v>
      </c>
      <c r="G1146" s="199" t="s">
        <v>505</v>
      </c>
      <c r="H1146" s="529">
        <f>19145+957</f>
        <v>20102</v>
      </c>
      <c r="I1146" s="529"/>
      <c r="J1146" s="529">
        <f t="shared" si="389"/>
        <v>20102</v>
      </c>
      <c r="K1146" s="336"/>
      <c r="L1146" s="529"/>
      <c r="M1146" s="529"/>
      <c r="N1146" s="529"/>
      <c r="O1146" s="336"/>
      <c r="P1146" s="530">
        <f t="shared" si="387"/>
        <v>20102</v>
      </c>
      <c r="Q1146" s="530">
        <f t="shared" si="388"/>
        <v>0</v>
      </c>
      <c r="R1146" s="530">
        <f t="shared" si="388"/>
        <v>20102</v>
      </c>
    </row>
    <row r="1147" spans="2:18" x14ac:dyDescent="0.2">
      <c r="B1147" s="171">
        <f t="shared" si="385"/>
        <v>614</v>
      </c>
      <c r="C1147" s="143"/>
      <c r="D1147" s="144"/>
      <c r="E1147" s="131"/>
      <c r="F1147" s="144" t="s">
        <v>212</v>
      </c>
      <c r="G1147" s="199" t="s">
        <v>259</v>
      </c>
      <c r="H1147" s="529">
        <f>7105+355</f>
        <v>7460</v>
      </c>
      <c r="I1147" s="529"/>
      <c r="J1147" s="529">
        <f t="shared" si="389"/>
        <v>7460</v>
      </c>
      <c r="K1147" s="336"/>
      <c r="L1147" s="529"/>
      <c r="M1147" s="529"/>
      <c r="N1147" s="529"/>
      <c r="O1147" s="336"/>
      <c r="P1147" s="166">
        <f t="shared" si="387"/>
        <v>7460</v>
      </c>
      <c r="Q1147" s="166">
        <f t="shared" si="388"/>
        <v>0</v>
      </c>
      <c r="R1147" s="166">
        <f t="shared" si="388"/>
        <v>7460</v>
      </c>
    </row>
    <row r="1148" spans="2:18" x14ac:dyDescent="0.2">
      <c r="B1148" s="171">
        <f t="shared" si="385"/>
        <v>615</v>
      </c>
      <c r="C1148" s="143"/>
      <c r="D1148" s="144"/>
      <c r="E1148" s="131"/>
      <c r="F1148" s="144" t="s">
        <v>218</v>
      </c>
      <c r="G1148" s="199" t="s">
        <v>340</v>
      </c>
      <c r="H1148" s="529">
        <f>SUM(H1149:H1152)</f>
        <v>4730</v>
      </c>
      <c r="I1148" s="529"/>
      <c r="J1148" s="529">
        <f t="shared" si="389"/>
        <v>4730</v>
      </c>
      <c r="K1148" s="336"/>
      <c r="L1148" s="529"/>
      <c r="M1148" s="529"/>
      <c r="N1148" s="529"/>
      <c r="O1148" s="336"/>
      <c r="P1148" s="166">
        <f t="shared" si="387"/>
        <v>4730</v>
      </c>
      <c r="Q1148" s="166">
        <f t="shared" si="388"/>
        <v>0</v>
      </c>
      <c r="R1148" s="166">
        <f t="shared" si="388"/>
        <v>4730</v>
      </c>
    </row>
    <row r="1149" spans="2:18" x14ac:dyDescent="0.2">
      <c r="B1149" s="171">
        <f t="shared" si="385"/>
        <v>616</v>
      </c>
      <c r="C1149" s="143"/>
      <c r="D1149" s="144"/>
      <c r="E1149" s="131"/>
      <c r="F1149" s="131" t="s">
        <v>199</v>
      </c>
      <c r="G1149" s="194" t="s">
        <v>318</v>
      </c>
      <c r="H1149" s="399">
        <v>1290</v>
      </c>
      <c r="I1149" s="399"/>
      <c r="J1149" s="399">
        <f t="shared" si="389"/>
        <v>1290</v>
      </c>
      <c r="K1149" s="336"/>
      <c r="L1149" s="529"/>
      <c r="M1149" s="529"/>
      <c r="N1149" s="529"/>
      <c r="O1149" s="336"/>
      <c r="P1149" s="167">
        <f t="shared" si="387"/>
        <v>1290</v>
      </c>
      <c r="Q1149" s="167">
        <f t="shared" si="388"/>
        <v>0</v>
      </c>
      <c r="R1149" s="167">
        <f t="shared" si="388"/>
        <v>1290</v>
      </c>
    </row>
    <row r="1150" spans="2:18" x14ac:dyDescent="0.2">
      <c r="B1150" s="171">
        <f t="shared" si="385"/>
        <v>617</v>
      </c>
      <c r="C1150" s="143"/>
      <c r="D1150" s="144"/>
      <c r="E1150" s="131"/>
      <c r="F1150" s="131" t="s">
        <v>200</v>
      </c>
      <c r="G1150" s="194" t="s">
        <v>247</v>
      </c>
      <c r="H1150" s="399">
        <v>1290</v>
      </c>
      <c r="I1150" s="399"/>
      <c r="J1150" s="399">
        <f t="shared" si="389"/>
        <v>1290</v>
      </c>
      <c r="K1150" s="336"/>
      <c r="L1150" s="529"/>
      <c r="M1150" s="529"/>
      <c r="N1150" s="529"/>
      <c r="O1150" s="336"/>
      <c r="P1150" s="167">
        <f t="shared" si="387"/>
        <v>1290</v>
      </c>
      <c r="Q1150" s="167">
        <f t="shared" si="388"/>
        <v>0</v>
      </c>
      <c r="R1150" s="167">
        <f t="shared" si="388"/>
        <v>1290</v>
      </c>
    </row>
    <row r="1151" spans="2:18" x14ac:dyDescent="0.2">
      <c r="B1151" s="171">
        <f t="shared" si="385"/>
        <v>618</v>
      </c>
      <c r="C1151" s="143"/>
      <c r="D1151" s="144"/>
      <c r="E1151" s="131"/>
      <c r="F1151" s="131" t="s">
        <v>214</v>
      </c>
      <c r="G1151" s="194" t="s">
        <v>261</v>
      </c>
      <c r="H1151" s="399">
        <v>645</v>
      </c>
      <c r="I1151" s="399"/>
      <c r="J1151" s="399">
        <f t="shared" si="389"/>
        <v>645</v>
      </c>
      <c r="K1151" s="336"/>
      <c r="L1151" s="402"/>
      <c r="M1151" s="402"/>
      <c r="N1151" s="402"/>
      <c r="O1151" s="336"/>
      <c r="P1151" s="167">
        <f t="shared" si="387"/>
        <v>645</v>
      </c>
      <c r="Q1151" s="167">
        <f t="shared" si="388"/>
        <v>0</v>
      </c>
      <c r="R1151" s="167">
        <f t="shared" si="388"/>
        <v>645</v>
      </c>
    </row>
    <row r="1152" spans="2:18" x14ac:dyDescent="0.2">
      <c r="B1152" s="171">
        <f t="shared" si="385"/>
        <v>619</v>
      </c>
      <c r="C1152" s="143"/>
      <c r="D1152" s="144"/>
      <c r="E1152" s="131"/>
      <c r="F1152" s="131" t="s">
        <v>216</v>
      </c>
      <c r="G1152" s="194" t="s">
        <v>248</v>
      </c>
      <c r="H1152" s="399">
        <v>1505</v>
      </c>
      <c r="I1152" s="399"/>
      <c r="J1152" s="399">
        <f t="shared" si="389"/>
        <v>1505</v>
      </c>
      <c r="K1152" s="336"/>
      <c r="L1152" s="402"/>
      <c r="M1152" s="402"/>
      <c r="N1152" s="402"/>
      <c r="O1152" s="336"/>
      <c r="P1152" s="167">
        <f t="shared" si="387"/>
        <v>1505</v>
      </c>
      <c r="Q1152" s="167">
        <f t="shared" ref="Q1152:R1167" si="392">I1152+M1152</f>
        <v>0</v>
      </c>
      <c r="R1152" s="167">
        <f t="shared" si="392"/>
        <v>1505</v>
      </c>
    </row>
    <row r="1153" spans="2:18" x14ac:dyDescent="0.2">
      <c r="B1153" s="171">
        <f t="shared" si="385"/>
        <v>620</v>
      </c>
      <c r="C1153" s="143"/>
      <c r="D1153" s="144"/>
      <c r="E1153" s="131"/>
      <c r="F1153" s="144" t="s">
        <v>217</v>
      </c>
      <c r="G1153" s="199" t="s">
        <v>504</v>
      </c>
      <c r="H1153" s="529">
        <f>748-748</f>
        <v>0</v>
      </c>
      <c r="I1153" s="529"/>
      <c r="J1153" s="529">
        <f t="shared" si="389"/>
        <v>0</v>
      </c>
      <c r="K1153" s="336"/>
      <c r="L1153" s="402"/>
      <c r="M1153" s="402"/>
      <c r="N1153" s="402"/>
      <c r="O1153" s="336"/>
      <c r="P1153" s="166">
        <f t="shared" si="387"/>
        <v>0</v>
      </c>
      <c r="Q1153" s="166">
        <f t="shared" si="392"/>
        <v>0</v>
      </c>
      <c r="R1153" s="166">
        <f t="shared" si="392"/>
        <v>0</v>
      </c>
    </row>
    <row r="1154" spans="2:18" ht="14.25" x14ac:dyDescent="0.2">
      <c r="B1154" s="171">
        <f t="shared" si="385"/>
        <v>621</v>
      </c>
      <c r="C1154" s="76"/>
      <c r="D1154" s="515"/>
      <c r="E1154" s="521" t="s">
        <v>689</v>
      </c>
      <c r="F1154" s="518" t="s">
        <v>690</v>
      </c>
      <c r="G1154" s="517"/>
      <c r="H1154" s="523">
        <f>H1155+H1156+H1157+H1162</f>
        <v>43546</v>
      </c>
      <c r="I1154" s="523">
        <f t="shared" ref="I1154" si="393">I1155+I1156+I1157+I1162</f>
        <v>0</v>
      </c>
      <c r="J1154" s="523">
        <f t="shared" si="389"/>
        <v>43546</v>
      </c>
      <c r="K1154" s="333"/>
      <c r="L1154" s="856"/>
      <c r="M1154" s="856"/>
      <c r="N1154" s="856"/>
      <c r="O1154" s="333"/>
      <c r="P1154" s="520">
        <f t="shared" si="387"/>
        <v>43546</v>
      </c>
      <c r="Q1154" s="520">
        <f t="shared" si="392"/>
        <v>0</v>
      </c>
      <c r="R1154" s="520">
        <f t="shared" si="392"/>
        <v>43546</v>
      </c>
    </row>
    <row r="1155" spans="2:18" x14ac:dyDescent="0.2">
      <c r="B1155" s="171">
        <f t="shared" si="385"/>
        <v>622</v>
      </c>
      <c r="C1155" s="143"/>
      <c r="D1155" s="144"/>
      <c r="E1155" s="169"/>
      <c r="F1155" s="144" t="s">
        <v>211</v>
      </c>
      <c r="G1155" s="199" t="s">
        <v>505</v>
      </c>
      <c r="H1155" s="529">
        <f>25378+1269-740</f>
        <v>25907</v>
      </c>
      <c r="I1155" s="529"/>
      <c r="J1155" s="529">
        <f t="shared" si="389"/>
        <v>25907</v>
      </c>
      <c r="K1155" s="336"/>
      <c r="L1155" s="529"/>
      <c r="M1155" s="529"/>
      <c r="N1155" s="529"/>
      <c r="O1155" s="336"/>
      <c r="P1155" s="530">
        <f t="shared" si="387"/>
        <v>25907</v>
      </c>
      <c r="Q1155" s="530">
        <f t="shared" si="392"/>
        <v>0</v>
      </c>
      <c r="R1155" s="530">
        <f t="shared" si="392"/>
        <v>25907</v>
      </c>
    </row>
    <row r="1156" spans="2:18" x14ac:dyDescent="0.2">
      <c r="B1156" s="171">
        <f t="shared" si="385"/>
        <v>623</v>
      </c>
      <c r="C1156" s="143"/>
      <c r="D1156" s="144"/>
      <c r="E1156" s="169"/>
      <c r="F1156" s="144" t="s">
        <v>212</v>
      </c>
      <c r="G1156" s="199" t="s">
        <v>259</v>
      </c>
      <c r="H1156" s="529">
        <f>9418+471-260</f>
        <v>9629</v>
      </c>
      <c r="I1156" s="529"/>
      <c r="J1156" s="529">
        <f t="shared" si="389"/>
        <v>9629</v>
      </c>
      <c r="K1156" s="336"/>
      <c r="L1156" s="529"/>
      <c r="M1156" s="529"/>
      <c r="N1156" s="529"/>
      <c r="O1156" s="336"/>
      <c r="P1156" s="530">
        <f t="shared" si="387"/>
        <v>9629</v>
      </c>
      <c r="Q1156" s="530">
        <f t="shared" si="392"/>
        <v>0</v>
      </c>
      <c r="R1156" s="530">
        <f t="shared" si="392"/>
        <v>9629</v>
      </c>
    </row>
    <row r="1157" spans="2:18" x14ac:dyDescent="0.2">
      <c r="B1157" s="171">
        <f t="shared" si="385"/>
        <v>624</v>
      </c>
      <c r="C1157" s="143"/>
      <c r="D1157" s="144"/>
      <c r="E1157" s="169"/>
      <c r="F1157" s="144" t="s">
        <v>218</v>
      </c>
      <c r="G1157" s="199" t="s">
        <v>340</v>
      </c>
      <c r="H1157" s="529">
        <f>SUM(H1158:H1161)</f>
        <v>8010</v>
      </c>
      <c r="I1157" s="529">
        <f>SUM(I1158:I1161)</f>
        <v>0</v>
      </c>
      <c r="J1157" s="529">
        <f t="shared" si="389"/>
        <v>8010</v>
      </c>
      <c r="K1157" s="336"/>
      <c r="L1157" s="529"/>
      <c r="M1157" s="529"/>
      <c r="N1157" s="529"/>
      <c r="O1157" s="336"/>
      <c r="P1157" s="530">
        <f t="shared" si="387"/>
        <v>8010</v>
      </c>
      <c r="Q1157" s="530">
        <f t="shared" si="392"/>
        <v>0</v>
      </c>
      <c r="R1157" s="530">
        <f t="shared" si="392"/>
        <v>8010</v>
      </c>
    </row>
    <row r="1158" spans="2:18" x14ac:dyDescent="0.2">
      <c r="B1158" s="171">
        <f t="shared" si="385"/>
        <v>625</v>
      </c>
      <c r="C1158" s="143"/>
      <c r="D1158" s="144"/>
      <c r="E1158" s="169"/>
      <c r="F1158" s="131" t="s">
        <v>199</v>
      </c>
      <c r="G1158" s="194" t="s">
        <v>318</v>
      </c>
      <c r="H1158" s="434">
        <v>1710</v>
      </c>
      <c r="I1158" s="434"/>
      <c r="J1158" s="434">
        <f t="shared" si="389"/>
        <v>1710</v>
      </c>
      <c r="K1158" s="336"/>
      <c r="L1158" s="529"/>
      <c r="M1158" s="529"/>
      <c r="N1158" s="529"/>
      <c r="O1158" s="336"/>
      <c r="P1158" s="168">
        <f t="shared" si="387"/>
        <v>1710</v>
      </c>
      <c r="Q1158" s="168">
        <f t="shared" si="392"/>
        <v>0</v>
      </c>
      <c r="R1158" s="168">
        <f t="shared" si="392"/>
        <v>1710</v>
      </c>
    </row>
    <row r="1159" spans="2:18" x14ac:dyDescent="0.2">
      <c r="B1159" s="171">
        <f t="shared" si="385"/>
        <v>626</v>
      </c>
      <c r="C1159" s="143"/>
      <c r="D1159" s="144"/>
      <c r="E1159" s="169"/>
      <c r="F1159" s="131" t="s">
        <v>200</v>
      </c>
      <c r="G1159" s="194" t="s">
        <v>247</v>
      </c>
      <c r="H1159" s="434">
        <f>1710+1740</f>
        <v>3450</v>
      </c>
      <c r="I1159" s="434"/>
      <c r="J1159" s="434">
        <f t="shared" si="389"/>
        <v>3450</v>
      </c>
      <c r="K1159" s="336"/>
      <c r="L1159" s="529"/>
      <c r="M1159" s="529"/>
      <c r="N1159" s="529"/>
      <c r="O1159" s="336"/>
      <c r="P1159" s="168">
        <f t="shared" si="387"/>
        <v>3450</v>
      </c>
      <c r="Q1159" s="168">
        <f t="shared" si="392"/>
        <v>0</v>
      </c>
      <c r="R1159" s="168">
        <f t="shared" si="392"/>
        <v>3450</v>
      </c>
    </row>
    <row r="1160" spans="2:18" x14ac:dyDescent="0.2">
      <c r="B1160" s="171">
        <f t="shared" si="385"/>
        <v>627</v>
      </c>
      <c r="C1160" s="143"/>
      <c r="D1160" s="144"/>
      <c r="E1160" s="169"/>
      <c r="F1160" s="290" t="s">
        <v>214</v>
      </c>
      <c r="G1160" s="202" t="s">
        <v>261</v>
      </c>
      <c r="H1160" s="434">
        <v>855</v>
      </c>
      <c r="I1160" s="434"/>
      <c r="J1160" s="434">
        <f t="shared" si="389"/>
        <v>855</v>
      </c>
      <c r="K1160" s="336"/>
      <c r="L1160" s="529"/>
      <c r="M1160" s="529"/>
      <c r="N1160" s="529"/>
      <c r="O1160" s="336"/>
      <c r="P1160" s="168">
        <f t="shared" si="387"/>
        <v>855</v>
      </c>
      <c r="Q1160" s="168">
        <f t="shared" si="392"/>
        <v>0</v>
      </c>
      <c r="R1160" s="168">
        <f t="shared" si="392"/>
        <v>855</v>
      </c>
    </row>
    <row r="1161" spans="2:18" x14ac:dyDescent="0.2">
      <c r="B1161" s="171">
        <f t="shared" si="385"/>
        <v>628</v>
      </c>
      <c r="C1161" s="143"/>
      <c r="D1161" s="144"/>
      <c r="E1161" s="169"/>
      <c r="F1161" s="131" t="s">
        <v>216</v>
      </c>
      <c r="G1161" s="194" t="s">
        <v>248</v>
      </c>
      <c r="H1161" s="434">
        <v>1995</v>
      </c>
      <c r="I1161" s="434"/>
      <c r="J1161" s="434">
        <f t="shared" si="389"/>
        <v>1995</v>
      </c>
      <c r="K1161" s="336"/>
      <c r="L1161" s="529"/>
      <c r="M1161" s="529"/>
      <c r="N1161" s="529"/>
      <c r="O1161" s="336"/>
      <c r="P1161" s="168">
        <f t="shared" si="387"/>
        <v>1995</v>
      </c>
      <c r="Q1161" s="168">
        <f t="shared" si="392"/>
        <v>0</v>
      </c>
      <c r="R1161" s="168">
        <f t="shared" si="392"/>
        <v>1995</v>
      </c>
    </row>
    <row r="1162" spans="2:18" x14ac:dyDescent="0.2">
      <c r="B1162" s="171">
        <f t="shared" si="385"/>
        <v>629</v>
      </c>
      <c r="C1162" s="143"/>
      <c r="D1162" s="144"/>
      <c r="E1162" s="169"/>
      <c r="F1162" s="144" t="s">
        <v>217</v>
      </c>
      <c r="G1162" s="199" t="s">
        <v>371</v>
      </c>
      <c r="H1162" s="402">
        <f>992-992</f>
        <v>0</v>
      </c>
      <c r="I1162" s="402"/>
      <c r="J1162" s="402">
        <f t="shared" si="389"/>
        <v>0</v>
      </c>
      <c r="K1162" s="336"/>
      <c r="L1162" s="529"/>
      <c r="M1162" s="529"/>
      <c r="N1162" s="529"/>
      <c r="O1162" s="336"/>
      <c r="P1162" s="530">
        <f t="shared" si="387"/>
        <v>0</v>
      </c>
      <c r="Q1162" s="530">
        <f t="shared" si="392"/>
        <v>0</v>
      </c>
      <c r="R1162" s="530">
        <f t="shared" si="392"/>
        <v>0</v>
      </c>
    </row>
    <row r="1163" spans="2:18" ht="15" x14ac:dyDescent="0.25">
      <c r="B1163" s="171">
        <f t="shared" si="385"/>
        <v>630</v>
      </c>
      <c r="C1163" s="143"/>
      <c r="D1163" s="261" t="s">
        <v>468</v>
      </c>
      <c r="E1163" s="175"/>
      <c r="F1163" s="147" t="s">
        <v>379</v>
      </c>
      <c r="G1163" s="236"/>
      <c r="H1163" s="425">
        <f>H1164+H1175</f>
        <v>82893</v>
      </c>
      <c r="I1163" s="425">
        <f t="shared" ref="I1163" si="394">I1164+I1175</f>
        <v>0</v>
      </c>
      <c r="J1163" s="425">
        <f t="shared" si="389"/>
        <v>82893</v>
      </c>
      <c r="K1163" s="334"/>
      <c r="L1163" s="849">
        <f>L1174</f>
        <v>15000</v>
      </c>
      <c r="M1163" s="849"/>
      <c r="N1163" s="849">
        <f t="shared" ref="N1163:N1174" si="395">L1163+M1163</f>
        <v>15000</v>
      </c>
      <c r="O1163" s="334"/>
      <c r="P1163" s="330">
        <f t="shared" si="387"/>
        <v>97893</v>
      </c>
      <c r="Q1163" s="330">
        <f t="shared" si="392"/>
        <v>0</v>
      </c>
      <c r="R1163" s="330">
        <f t="shared" si="392"/>
        <v>97893</v>
      </c>
    </row>
    <row r="1164" spans="2:18" ht="14.25" x14ac:dyDescent="0.2">
      <c r="B1164" s="171">
        <f t="shared" si="385"/>
        <v>631</v>
      </c>
      <c r="C1164" s="76"/>
      <c r="D1164" s="515"/>
      <c r="E1164" s="521" t="s">
        <v>688</v>
      </c>
      <c r="F1164" s="518" t="s">
        <v>691</v>
      </c>
      <c r="G1164" s="517"/>
      <c r="H1164" s="519">
        <f>H1165+H1166+H1167+H1173</f>
        <v>37282</v>
      </c>
      <c r="I1164" s="519">
        <f t="shared" ref="I1164" si="396">I1165+I1166+I1167+I1173</f>
        <v>0</v>
      </c>
      <c r="J1164" s="519">
        <f t="shared" si="389"/>
        <v>37282</v>
      </c>
      <c r="K1164" s="333"/>
      <c r="L1164" s="856"/>
      <c r="M1164" s="856"/>
      <c r="N1164" s="856"/>
      <c r="O1164" s="333"/>
      <c r="P1164" s="520">
        <f t="shared" si="387"/>
        <v>37282</v>
      </c>
      <c r="Q1164" s="520">
        <f t="shared" si="392"/>
        <v>0</v>
      </c>
      <c r="R1164" s="520">
        <f t="shared" si="392"/>
        <v>37282</v>
      </c>
    </row>
    <row r="1165" spans="2:18" x14ac:dyDescent="0.2">
      <c r="B1165" s="171">
        <f t="shared" si="385"/>
        <v>632</v>
      </c>
      <c r="C1165" s="143"/>
      <c r="D1165" s="144"/>
      <c r="E1165" s="131"/>
      <c r="F1165" s="144" t="s">
        <v>211</v>
      </c>
      <c r="G1165" s="199" t="s">
        <v>505</v>
      </c>
      <c r="H1165" s="529">
        <f>21010+1051</f>
        <v>22061</v>
      </c>
      <c r="I1165" s="529"/>
      <c r="J1165" s="529">
        <f t="shared" si="389"/>
        <v>22061</v>
      </c>
      <c r="K1165" s="336"/>
      <c r="L1165" s="402"/>
      <c r="M1165" s="402"/>
      <c r="N1165" s="402"/>
      <c r="O1165" s="336"/>
      <c r="P1165" s="166">
        <f t="shared" si="387"/>
        <v>22061</v>
      </c>
      <c r="Q1165" s="166">
        <f t="shared" si="392"/>
        <v>0</v>
      </c>
      <c r="R1165" s="166">
        <f t="shared" si="392"/>
        <v>22061</v>
      </c>
    </row>
    <row r="1166" spans="2:18" x14ac:dyDescent="0.2">
      <c r="B1166" s="171">
        <f t="shared" si="385"/>
        <v>633</v>
      </c>
      <c r="C1166" s="143"/>
      <c r="D1166" s="144"/>
      <c r="E1166" s="131"/>
      <c r="F1166" s="144" t="s">
        <v>212</v>
      </c>
      <c r="G1166" s="199" t="s">
        <v>259</v>
      </c>
      <c r="H1166" s="529">
        <f>7920+396</f>
        <v>8316</v>
      </c>
      <c r="I1166" s="529"/>
      <c r="J1166" s="529">
        <f t="shared" si="389"/>
        <v>8316</v>
      </c>
      <c r="K1166" s="336"/>
      <c r="L1166" s="402"/>
      <c r="M1166" s="402"/>
      <c r="N1166" s="402"/>
      <c r="O1166" s="336"/>
      <c r="P1166" s="166">
        <f t="shared" si="387"/>
        <v>8316</v>
      </c>
      <c r="Q1166" s="166">
        <f t="shared" si="392"/>
        <v>0</v>
      </c>
      <c r="R1166" s="166">
        <f t="shared" si="392"/>
        <v>8316</v>
      </c>
    </row>
    <row r="1167" spans="2:18" x14ac:dyDescent="0.2">
      <c r="B1167" s="171">
        <f t="shared" si="385"/>
        <v>634</v>
      </c>
      <c r="C1167" s="143"/>
      <c r="D1167" s="144"/>
      <c r="E1167" s="131"/>
      <c r="F1167" s="144" t="s">
        <v>218</v>
      </c>
      <c r="G1167" s="199" t="s">
        <v>340</v>
      </c>
      <c r="H1167" s="529">
        <f>SUM(H1168:H1172)</f>
        <v>6435</v>
      </c>
      <c r="I1167" s="529">
        <f>SUM(I1168:I1172)</f>
        <v>0</v>
      </c>
      <c r="J1167" s="529">
        <f t="shared" si="389"/>
        <v>6435</v>
      </c>
      <c r="K1167" s="336"/>
      <c r="L1167" s="402"/>
      <c r="M1167" s="402"/>
      <c r="N1167" s="402"/>
      <c r="O1167" s="336"/>
      <c r="P1167" s="166">
        <f t="shared" si="387"/>
        <v>6435</v>
      </c>
      <c r="Q1167" s="166">
        <f t="shared" si="392"/>
        <v>0</v>
      </c>
      <c r="R1167" s="166">
        <f t="shared" si="392"/>
        <v>6435</v>
      </c>
    </row>
    <row r="1168" spans="2:18" x14ac:dyDescent="0.2">
      <c r="B1168" s="171">
        <f t="shared" si="385"/>
        <v>635</v>
      </c>
      <c r="C1168" s="143"/>
      <c r="D1168" s="144"/>
      <c r="E1168" s="131"/>
      <c r="F1168" s="131" t="s">
        <v>213</v>
      </c>
      <c r="G1168" s="194" t="s">
        <v>255</v>
      </c>
      <c r="H1168" s="399">
        <v>20</v>
      </c>
      <c r="I1168" s="399"/>
      <c r="J1168" s="399">
        <f t="shared" si="389"/>
        <v>20</v>
      </c>
      <c r="K1168" s="336"/>
      <c r="L1168" s="402"/>
      <c r="M1168" s="402"/>
      <c r="N1168" s="402"/>
      <c r="O1168" s="336"/>
      <c r="P1168" s="167">
        <f t="shared" si="387"/>
        <v>20</v>
      </c>
      <c r="Q1168" s="167">
        <f t="shared" ref="Q1168:R1183" si="397">I1168+M1168</f>
        <v>0</v>
      </c>
      <c r="R1168" s="167">
        <f t="shared" si="397"/>
        <v>20</v>
      </c>
    </row>
    <row r="1169" spans="2:18" x14ac:dyDescent="0.2">
      <c r="B1169" s="171">
        <f t="shared" si="385"/>
        <v>636</v>
      </c>
      <c r="C1169" s="143"/>
      <c r="D1169" s="144"/>
      <c r="E1169" s="131"/>
      <c r="F1169" s="131" t="s">
        <v>199</v>
      </c>
      <c r="G1169" s="194" t="s">
        <v>318</v>
      </c>
      <c r="H1169" s="399">
        <v>3195</v>
      </c>
      <c r="I1169" s="399">
        <v>500</v>
      </c>
      <c r="J1169" s="399">
        <f t="shared" si="389"/>
        <v>3695</v>
      </c>
      <c r="K1169" s="336"/>
      <c r="L1169" s="402"/>
      <c r="M1169" s="402"/>
      <c r="N1169" s="402"/>
      <c r="O1169" s="336"/>
      <c r="P1169" s="167">
        <f t="shared" si="387"/>
        <v>3195</v>
      </c>
      <c r="Q1169" s="167">
        <f t="shared" si="397"/>
        <v>500</v>
      </c>
      <c r="R1169" s="167">
        <f t="shared" si="397"/>
        <v>3695</v>
      </c>
    </row>
    <row r="1170" spans="2:18" x14ac:dyDescent="0.2">
      <c r="B1170" s="171">
        <f t="shared" si="385"/>
        <v>637</v>
      </c>
      <c r="C1170" s="143"/>
      <c r="D1170" s="144"/>
      <c r="E1170" s="131"/>
      <c r="F1170" s="131" t="s">
        <v>200</v>
      </c>
      <c r="G1170" s="194" t="s">
        <v>247</v>
      </c>
      <c r="H1170" s="399">
        <v>1215</v>
      </c>
      <c r="I1170" s="399"/>
      <c r="J1170" s="399">
        <f t="shared" si="389"/>
        <v>1215</v>
      </c>
      <c r="K1170" s="336"/>
      <c r="L1170" s="402"/>
      <c r="M1170" s="402"/>
      <c r="N1170" s="402"/>
      <c r="O1170" s="336"/>
      <c r="P1170" s="167">
        <f t="shared" si="387"/>
        <v>1215</v>
      </c>
      <c r="Q1170" s="167">
        <f t="shared" si="397"/>
        <v>0</v>
      </c>
      <c r="R1170" s="167">
        <f t="shared" si="397"/>
        <v>1215</v>
      </c>
    </row>
    <row r="1171" spans="2:18" x14ac:dyDescent="0.2">
      <c r="B1171" s="171">
        <f t="shared" si="385"/>
        <v>638</v>
      </c>
      <c r="C1171" s="143"/>
      <c r="D1171" s="144"/>
      <c r="E1171" s="131"/>
      <c r="F1171" s="131" t="s">
        <v>214</v>
      </c>
      <c r="G1171" s="194" t="s">
        <v>261</v>
      </c>
      <c r="H1171" s="399">
        <v>1170</v>
      </c>
      <c r="I1171" s="399">
        <v>-300</v>
      </c>
      <c r="J1171" s="399">
        <f t="shared" si="389"/>
        <v>870</v>
      </c>
      <c r="K1171" s="336"/>
      <c r="L1171" s="402"/>
      <c r="M1171" s="402"/>
      <c r="N1171" s="402"/>
      <c r="O1171" s="336"/>
      <c r="P1171" s="167">
        <f t="shared" si="387"/>
        <v>1170</v>
      </c>
      <c r="Q1171" s="167">
        <f t="shared" si="397"/>
        <v>-300</v>
      </c>
      <c r="R1171" s="167">
        <f t="shared" si="397"/>
        <v>870</v>
      </c>
    </row>
    <row r="1172" spans="2:18" x14ac:dyDescent="0.2">
      <c r="B1172" s="171">
        <f t="shared" si="385"/>
        <v>639</v>
      </c>
      <c r="C1172" s="143"/>
      <c r="D1172" s="144"/>
      <c r="E1172" s="131"/>
      <c r="F1172" s="131" t="s">
        <v>216</v>
      </c>
      <c r="G1172" s="194" t="s">
        <v>248</v>
      </c>
      <c r="H1172" s="399">
        <v>835</v>
      </c>
      <c r="I1172" s="399">
        <v>-200</v>
      </c>
      <c r="J1172" s="399">
        <f t="shared" si="389"/>
        <v>635</v>
      </c>
      <c r="K1172" s="336"/>
      <c r="L1172" s="402"/>
      <c r="M1172" s="402"/>
      <c r="N1172" s="402"/>
      <c r="O1172" s="336"/>
      <c r="P1172" s="167">
        <f t="shared" si="387"/>
        <v>835</v>
      </c>
      <c r="Q1172" s="167">
        <f t="shared" si="397"/>
        <v>-200</v>
      </c>
      <c r="R1172" s="167">
        <f t="shared" si="397"/>
        <v>635</v>
      </c>
    </row>
    <row r="1173" spans="2:18" x14ac:dyDescent="0.2">
      <c r="B1173" s="171">
        <f t="shared" si="385"/>
        <v>640</v>
      </c>
      <c r="C1173" s="143"/>
      <c r="D1173" s="144"/>
      <c r="E1173" s="131"/>
      <c r="F1173" s="144" t="s">
        <v>217</v>
      </c>
      <c r="G1173" s="199" t="s">
        <v>504</v>
      </c>
      <c r="H1173" s="529">
        <v>470</v>
      </c>
      <c r="I1173" s="529"/>
      <c r="J1173" s="529">
        <f t="shared" si="389"/>
        <v>470</v>
      </c>
      <c r="K1173" s="336"/>
      <c r="L1173" s="402"/>
      <c r="M1173" s="402"/>
      <c r="N1173" s="402"/>
      <c r="O1173" s="336"/>
      <c r="P1173" s="166">
        <f t="shared" si="387"/>
        <v>470</v>
      </c>
      <c r="Q1173" s="166">
        <f t="shared" si="397"/>
        <v>0</v>
      </c>
      <c r="R1173" s="166">
        <f t="shared" si="397"/>
        <v>470</v>
      </c>
    </row>
    <row r="1174" spans="2:18" x14ac:dyDescent="0.2">
      <c r="B1174" s="171">
        <f t="shared" si="385"/>
        <v>641</v>
      </c>
      <c r="C1174" s="143"/>
      <c r="D1174" s="144"/>
      <c r="E1174" s="169"/>
      <c r="F1174" s="284" t="s">
        <v>606</v>
      </c>
      <c r="G1174" s="199" t="s">
        <v>607</v>
      </c>
      <c r="H1174" s="529"/>
      <c r="I1174" s="529"/>
      <c r="J1174" s="529">
        <f t="shared" si="389"/>
        <v>0</v>
      </c>
      <c r="K1174" s="336"/>
      <c r="L1174" s="402">
        <f>16000-1000</f>
        <v>15000</v>
      </c>
      <c r="M1174" s="866"/>
      <c r="N1174" s="402">
        <f t="shared" si="395"/>
        <v>15000</v>
      </c>
      <c r="O1174" s="336"/>
      <c r="P1174" s="166">
        <f t="shared" si="387"/>
        <v>15000</v>
      </c>
      <c r="Q1174" s="166">
        <f t="shared" si="397"/>
        <v>0</v>
      </c>
      <c r="R1174" s="166">
        <f t="shared" si="397"/>
        <v>15000</v>
      </c>
    </row>
    <row r="1175" spans="2:18" ht="14.25" x14ac:dyDescent="0.2">
      <c r="B1175" s="171">
        <f t="shared" si="385"/>
        <v>642</v>
      </c>
      <c r="C1175" s="76"/>
      <c r="D1175" s="515"/>
      <c r="E1175" s="521" t="s">
        <v>689</v>
      </c>
      <c r="F1175" s="518" t="s">
        <v>690</v>
      </c>
      <c r="G1175" s="517"/>
      <c r="H1175" s="523">
        <f>H1176+H1177+H1178+H1184</f>
        <v>45611</v>
      </c>
      <c r="I1175" s="523">
        <f t="shared" ref="I1175" si="398">I1176+I1177+I1178+I1184</f>
        <v>0</v>
      </c>
      <c r="J1175" s="523">
        <f t="shared" si="389"/>
        <v>45611</v>
      </c>
      <c r="K1175" s="333"/>
      <c r="L1175" s="856"/>
      <c r="M1175" s="856"/>
      <c r="N1175" s="856"/>
      <c r="O1175" s="333"/>
      <c r="P1175" s="520">
        <f t="shared" si="387"/>
        <v>45611</v>
      </c>
      <c r="Q1175" s="520">
        <f t="shared" si="397"/>
        <v>0</v>
      </c>
      <c r="R1175" s="520">
        <f t="shared" si="397"/>
        <v>45611</v>
      </c>
    </row>
    <row r="1176" spans="2:18" x14ac:dyDescent="0.2">
      <c r="B1176" s="171">
        <f t="shared" si="385"/>
        <v>643</v>
      </c>
      <c r="C1176" s="143"/>
      <c r="D1176" s="144"/>
      <c r="E1176" s="169"/>
      <c r="F1176" s="144" t="s">
        <v>211</v>
      </c>
      <c r="G1176" s="199" t="s">
        <v>505</v>
      </c>
      <c r="H1176" s="529">
        <f>25745+1287</f>
        <v>27032</v>
      </c>
      <c r="I1176" s="529"/>
      <c r="J1176" s="529">
        <f t="shared" si="389"/>
        <v>27032</v>
      </c>
      <c r="K1176" s="336"/>
      <c r="L1176" s="529"/>
      <c r="M1176" s="529"/>
      <c r="N1176" s="529"/>
      <c r="O1176" s="336"/>
      <c r="P1176" s="530">
        <f t="shared" si="387"/>
        <v>27032</v>
      </c>
      <c r="Q1176" s="530">
        <f t="shared" si="397"/>
        <v>0</v>
      </c>
      <c r="R1176" s="530">
        <f t="shared" si="397"/>
        <v>27032</v>
      </c>
    </row>
    <row r="1177" spans="2:18" x14ac:dyDescent="0.2">
      <c r="B1177" s="171">
        <f t="shared" si="385"/>
        <v>644</v>
      </c>
      <c r="C1177" s="143"/>
      <c r="D1177" s="144"/>
      <c r="E1177" s="169"/>
      <c r="F1177" s="144" t="s">
        <v>212</v>
      </c>
      <c r="G1177" s="199" t="s">
        <v>259</v>
      </c>
      <c r="H1177" s="529">
        <f>9680+484</f>
        <v>10164</v>
      </c>
      <c r="I1177" s="529"/>
      <c r="J1177" s="529">
        <f t="shared" si="389"/>
        <v>10164</v>
      </c>
      <c r="K1177" s="336"/>
      <c r="L1177" s="529"/>
      <c r="M1177" s="529"/>
      <c r="N1177" s="529"/>
      <c r="O1177" s="336"/>
      <c r="P1177" s="530">
        <f t="shared" si="387"/>
        <v>10164</v>
      </c>
      <c r="Q1177" s="530">
        <f t="shared" si="397"/>
        <v>0</v>
      </c>
      <c r="R1177" s="530">
        <f t="shared" si="397"/>
        <v>10164</v>
      </c>
    </row>
    <row r="1178" spans="2:18" x14ac:dyDescent="0.2">
      <c r="B1178" s="171">
        <f t="shared" si="385"/>
        <v>645</v>
      </c>
      <c r="C1178" s="143"/>
      <c r="D1178" s="144"/>
      <c r="E1178" s="169"/>
      <c r="F1178" s="144" t="s">
        <v>218</v>
      </c>
      <c r="G1178" s="199" t="s">
        <v>340</v>
      </c>
      <c r="H1178" s="529">
        <f>SUM(H1179:H1183)</f>
        <v>7835</v>
      </c>
      <c r="I1178" s="529">
        <f>SUM(I1179:I1183)</f>
        <v>0</v>
      </c>
      <c r="J1178" s="529">
        <f t="shared" si="389"/>
        <v>7835</v>
      </c>
      <c r="K1178" s="336"/>
      <c r="L1178" s="529"/>
      <c r="M1178" s="529"/>
      <c r="N1178" s="529"/>
      <c r="O1178" s="336"/>
      <c r="P1178" s="530">
        <f t="shared" si="387"/>
        <v>7835</v>
      </c>
      <c r="Q1178" s="530">
        <f t="shared" si="397"/>
        <v>0</v>
      </c>
      <c r="R1178" s="530">
        <f t="shared" si="397"/>
        <v>7835</v>
      </c>
    </row>
    <row r="1179" spans="2:18" x14ac:dyDescent="0.2">
      <c r="B1179" s="171">
        <f t="shared" si="385"/>
        <v>646</v>
      </c>
      <c r="C1179" s="143"/>
      <c r="D1179" s="144"/>
      <c r="E1179" s="169"/>
      <c r="F1179" s="131" t="s">
        <v>213</v>
      </c>
      <c r="G1179" s="194" t="s">
        <v>255</v>
      </c>
      <c r="H1179" s="434">
        <v>30</v>
      </c>
      <c r="I1179" s="434"/>
      <c r="J1179" s="434">
        <f t="shared" si="389"/>
        <v>30</v>
      </c>
      <c r="K1179" s="336"/>
      <c r="L1179" s="529"/>
      <c r="M1179" s="529"/>
      <c r="N1179" s="529"/>
      <c r="O1179" s="336"/>
      <c r="P1179" s="168">
        <f t="shared" si="387"/>
        <v>30</v>
      </c>
      <c r="Q1179" s="168">
        <f t="shared" si="397"/>
        <v>0</v>
      </c>
      <c r="R1179" s="168">
        <f t="shared" si="397"/>
        <v>30</v>
      </c>
    </row>
    <row r="1180" spans="2:18" x14ac:dyDescent="0.2">
      <c r="B1180" s="171">
        <f t="shared" si="385"/>
        <v>647</v>
      </c>
      <c r="C1180" s="143"/>
      <c r="D1180" s="144"/>
      <c r="E1180" s="169"/>
      <c r="F1180" s="131" t="s">
        <v>199</v>
      </c>
      <c r="G1180" s="194" t="s">
        <v>318</v>
      </c>
      <c r="H1180" s="434">
        <v>3875</v>
      </c>
      <c r="I1180" s="434"/>
      <c r="J1180" s="434">
        <f t="shared" si="389"/>
        <v>3875</v>
      </c>
      <c r="K1180" s="336"/>
      <c r="L1180" s="529"/>
      <c r="M1180" s="529"/>
      <c r="N1180" s="529"/>
      <c r="O1180" s="336"/>
      <c r="P1180" s="168">
        <f t="shared" si="387"/>
        <v>3875</v>
      </c>
      <c r="Q1180" s="168">
        <f t="shared" si="397"/>
        <v>0</v>
      </c>
      <c r="R1180" s="168">
        <f t="shared" si="397"/>
        <v>3875</v>
      </c>
    </row>
    <row r="1181" spans="2:18" x14ac:dyDescent="0.2">
      <c r="B1181" s="171">
        <f t="shared" si="385"/>
        <v>648</v>
      </c>
      <c r="C1181" s="143"/>
      <c r="D1181" s="144"/>
      <c r="E1181" s="169"/>
      <c r="F1181" s="131" t="s">
        <v>200</v>
      </c>
      <c r="G1181" s="194" t="s">
        <v>247</v>
      </c>
      <c r="H1181" s="434">
        <v>1485</v>
      </c>
      <c r="I1181" s="434">
        <v>800</v>
      </c>
      <c r="J1181" s="434">
        <f t="shared" si="389"/>
        <v>2285</v>
      </c>
      <c r="K1181" s="336"/>
      <c r="L1181" s="529"/>
      <c r="M1181" s="529"/>
      <c r="N1181" s="529"/>
      <c r="O1181" s="336"/>
      <c r="P1181" s="168">
        <f t="shared" si="387"/>
        <v>1485</v>
      </c>
      <c r="Q1181" s="168">
        <f t="shared" si="397"/>
        <v>800</v>
      </c>
      <c r="R1181" s="168">
        <f t="shared" si="397"/>
        <v>2285</v>
      </c>
    </row>
    <row r="1182" spans="2:18" x14ac:dyDescent="0.2">
      <c r="B1182" s="171">
        <f t="shared" si="385"/>
        <v>649</v>
      </c>
      <c r="C1182" s="143"/>
      <c r="D1182" s="144"/>
      <c r="E1182" s="169"/>
      <c r="F1182" s="290" t="s">
        <v>214</v>
      </c>
      <c r="G1182" s="202" t="s">
        <v>261</v>
      </c>
      <c r="H1182" s="434">
        <v>1430</v>
      </c>
      <c r="I1182" s="434">
        <v>-400</v>
      </c>
      <c r="J1182" s="434">
        <f t="shared" si="389"/>
        <v>1030</v>
      </c>
      <c r="K1182" s="336"/>
      <c r="L1182" s="529"/>
      <c r="M1182" s="529"/>
      <c r="N1182" s="529"/>
      <c r="O1182" s="336"/>
      <c r="P1182" s="168">
        <f t="shared" si="387"/>
        <v>1430</v>
      </c>
      <c r="Q1182" s="168">
        <f t="shared" si="397"/>
        <v>-400</v>
      </c>
      <c r="R1182" s="168">
        <f t="shared" si="397"/>
        <v>1030</v>
      </c>
    </row>
    <row r="1183" spans="2:18" x14ac:dyDescent="0.2">
      <c r="B1183" s="171">
        <f t="shared" si="385"/>
        <v>650</v>
      </c>
      <c r="C1183" s="143"/>
      <c r="D1183" s="144"/>
      <c r="E1183" s="169"/>
      <c r="F1183" s="131" t="s">
        <v>216</v>
      </c>
      <c r="G1183" s="194" t="s">
        <v>248</v>
      </c>
      <c r="H1183" s="434">
        <v>1015</v>
      </c>
      <c r="I1183" s="434">
        <v>-400</v>
      </c>
      <c r="J1183" s="434">
        <f t="shared" si="389"/>
        <v>615</v>
      </c>
      <c r="K1183" s="336"/>
      <c r="L1183" s="529"/>
      <c r="M1183" s="529"/>
      <c r="N1183" s="529"/>
      <c r="O1183" s="336"/>
      <c r="P1183" s="168">
        <f t="shared" si="387"/>
        <v>1015</v>
      </c>
      <c r="Q1183" s="168">
        <f t="shared" si="397"/>
        <v>-400</v>
      </c>
      <c r="R1183" s="168">
        <f t="shared" si="397"/>
        <v>615</v>
      </c>
    </row>
    <row r="1184" spans="2:18" x14ac:dyDescent="0.2">
      <c r="B1184" s="171">
        <f t="shared" si="385"/>
        <v>651</v>
      </c>
      <c r="C1184" s="143"/>
      <c r="D1184" s="144"/>
      <c r="E1184" s="169"/>
      <c r="F1184" s="144" t="s">
        <v>217</v>
      </c>
      <c r="G1184" s="199" t="s">
        <v>371</v>
      </c>
      <c r="H1184" s="402">
        <v>580</v>
      </c>
      <c r="I1184" s="402"/>
      <c r="J1184" s="402">
        <f t="shared" si="389"/>
        <v>580</v>
      </c>
      <c r="K1184" s="336"/>
      <c r="L1184" s="529"/>
      <c r="M1184" s="529"/>
      <c r="N1184" s="529"/>
      <c r="O1184" s="336"/>
      <c r="P1184" s="530">
        <f t="shared" si="387"/>
        <v>580</v>
      </c>
      <c r="Q1184" s="530">
        <f t="shared" ref="Q1184:R1199" si="399">I1184+M1184</f>
        <v>0</v>
      </c>
      <c r="R1184" s="530">
        <f t="shared" si="399"/>
        <v>580</v>
      </c>
    </row>
    <row r="1185" spans="2:18" ht="15" x14ac:dyDescent="0.25">
      <c r="B1185" s="171">
        <f t="shared" si="385"/>
        <v>652</v>
      </c>
      <c r="C1185" s="143"/>
      <c r="D1185" s="261" t="s">
        <v>469</v>
      </c>
      <c r="E1185" s="175"/>
      <c r="F1185" s="147" t="s">
        <v>380</v>
      </c>
      <c r="G1185" s="236"/>
      <c r="H1185" s="425">
        <f>H1186+H1195</f>
        <v>73526</v>
      </c>
      <c r="I1185" s="425">
        <f t="shared" ref="I1185" si="400">I1186+I1195</f>
        <v>0</v>
      </c>
      <c r="J1185" s="425">
        <f t="shared" si="389"/>
        <v>73526</v>
      </c>
      <c r="K1185" s="334"/>
      <c r="L1185" s="849"/>
      <c r="M1185" s="849"/>
      <c r="N1185" s="849"/>
      <c r="O1185" s="334"/>
      <c r="P1185" s="330">
        <f t="shared" si="387"/>
        <v>73526</v>
      </c>
      <c r="Q1185" s="330">
        <f t="shared" si="399"/>
        <v>0</v>
      </c>
      <c r="R1185" s="330">
        <f t="shared" si="399"/>
        <v>73526</v>
      </c>
    </row>
    <row r="1186" spans="2:18" ht="14.25" x14ac:dyDescent="0.2">
      <c r="B1186" s="171">
        <f t="shared" si="385"/>
        <v>653</v>
      </c>
      <c r="C1186" s="76"/>
      <c r="D1186" s="515"/>
      <c r="E1186" s="521" t="s">
        <v>688</v>
      </c>
      <c r="F1186" s="518" t="s">
        <v>691</v>
      </c>
      <c r="G1186" s="517"/>
      <c r="H1186" s="519">
        <f>H1187+H1188+H1189+H1194</f>
        <v>36762</v>
      </c>
      <c r="I1186" s="519">
        <f t="shared" ref="I1186" si="401">I1187+I1188+I1189+I1194</f>
        <v>0</v>
      </c>
      <c r="J1186" s="519">
        <f t="shared" si="389"/>
        <v>36762</v>
      </c>
      <c r="K1186" s="333"/>
      <c r="L1186" s="856"/>
      <c r="M1186" s="856"/>
      <c r="N1186" s="856"/>
      <c r="O1186" s="333"/>
      <c r="P1186" s="520">
        <f t="shared" si="387"/>
        <v>36762</v>
      </c>
      <c r="Q1186" s="520">
        <f t="shared" si="399"/>
        <v>0</v>
      </c>
      <c r="R1186" s="520">
        <f t="shared" si="399"/>
        <v>36762</v>
      </c>
    </row>
    <row r="1187" spans="2:18" x14ac:dyDescent="0.2">
      <c r="B1187" s="171">
        <f t="shared" si="385"/>
        <v>654</v>
      </c>
      <c r="C1187" s="143"/>
      <c r="D1187" s="144"/>
      <c r="E1187" s="131"/>
      <c r="F1187" s="144" t="s">
        <v>211</v>
      </c>
      <c r="G1187" s="199" t="s">
        <v>505</v>
      </c>
      <c r="H1187" s="529">
        <f>16912+846-75</f>
        <v>17683</v>
      </c>
      <c r="I1187" s="529">
        <v>-70</v>
      </c>
      <c r="J1187" s="529">
        <f t="shared" si="389"/>
        <v>17613</v>
      </c>
      <c r="K1187" s="336"/>
      <c r="L1187" s="402"/>
      <c r="M1187" s="402"/>
      <c r="N1187" s="402"/>
      <c r="O1187" s="336"/>
      <c r="P1187" s="166">
        <f t="shared" si="387"/>
        <v>17683</v>
      </c>
      <c r="Q1187" s="166">
        <f t="shared" si="399"/>
        <v>-70</v>
      </c>
      <c r="R1187" s="166">
        <f t="shared" si="399"/>
        <v>17613</v>
      </c>
    </row>
    <row r="1188" spans="2:18" x14ac:dyDescent="0.2">
      <c r="B1188" s="171">
        <f t="shared" si="385"/>
        <v>655</v>
      </c>
      <c r="C1188" s="143"/>
      <c r="D1188" s="144"/>
      <c r="E1188" s="131"/>
      <c r="F1188" s="144" t="s">
        <v>212</v>
      </c>
      <c r="G1188" s="199" t="s">
        <v>259</v>
      </c>
      <c r="H1188" s="529">
        <f>5913+296</f>
        <v>6209</v>
      </c>
      <c r="I1188" s="529"/>
      <c r="J1188" s="529">
        <f t="shared" si="389"/>
        <v>6209</v>
      </c>
      <c r="K1188" s="336"/>
      <c r="L1188" s="402"/>
      <c r="M1188" s="402"/>
      <c r="N1188" s="402"/>
      <c r="O1188" s="336"/>
      <c r="P1188" s="166">
        <f t="shared" si="387"/>
        <v>6209</v>
      </c>
      <c r="Q1188" s="166">
        <f t="shared" si="399"/>
        <v>0</v>
      </c>
      <c r="R1188" s="166">
        <f t="shared" si="399"/>
        <v>6209</v>
      </c>
    </row>
    <row r="1189" spans="2:18" x14ac:dyDescent="0.2">
      <c r="B1189" s="171">
        <f t="shared" si="385"/>
        <v>656</v>
      </c>
      <c r="C1189" s="143"/>
      <c r="D1189" s="144"/>
      <c r="E1189" s="131"/>
      <c r="F1189" s="144" t="s">
        <v>218</v>
      </c>
      <c r="G1189" s="199" t="s">
        <v>340</v>
      </c>
      <c r="H1189" s="529">
        <f>SUM(H1190:H1193)</f>
        <v>12795</v>
      </c>
      <c r="I1189" s="529">
        <f>SUM(I1190:I1193)</f>
        <v>0</v>
      </c>
      <c r="J1189" s="529">
        <f t="shared" si="389"/>
        <v>12795</v>
      </c>
      <c r="K1189" s="336"/>
      <c r="L1189" s="402"/>
      <c r="M1189" s="402"/>
      <c r="N1189" s="402"/>
      <c r="O1189" s="336"/>
      <c r="P1189" s="166">
        <f t="shared" si="387"/>
        <v>12795</v>
      </c>
      <c r="Q1189" s="166">
        <f t="shared" si="399"/>
        <v>0</v>
      </c>
      <c r="R1189" s="166">
        <f t="shared" si="399"/>
        <v>12795</v>
      </c>
    </row>
    <row r="1190" spans="2:18" x14ac:dyDescent="0.2">
      <c r="B1190" s="171">
        <f t="shared" si="385"/>
        <v>657</v>
      </c>
      <c r="C1190" s="143"/>
      <c r="D1190" s="144"/>
      <c r="E1190" s="131"/>
      <c r="F1190" s="131" t="s">
        <v>199</v>
      </c>
      <c r="G1190" s="194" t="s">
        <v>318</v>
      </c>
      <c r="H1190" s="399">
        <f>8300-2500</f>
        <v>5800</v>
      </c>
      <c r="I1190" s="399">
        <v>-1130</v>
      </c>
      <c r="J1190" s="399">
        <f t="shared" si="389"/>
        <v>4670</v>
      </c>
      <c r="K1190" s="336"/>
      <c r="L1190" s="402"/>
      <c r="M1190" s="402"/>
      <c r="N1190" s="402"/>
      <c r="O1190" s="336"/>
      <c r="P1190" s="167">
        <f t="shared" si="387"/>
        <v>5800</v>
      </c>
      <c r="Q1190" s="167">
        <f t="shared" si="399"/>
        <v>-1130</v>
      </c>
      <c r="R1190" s="167">
        <f t="shared" si="399"/>
        <v>4670</v>
      </c>
    </row>
    <row r="1191" spans="2:18" x14ac:dyDescent="0.2">
      <c r="B1191" s="171">
        <f t="shared" ref="B1191:B1254" si="402">B1190+1</f>
        <v>658</v>
      </c>
      <c r="C1191" s="143"/>
      <c r="D1191" s="144"/>
      <c r="E1191" s="131"/>
      <c r="F1191" s="131" t="s">
        <v>200</v>
      </c>
      <c r="G1191" s="194" t="s">
        <v>247</v>
      </c>
      <c r="H1191" s="399">
        <f>1350+2000</f>
        <v>3350</v>
      </c>
      <c r="I1191" s="399">
        <v>1481</v>
      </c>
      <c r="J1191" s="399">
        <f t="shared" si="389"/>
        <v>4831</v>
      </c>
      <c r="K1191" s="336"/>
      <c r="L1191" s="402"/>
      <c r="M1191" s="402"/>
      <c r="N1191" s="402"/>
      <c r="O1191" s="336"/>
      <c r="P1191" s="167">
        <f t="shared" si="387"/>
        <v>3350</v>
      </c>
      <c r="Q1191" s="167">
        <f t="shared" si="399"/>
        <v>1481</v>
      </c>
      <c r="R1191" s="167">
        <f t="shared" si="399"/>
        <v>4831</v>
      </c>
    </row>
    <row r="1192" spans="2:18" x14ac:dyDescent="0.2">
      <c r="B1192" s="171">
        <f t="shared" si="402"/>
        <v>659</v>
      </c>
      <c r="C1192" s="143"/>
      <c r="D1192" s="144"/>
      <c r="E1192" s="131"/>
      <c r="F1192" s="131" t="s">
        <v>214</v>
      </c>
      <c r="G1192" s="194" t="s">
        <v>261</v>
      </c>
      <c r="H1192" s="399">
        <v>2100</v>
      </c>
      <c r="I1192" s="399">
        <v>-387</v>
      </c>
      <c r="J1192" s="399">
        <f t="shared" si="389"/>
        <v>1713</v>
      </c>
      <c r="K1192" s="336"/>
      <c r="L1192" s="402"/>
      <c r="M1192" s="402"/>
      <c r="N1192" s="402"/>
      <c r="O1192" s="336"/>
      <c r="P1192" s="167">
        <f t="shared" si="387"/>
        <v>2100</v>
      </c>
      <c r="Q1192" s="167">
        <f t="shared" si="399"/>
        <v>-387</v>
      </c>
      <c r="R1192" s="167">
        <f t="shared" si="399"/>
        <v>1713</v>
      </c>
    </row>
    <row r="1193" spans="2:18" x14ac:dyDescent="0.2">
      <c r="B1193" s="171">
        <f t="shared" si="402"/>
        <v>660</v>
      </c>
      <c r="C1193" s="143"/>
      <c r="D1193" s="144"/>
      <c r="E1193" s="131"/>
      <c r="F1193" s="131" t="s">
        <v>216</v>
      </c>
      <c r="G1193" s="194" t="s">
        <v>248</v>
      </c>
      <c r="H1193" s="399">
        <f>1045+500</f>
        <v>1545</v>
      </c>
      <c r="I1193" s="399">
        <v>36</v>
      </c>
      <c r="J1193" s="399">
        <f t="shared" si="389"/>
        <v>1581</v>
      </c>
      <c r="K1193" s="336"/>
      <c r="L1193" s="402"/>
      <c r="M1193" s="402"/>
      <c r="N1193" s="402"/>
      <c r="O1193" s="336"/>
      <c r="P1193" s="167">
        <f t="shared" si="387"/>
        <v>1545</v>
      </c>
      <c r="Q1193" s="167">
        <f t="shared" si="399"/>
        <v>36</v>
      </c>
      <c r="R1193" s="167">
        <f t="shared" si="399"/>
        <v>1581</v>
      </c>
    </row>
    <row r="1194" spans="2:18" x14ac:dyDescent="0.2">
      <c r="B1194" s="171"/>
      <c r="C1194" s="143"/>
      <c r="D1194" s="165"/>
      <c r="E1194" s="169"/>
      <c r="F1194" s="144" t="s">
        <v>217</v>
      </c>
      <c r="G1194" s="199" t="s">
        <v>371</v>
      </c>
      <c r="H1194" s="402">
        <v>75</v>
      </c>
      <c r="I1194" s="402">
        <v>70</v>
      </c>
      <c r="J1194" s="402">
        <f t="shared" si="389"/>
        <v>145</v>
      </c>
      <c r="K1194" s="336"/>
      <c r="L1194" s="529"/>
      <c r="M1194" s="529"/>
      <c r="N1194" s="529"/>
      <c r="O1194" s="336"/>
      <c r="P1194" s="530">
        <f t="shared" si="387"/>
        <v>75</v>
      </c>
      <c r="Q1194" s="530">
        <f t="shared" si="399"/>
        <v>70</v>
      </c>
      <c r="R1194" s="530">
        <f t="shared" si="399"/>
        <v>145</v>
      </c>
    </row>
    <row r="1195" spans="2:18" ht="14.25" x14ac:dyDescent="0.2">
      <c r="B1195" s="171">
        <f>B1193+1</f>
        <v>661</v>
      </c>
      <c r="C1195" s="76"/>
      <c r="D1195" s="515"/>
      <c r="E1195" s="521" t="s">
        <v>689</v>
      </c>
      <c r="F1195" s="518" t="s">
        <v>690</v>
      </c>
      <c r="G1195" s="517"/>
      <c r="H1195" s="523">
        <f>H1196+H1197+H1198+H1203</f>
        <v>36764</v>
      </c>
      <c r="I1195" s="523">
        <f t="shared" ref="I1195" si="403">I1196+I1197+I1198+I1203</f>
        <v>0</v>
      </c>
      <c r="J1195" s="523">
        <f t="shared" si="389"/>
        <v>36764</v>
      </c>
      <c r="K1195" s="333"/>
      <c r="L1195" s="856"/>
      <c r="M1195" s="856"/>
      <c r="N1195" s="856"/>
      <c r="O1195" s="333"/>
      <c r="P1195" s="520">
        <f t="shared" si="387"/>
        <v>36764</v>
      </c>
      <c r="Q1195" s="520">
        <f t="shared" si="399"/>
        <v>0</v>
      </c>
      <c r="R1195" s="520">
        <f t="shared" si="399"/>
        <v>36764</v>
      </c>
    </row>
    <row r="1196" spans="2:18" x14ac:dyDescent="0.2">
      <c r="B1196" s="171">
        <f t="shared" si="402"/>
        <v>662</v>
      </c>
      <c r="C1196" s="143"/>
      <c r="D1196" s="144"/>
      <c r="E1196" s="169"/>
      <c r="F1196" s="144" t="s">
        <v>211</v>
      </c>
      <c r="G1196" s="199" t="s">
        <v>505</v>
      </c>
      <c r="H1196" s="529">
        <f>16913+846-75</f>
        <v>17684</v>
      </c>
      <c r="I1196" s="529">
        <v>-70</v>
      </c>
      <c r="J1196" s="529">
        <f t="shared" si="389"/>
        <v>17614</v>
      </c>
      <c r="K1196" s="336"/>
      <c r="L1196" s="529"/>
      <c r="M1196" s="529"/>
      <c r="N1196" s="529"/>
      <c r="O1196" s="336"/>
      <c r="P1196" s="530">
        <f t="shared" si="387"/>
        <v>17684</v>
      </c>
      <c r="Q1196" s="530">
        <f t="shared" si="399"/>
        <v>-70</v>
      </c>
      <c r="R1196" s="530">
        <f t="shared" si="399"/>
        <v>17614</v>
      </c>
    </row>
    <row r="1197" spans="2:18" x14ac:dyDescent="0.2">
      <c r="B1197" s="171">
        <f t="shared" si="402"/>
        <v>663</v>
      </c>
      <c r="C1197" s="143"/>
      <c r="D1197" s="144"/>
      <c r="E1197" s="169"/>
      <c r="F1197" s="144" t="s">
        <v>212</v>
      </c>
      <c r="G1197" s="199" t="s">
        <v>259</v>
      </c>
      <c r="H1197" s="529">
        <f>5914+296</f>
        <v>6210</v>
      </c>
      <c r="I1197" s="529"/>
      <c r="J1197" s="529">
        <f t="shared" si="389"/>
        <v>6210</v>
      </c>
      <c r="K1197" s="336"/>
      <c r="L1197" s="529"/>
      <c r="M1197" s="529"/>
      <c r="N1197" s="529"/>
      <c r="O1197" s="336"/>
      <c r="P1197" s="530">
        <f t="shared" si="387"/>
        <v>6210</v>
      </c>
      <c r="Q1197" s="530">
        <f t="shared" si="399"/>
        <v>0</v>
      </c>
      <c r="R1197" s="530">
        <f t="shared" si="399"/>
        <v>6210</v>
      </c>
    </row>
    <row r="1198" spans="2:18" x14ac:dyDescent="0.2">
      <c r="B1198" s="171">
        <f t="shared" si="402"/>
        <v>664</v>
      </c>
      <c r="C1198" s="143"/>
      <c r="D1198" s="144"/>
      <c r="E1198" s="169"/>
      <c r="F1198" s="144" t="s">
        <v>218</v>
      </c>
      <c r="G1198" s="199" t="s">
        <v>340</v>
      </c>
      <c r="H1198" s="529">
        <f>SUM(H1199:H1202)</f>
        <v>12795</v>
      </c>
      <c r="I1198" s="529">
        <f>SUM(I1199:I1202)</f>
        <v>0</v>
      </c>
      <c r="J1198" s="529">
        <f t="shared" si="389"/>
        <v>12795</v>
      </c>
      <c r="K1198" s="336"/>
      <c r="L1198" s="529"/>
      <c r="M1198" s="529"/>
      <c r="N1198" s="529"/>
      <c r="O1198" s="336"/>
      <c r="P1198" s="530">
        <f t="shared" si="387"/>
        <v>12795</v>
      </c>
      <c r="Q1198" s="530">
        <f t="shared" si="399"/>
        <v>0</v>
      </c>
      <c r="R1198" s="530">
        <f t="shared" si="399"/>
        <v>12795</v>
      </c>
    </row>
    <row r="1199" spans="2:18" x14ac:dyDescent="0.2">
      <c r="B1199" s="171">
        <f t="shared" si="402"/>
        <v>665</v>
      </c>
      <c r="C1199" s="143"/>
      <c r="D1199" s="144"/>
      <c r="E1199" s="169"/>
      <c r="F1199" s="131" t="s">
        <v>199</v>
      </c>
      <c r="G1199" s="194" t="s">
        <v>318</v>
      </c>
      <c r="H1199" s="434">
        <f>8300-2500</f>
        <v>5800</v>
      </c>
      <c r="I1199" s="434">
        <v>-1130</v>
      </c>
      <c r="J1199" s="434">
        <f t="shared" si="389"/>
        <v>4670</v>
      </c>
      <c r="K1199" s="336"/>
      <c r="L1199" s="529"/>
      <c r="M1199" s="529"/>
      <c r="N1199" s="529"/>
      <c r="O1199" s="336"/>
      <c r="P1199" s="168">
        <f t="shared" si="387"/>
        <v>5800</v>
      </c>
      <c r="Q1199" s="168">
        <f t="shared" si="399"/>
        <v>-1130</v>
      </c>
      <c r="R1199" s="168">
        <f t="shared" si="399"/>
        <v>4670</v>
      </c>
    </row>
    <row r="1200" spans="2:18" x14ac:dyDescent="0.2">
      <c r="B1200" s="171">
        <f t="shared" si="402"/>
        <v>666</v>
      </c>
      <c r="C1200" s="143"/>
      <c r="D1200" s="144"/>
      <c r="E1200" s="169"/>
      <c r="F1200" s="131" t="s">
        <v>200</v>
      </c>
      <c r="G1200" s="194" t="s">
        <v>247</v>
      </c>
      <c r="H1200" s="434">
        <f>1350+2000</f>
        <v>3350</v>
      </c>
      <c r="I1200" s="434">
        <v>1481</v>
      </c>
      <c r="J1200" s="434">
        <f t="shared" si="389"/>
        <v>4831</v>
      </c>
      <c r="K1200" s="336"/>
      <c r="L1200" s="529"/>
      <c r="M1200" s="529"/>
      <c r="N1200" s="529"/>
      <c r="O1200" s="336"/>
      <c r="P1200" s="168">
        <f t="shared" ref="P1200:P1263" si="404">H1200+L1200</f>
        <v>3350</v>
      </c>
      <c r="Q1200" s="168">
        <f t="shared" ref="Q1200:R1215" si="405">I1200+M1200</f>
        <v>1481</v>
      </c>
      <c r="R1200" s="168">
        <f t="shared" si="405"/>
        <v>4831</v>
      </c>
    </row>
    <row r="1201" spans="2:18" x14ac:dyDescent="0.2">
      <c r="B1201" s="171">
        <f t="shared" si="402"/>
        <v>667</v>
      </c>
      <c r="C1201" s="143"/>
      <c r="D1201" s="144"/>
      <c r="E1201" s="169"/>
      <c r="F1201" s="290" t="s">
        <v>214</v>
      </c>
      <c r="G1201" s="202" t="s">
        <v>261</v>
      </c>
      <c r="H1201" s="434">
        <v>2100</v>
      </c>
      <c r="I1201" s="434">
        <v>-387</v>
      </c>
      <c r="J1201" s="434">
        <f t="shared" si="389"/>
        <v>1713</v>
      </c>
      <c r="K1201" s="336"/>
      <c r="L1201" s="529"/>
      <c r="M1201" s="529"/>
      <c r="N1201" s="529"/>
      <c r="O1201" s="336"/>
      <c r="P1201" s="168">
        <f t="shared" si="404"/>
        <v>2100</v>
      </c>
      <c r="Q1201" s="168">
        <f t="shared" si="405"/>
        <v>-387</v>
      </c>
      <c r="R1201" s="168">
        <f t="shared" si="405"/>
        <v>1713</v>
      </c>
    </row>
    <row r="1202" spans="2:18" x14ac:dyDescent="0.2">
      <c r="B1202" s="171">
        <f t="shared" si="402"/>
        <v>668</v>
      </c>
      <c r="C1202" s="143"/>
      <c r="D1202" s="144"/>
      <c r="E1202" s="169"/>
      <c r="F1202" s="131" t="s">
        <v>216</v>
      </c>
      <c r="G1202" s="194" t="s">
        <v>248</v>
      </c>
      <c r="H1202" s="434">
        <f>1045+500</f>
        <v>1545</v>
      </c>
      <c r="I1202" s="434">
        <v>36</v>
      </c>
      <c r="J1202" s="434">
        <f t="shared" ref="J1202:J1265" si="406">H1202+I1202</f>
        <v>1581</v>
      </c>
      <c r="K1202" s="336"/>
      <c r="L1202" s="529"/>
      <c r="M1202" s="529"/>
      <c r="N1202" s="529"/>
      <c r="O1202" s="336"/>
      <c r="P1202" s="168">
        <f t="shared" si="404"/>
        <v>1545</v>
      </c>
      <c r="Q1202" s="168">
        <f t="shared" si="405"/>
        <v>36</v>
      </c>
      <c r="R1202" s="168">
        <f t="shared" si="405"/>
        <v>1581</v>
      </c>
    </row>
    <row r="1203" spans="2:18" x14ac:dyDescent="0.2">
      <c r="B1203" s="171"/>
      <c r="C1203" s="143"/>
      <c r="D1203" s="144"/>
      <c r="E1203" s="169"/>
      <c r="F1203" s="144" t="s">
        <v>217</v>
      </c>
      <c r="G1203" s="199" t="s">
        <v>371</v>
      </c>
      <c r="H1203" s="402">
        <v>75</v>
      </c>
      <c r="I1203" s="402">
        <v>70</v>
      </c>
      <c r="J1203" s="402">
        <f t="shared" si="406"/>
        <v>145</v>
      </c>
      <c r="K1203" s="336"/>
      <c r="L1203" s="529"/>
      <c r="M1203" s="529"/>
      <c r="N1203" s="529"/>
      <c r="O1203" s="336"/>
      <c r="P1203" s="530">
        <f t="shared" si="404"/>
        <v>75</v>
      </c>
      <c r="Q1203" s="530">
        <f t="shared" si="405"/>
        <v>70</v>
      </c>
      <c r="R1203" s="530">
        <f t="shared" si="405"/>
        <v>145</v>
      </c>
    </row>
    <row r="1204" spans="2:18" ht="15" x14ac:dyDescent="0.25">
      <c r="B1204" s="171">
        <f>B1202+1</f>
        <v>669</v>
      </c>
      <c r="C1204" s="143"/>
      <c r="D1204" s="261" t="s">
        <v>470</v>
      </c>
      <c r="E1204" s="175"/>
      <c r="F1204" s="147" t="s">
        <v>381</v>
      </c>
      <c r="G1204" s="236"/>
      <c r="H1204" s="425">
        <f>H1205+H1214</f>
        <v>64761</v>
      </c>
      <c r="I1204" s="425">
        <f t="shared" ref="I1204" si="407">I1205+I1214</f>
        <v>0</v>
      </c>
      <c r="J1204" s="425">
        <f t="shared" si="406"/>
        <v>64761</v>
      </c>
      <c r="K1204" s="334"/>
      <c r="L1204" s="849"/>
      <c r="M1204" s="849"/>
      <c r="N1204" s="849"/>
      <c r="O1204" s="334"/>
      <c r="P1204" s="330">
        <f t="shared" si="404"/>
        <v>64761</v>
      </c>
      <c r="Q1204" s="330">
        <f t="shared" si="405"/>
        <v>0</v>
      </c>
      <c r="R1204" s="330">
        <f t="shared" si="405"/>
        <v>64761</v>
      </c>
    </row>
    <row r="1205" spans="2:18" ht="14.25" x14ac:dyDescent="0.2">
      <c r="B1205" s="171">
        <f t="shared" si="402"/>
        <v>670</v>
      </c>
      <c r="C1205" s="76"/>
      <c r="D1205" s="515"/>
      <c r="E1205" s="521" t="s">
        <v>688</v>
      </c>
      <c r="F1205" s="518" t="s">
        <v>691</v>
      </c>
      <c r="G1205" s="517"/>
      <c r="H1205" s="519">
        <f>H1206+H1208+H1207+H1213</f>
        <v>32380</v>
      </c>
      <c r="I1205" s="519">
        <f t="shared" ref="I1205" si="408">I1206+I1208+I1207+I1213</f>
        <v>0</v>
      </c>
      <c r="J1205" s="519">
        <f t="shared" si="406"/>
        <v>32380</v>
      </c>
      <c r="K1205" s="333"/>
      <c r="L1205" s="856"/>
      <c r="M1205" s="856"/>
      <c r="N1205" s="856"/>
      <c r="O1205" s="333"/>
      <c r="P1205" s="520">
        <f t="shared" si="404"/>
        <v>32380</v>
      </c>
      <c r="Q1205" s="520">
        <f t="shared" si="405"/>
        <v>0</v>
      </c>
      <c r="R1205" s="520">
        <f t="shared" si="405"/>
        <v>32380</v>
      </c>
    </row>
    <row r="1206" spans="2:18" x14ac:dyDescent="0.2">
      <c r="B1206" s="171">
        <f t="shared" si="402"/>
        <v>671</v>
      </c>
      <c r="C1206" s="143"/>
      <c r="D1206" s="144"/>
      <c r="E1206" s="131"/>
      <c r="F1206" s="144" t="s">
        <v>211</v>
      </c>
      <c r="G1206" s="199" t="s">
        <v>505</v>
      </c>
      <c r="H1206" s="529">
        <f>18007+900+600</f>
        <v>19507</v>
      </c>
      <c r="I1206" s="529"/>
      <c r="J1206" s="529">
        <f t="shared" si="406"/>
        <v>19507</v>
      </c>
      <c r="K1206" s="336"/>
      <c r="L1206" s="402"/>
      <c r="M1206" s="402"/>
      <c r="N1206" s="402"/>
      <c r="O1206" s="336"/>
      <c r="P1206" s="166">
        <f t="shared" si="404"/>
        <v>19507</v>
      </c>
      <c r="Q1206" s="166">
        <f t="shared" si="405"/>
        <v>0</v>
      </c>
      <c r="R1206" s="166">
        <f t="shared" si="405"/>
        <v>19507</v>
      </c>
    </row>
    <row r="1207" spans="2:18" x14ac:dyDescent="0.2">
      <c r="B1207" s="171">
        <f t="shared" si="402"/>
        <v>672</v>
      </c>
      <c r="C1207" s="143"/>
      <c r="D1207" s="144"/>
      <c r="E1207" s="131"/>
      <c r="F1207" s="144" t="s">
        <v>212</v>
      </c>
      <c r="G1207" s="199" t="s">
        <v>259</v>
      </c>
      <c r="H1207" s="529">
        <f>6779+339-600</f>
        <v>6518</v>
      </c>
      <c r="I1207" s="529"/>
      <c r="J1207" s="529">
        <f t="shared" si="406"/>
        <v>6518</v>
      </c>
      <c r="K1207" s="336"/>
      <c r="L1207" s="402"/>
      <c r="M1207" s="402"/>
      <c r="N1207" s="402"/>
      <c r="O1207" s="336"/>
      <c r="P1207" s="166">
        <f t="shared" si="404"/>
        <v>6518</v>
      </c>
      <c r="Q1207" s="166">
        <f t="shared" si="405"/>
        <v>0</v>
      </c>
      <c r="R1207" s="166">
        <f t="shared" si="405"/>
        <v>6518</v>
      </c>
    </row>
    <row r="1208" spans="2:18" x14ac:dyDescent="0.2">
      <c r="B1208" s="171">
        <f t="shared" si="402"/>
        <v>673</v>
      </c>
      <c r="C1208" s="143"/>
      <c r="D1208" s="144"/>
      <c r="E1208" s="131"/>
      <c r="F1208" s="144" t="s">
        <v>218</v>
      </c>
      <c r="G1208" s="199" t="s">
        <v>340</v>
      </c>
      <c r="H1208" s="529">
        <f>SUM(H1209:H1212)</f>
        <v>6255</v>
      </c>
      <c r="I1208" s="529"/>
      <c r="J1208" s="529">
        <f t="shared" si="406"/>
        <v>6255</v>
      </c>
      <c r="K1208" s="336"/>
      <c r="L1208" s="402"/>
      <c r="M1208" s="402"/>
      <c r="N1208" s="402"/>
      <c r="O1208" s="336"/>
      <c r="P1208" s="166">
        <f t="shared" si="404"/>
        <v>6255</v>
      </c>
      <c r="Q1208" s="166">
        <f t="shared" si="405"/>
        <v>0</v>
      </c>
      <c r="R1208" s="166">
        <f t="shared" si="405"/>
        <v>6255</v>
      </c>
    </row>
    <row r="1209" spans="2:18" x14ac:dyDescent="0.2">
      <c r="B1209" s="171">
        <f t="shared" si="402"/>
        <v>674</v>
      </c>
      <c r="C1209" s="143"/>
      <c r="D1209" s="144"/>
      <c r="E1209" s="131"/>
      <c r="F1209" s="131" t="s">
        <v>199</v>
      </c>
      <c r="G1209" s="194" t="s">
        <v>318</v>
      </c>
      <c r="H1209" s="399">
        <f>4445-560</f>
        <v>3885</v>
      </c>
      <c r="I1209" s="399"/>
      <c r="J1209" s="399">
        <f t="shared" si="406"/>
        <v>3885</v>
      </c>
      <c r="K1209" s="336"/>
      <c r="L1209" s="402"/>
      <c r="M1209" s="402"/>
      <c r="N1209" s="402"/>
      <c r="O1209" s="336"/>
      <c r="P1209" s="167">
        <f t="shared" si="404"/>
        <v>3885</v>
      </c>
      <c r="Q1209" s="167">
        <f t="shared" si="405"/>
        <v>0</v>
      </c>
      <c r="R1209" s="167">
        <f t="shared" si="405"/>
        <v>3885</v>
      </c>
    </row>
    <row r="1210" spans="2:18" x14ac:dyDescent="0.2">
      <c r="B1210" s="171">
        <f t="shared" si="402"/>
        <v>675</v>
      </c>
      <c r="C1210" s="143"/>
      <c r="D1210" s="144"/>
      <c r="E1210" s="131"/>
      <c r="F1210" s="131" t="s">
        <v>200</v>
      </c>
      <c r="G1210" s="194" t="s">
        <v>247</v>
      </c>
      <c r="H1210" s="399">
        <f>500+180</f>
        <v>680</v>
      </c>
      <c r="I1210" s="399"/>
      <c r="J1210" s="399">
        <f t="shared" si="406"/>
        <v>680</v>
      </c>
      <c r="K1210" s="337"/>
      <c r="L1210" s="529"/>
      <c r="M1210" s="529"/>
      <c r="N1210" s="529"/>
      <c r="O1210" s="337"/>
      <c r="P1210" s="168">
        <f t="shared" si="404"/>
        <v>680</v>
      </c>
      <c r="Q1210" s="168">
        <f t="shared" si="405"/>
        <v>0</v>
      </c>
      <c r="R1210" s="168">
        <f t="shared" si="405"/>
        <v>680</v>
      </c>
    </row>
    <row r="1211" spans="2:18" x14ac:dyDescent="0.2">
      <c r="B1211" s="171">
        <f t="shared" si="402"/>
        <v>676</v>
      </c>
      <c r="C1211" s="143"/>
      <c r="D1211" s="144"/>
      <c r="E1211" s="131"/>
      <c r="F1211" s="131" t="s">
        <v>214</v>
      </c>
      <c r="G1211" s="194" t="s">
        <v>261</v>
      </c>
      <c r="H1211" s="430">
        <v>200</v>
      </c>
      <c r="I1211" s="430"/>
      <c r="J1211" s="430">
        <f t="shared" si="406"/>
        <v>200</v>
      </c>
      <c r="K1211" s="336"/>
      <c r="L1211" s="865"/>
      <c r="M1211" s="865"/>
      <c r="N1211" s="865"/>
      <c r="O1211" s="336"/>
      <c r="P1211" s="267">
        <f t="shared" si="404"/>
        <v>200</v>
      </c>
      <c r="Q1211" s="267">
        <f t="shared" si="405"/>
        <v>0</v>
      </c>
      <c r="R1211" s="267">
        <f t="shared" si="405"/>
        <v>200</v>
      </c>
    </row>
    <row r="1212" spans="2:18" x14ac:dyDescent="0.2">
      <c r="B1212" s="171">
        <f t="shared" si="402"/>
        <v>677</v>
      </c>
      <c r="C1212" s="130"/>
      <c r="D1212" s="131"/>
      <c r="E1212" s="131"/>
      <c r="F1212" s="131" t="s">
        <v>216</v>
      </c>
      <c r="G1212" s="194" t="s">
        <v>248</v>
      </c>
      <c r="H1212" s="399">
        <f>1110+380</f>
        <v>1490</v>
      </c>
      <c r="I1212" s="399"/>
      <c r="J1212" s="399">
        <f t="shared" si="406"/>
        <v>1490</v>
      </c>
      <c r="K1212" s="339"/>
      <c r="L1212" s="434"/>
      <c r="M1212" s="434"/>
      <c r="N1212" s="434"/>
      <c r="O1212" s="339"/>
      <c r="P1212" s="167">
        <f t="shared" si="404"/>
        <v>1490</v>
      </c>
      <c r="Q1212" s="167">
        <f t="shared" si="405"/>
        <v>0</v>
      </c>
      <c r="R1212" s="167">
        <f t="shared" si="405"/>
        <v>1490</v>
      </c>
    </row>
    <row r="1213" spans="2:18" x14ac:dyDescent="0.2">
      <c r="B1213" s="171">
        <f t="shared" si="402"/>
        <v>678</v>
      </c>
      <c r="C1213" s="130"/>
      <c r="D1213" s="130"/>
      <c r="E1213" s="134"/>
      <c r="F1213" s="144" t="s">
        <v>217</v>
      </c>
      <c r="G1213" s="199" t="s">
        <v>507</v>
      </c>
      <c r="H1213" s="529">
        <v>100</v>
      </c>
      <c r="I1213" s="529"/>
      <c r="J1213" s="529">
        <f t="shared" si="406"/>
        <v>100</v>
      </c>
      <c r="K1213" s="343"/>
      <c r="L1213" s="399"/>
      <c r="M1213" s="399"/>
      <c r="N1213" s="399"/>
      <c r="O1213" s="343"/>
      <c r="P1213" s="530">
        <f t="shared" si="404"/>
        <v>100</v>
      </c>
      <c r="Q1213" s="530">
        <f t="shared" si="405"/>
        <v>0</v>
      </c>
      <c r="R1213" s="530">
        <f t="shared" si="405"/>
        <v>100</v>
      </c>
    </row>
    <row r="1214" spans="2:18" ht="14.25" x14ac:dyDescent="0.2">
      <c r="B1214" s="171">
        <f t="shared" si="402"/>
        <v>679</v>
      </c>
      <c r="C1214" s="76"/>
      <c r="D1214" s="515"/>
      <c r="E1214" s="521" t="s">
        <v>689</v>
      </c>
      <c r="F1214" s="518" t="s">
        <v>690</v>
      </c>
      <c r="G1214" s="517"/>
      <c r="H1214" s="523">
        <f>H1215+H1216+H1217+H1222</f>
        <v>32381</v>
      </c>
      <c r="I1214" s="523">
        <f t="shared" ref="I1214" si="409">I1215+I1216+I1217+I1222</f>
        <v>0</v>
      </c>
      <c r="J1214" s="523">
        <f t="shared" si="406"/>
        <v>32381</v>
      </c>
      <c r="K1214" s="333"/>
      <c r="L1214" s="856"/>
      <c r="M1214" s="856"/>
      <c r="N1214" s="856"/>
      <c r="O1214" s="333"/>
      <c r="P1214" s="520">
        <f t="shared" si="404"/>
        <v>32381</v>
      </c>
      <c r="Q1214" s="520">
        <f t="shared" si="405"/>
        <v>0</v>
      </c>
      <c r="R1214" s="520">
        <f t="shared" si="405"/>
        <v>32381</v>
      </c>
    </row>
    <row r="1215" spans="2:18" x14ac:dyDescent="0.2">
      <c r="B1215" s="171">
        <f t="shared" si="402"/>
        <v>680</v>
      </c>
      <c r="C1215" s="143"/>
      <c r="D1215" s="144"/>
      <c r="E1215" s="169"/>
      <c r="F1215" s="144" t="s">
        <v>211</v>
      </c>
      <c r="G1215" s="199" t="s">
        <v>505</v>
      </c>
      <c r="H1215" s="529">
        <f>18008+900+900</f>
        <v>19808</v>
      </c>
      <c r="I1215" s="529"/>
      <c r="J1215" s="529">
        <f t="shared" si="406"/>
        <v>19808</v>
      </c>
      <c r="K1215" s="336"/>
      <c r="L1215" s="529"/>
      <c r="M1215" s="529"/>
      <c r="N1215" s="529"/>
      <c r="O1215" s="336"/>
      <c r="P1215" s="530">
        <f t="shared" si="404"/>
        <v>19808</v>
      </c>
      <c r="Q1215" s="530">
        <f t="shared" si="405"/>
        <v>0</v>
      </c>
      <c r="R1215" s="530">
        <f t="shared" si="405"/>
        <v>19808</v>
      </c>
    </row>
    <row r="1216" spans="2:18" x14ac:dyDescent="0.2">
      <c r="B1216" s="171">
        <f t="shared" si="402"/>
        <v>681</v>
      </c>
      <c r="C1216" s="143"/>
      <c r="D1216" s="144"/>
      <c r="E1216" s="169"/>
      <c r="F1216" s="144" t="s">
        <v>212</v>
      </c>
      <c r="G1216" s="199" t="s">
        <v>259</v>
      </c>
      <c r="H1216" s="529">
        <f>6779+339-1300</f>
        <v>5818</v>
      </c>
      <c r="I1216" s="529"/>
      <c r="J1216" s="529">
        <f t="shared" si="406"/>
        <v>5818</v>
      </c>
      <c r="K1216" s="336"/>
      <c r="L1216" s="529"/>
      <c r="M1216" s="529"/>
      <c r="N1216" s="529"/>
      <c r="O1216" s="336"/>
      <c r="P1216" s="530">
        <f t="shared" si="404"/>
        <v>5818</v>
      </c>
      <c r="Q1216" s="530">
        <f t="shared" ref="Q1216:R1231" si="410">I1216+M1216</f>
        <v>0</v>
      </c>
      <c r="R1216" s="530">
        <f t="shared" si="410"/>
        <v>5818</v>
      </c>
    </row>
    <row r="1217" spans="2:18" x14ac:dyDescent="0.2">
      <c r="B1217" s="171">
        <f t="shared" si="402"/>
        <v>682</v>
      </c>
      <c r="C1217" s="143"/>
      <c r="D1217" s="144"/>
      <c r="E1217" s="169"/>
      <c r="F1217" s="144" t="s">
        <v>218</v>
      </c>
      <c r="G1217" s="199" t="s">
        <v>340</v>
      </c>
      <c r="H1217" s="529">
        <f>SUM(H1218:H1221)</f>
        <v>6655</v>
      </c>
      <c r="I1217" s="529"/>
      <c r="J1217" s="529">
        <f t="shared" si="406"/>
        <v>6655</v>
      </c>
      <c r="K1217" s="336"/>
      <c r="L1217" s="529"/>
      <c r="M1217" s="529"/>
      <c r="N1217" s="529"/>
      <c r="O1217" s="336"/>
      <c r="P1217" s="530">
        <f t="shared" si="404"/>
        <v>6655</v>
      </c>
      <c r="Q1217" s="530">
        <f t="shared" si="410"/>
        <v>0</v>
      </c>
      <c r="R1217" s="530">
        <f t="shared" si="410"/>
        <v>6655</v>
      </c>
    </row>
    <row r="1218" spans="2:18" x14ac:dyDescent="0.2">
      <c r="B1218" s="171">
        <f t="shared" si="402"/>
        <v>683</v>
      </c>
      <c r="C1218" s="143"/>
      <c r="D1218" s="144"/>
      <c r="E1218" s="169"/>
      <c r="F1218" s="131" t="s">
        <v>199</v>
      </c>
      <c r="G1218" s="194" t="s">
        <v>318</v>
      </c>
      <c r="H1218" s="434">
        <f>4445-160</f>
        <v>4285</v>
      </c>
      <c r="I1218" s="434"/>
      <c r="J1218" s="434">
        <f t="shared" si="406"/>
        <v>4285</v>
      </c>
      <c r="K1218" s="336"/>
      <c r="L1218" s="529"/>
      <c r="M1218" s="529"/>
      <c r="N1218" s="529"/>
      <c r="O1218" s="336"/>
      <c r="P1218" s="168">
        <f t="shared" si="404"/>
        <v>4285</v>
      </c>
      <c r="Q1218" s="168">
        <f t="shared" si="410"/>
        <v>0</v>
      </c>
      <c r="R1218" s="168">
        <f t="shared" si="410"/>
        <v>4285</v>
      </c>
    </row>
    <row r="1219" spans="2:18" x14ac:dyDescent="0.2">
      <c r="B1219" s="171">
        <f t="shared" si="402"/>
        <v>684</v>
      </c>
      <c r="C1219" s="143"/>
      <c r="D1219" s="144"/>
      <c r="E1219" s="169"/>
      <c r="F1219" s="131" t="s">
        <v>200</v>
      </c>
      <c r="G1219" s="194" t="s">
        <v>247</v>
      </c>
      <c r="H1219" s="434">
        <f>500+180</f>
        <v>680</v>
      </c>
      <c r="I1219" s="434"/>
      <c r="J1219" s="434">
        <f t="shared" si="406"/>
        <v>680</v>
      </c>
      <c r="K1219" s="336"/>
      <c r="L1219" s="529"/>
      <c r="M1219" s="529"/>
      <c r="N1219" s="529"/>
      <c r="O1219" s="336"/>
      <c r="P1219" s="168">
        <f t="shared" si="404"/>
        <v>680</v>
      </c>
      <c r="Q1219" s="168">
        <f t="shared" si="410"/>
        <v>0</v>
      </c>
      <c r="R1219" s="168">
        <f t="shared" si="410"/>
        <v>680</v>
      </c>
    </row>
    <row r="1220" spans="2:18" x14ac:dyDescent="0.2">
      <c r="B1220" s="171">
        <f t="shared" si="402"/>
        <v>685</v>
      </c>
      <c r="C1220" s="143"/>
      <c r="D1220" s="144"/>
      <c r="E1220" s="169"/>
      <c r="F1220" s="290" t="s">
        <v>214</v>
      </c>
      <c r="G1220" s="202" t="s">
        <v>261</v>
      </c>
      <c r="H1220" s="399">
        <v>200</v>
      </c>
      <c r="I1220" s="399"/>
      <c r="J1220" s="399">
        <f t="shared" si="406"/>
        <v>200</v>
      </c>
      <c r="K1220" s="336"/>
      <c r="L1220" s="529"/>
      <c r="M1220" s="529"/>
      <c r="N1220" s="529"/>
      <c r="O1220" s="336"/>
      <c r="P1220" s="168">
        <f t="shared" si="404"/>
        <v>200</v>
      </c>
      <c r="Q1220" s="168">
        <f t="shared" si="410"/>
        <v>0</v>
      </c>
      <c r="R1220" s="168">
        <f t="shared" si="410"/>
        <v>200</v>
      </c>
    </row>
    <row r="1221" spans="2:18" x14ac:dyDescent="0.2">
      <c r="B1221" s="171">
        <f t="shared" si="402"/>
        <v>686</v>
      </c>
      <c r="C1221" s="143"/>
      <c r="D1221" s="144"/>
      <c r="E1221" s="169"/>
      <c r="F1221" s="131" t="s">
        <v>216</v>
      </c>
      <c r="G1221" s="194" t="s">
        <v>248</v>
      </c>
      <c r="H1221" s="399">
        <f>1110+380</f>
        <v>1490</v>
      </c>
      <c r="I1221" s="399"/>
      <c r="J1221" s="399">
        <f t="shared" si="406"/>
        <v>1490</v>
      </c>
      <c r="K1221" s="336"/>
      <c r="L1221" s="529"/>
      <c r="M1221" s="529"/>
      <c r="N1221" s="529"/>
      <c r="O1221" s="336"/>
      <c r="P1221" s="168">
        <f t="shared" si="404"/>
        <v>1490</v>
      </c>
      <c r="Q1221" s="168">
        <f t="shared" si="410"/>
        <v>0</v>
      </c>
      <c r="R1221" s="168">
        <f t="shared" si="410"/>
        <v>1490</v>
      </c>
    </row>
    <row r="1222" spans="2:18" x14ac:dyDescent="0.2">
      <c r="B1222" s="171">
        <f t="shared" si="402"/>
        <v>687</v>
      </c>
      <c r="C1222" s="143"/>
      <c r="D1222" s="144"/>
      <c r="E1222" s="169"/>
      <c r="F1222" s="144" t="s">
        <v>217</v>
      </c>
      <c r="G1222" s="199" t="s">
        <v>371</v>
      </c>
      <c r="H1222" s="529">
        <v>100</v>
      </c>
      <c r="I1222" s="529"/>
      <c r="J1222" s="529">
        <f t="shared" si="406"/>
        <v>100</v>
      </c>
      <c r="K1222" s="336"/>
      <c r="L1222" s="529"/>
      <c r="M1222" s="529"/>
      <c r="N1222" s="529"/>
      <c r="O1222" s="336"/>
      <c r="P1222" s="530">
        <f t="shared" si="404"/>
        <v>100</v>
      </c>
      <c r="Q1222" s="530">
        <f t="shared" si="410"/>
        <v>0</v>
      </c>
      <c r="R1222" s="530">
        <f t="shared" si="410"/>
        <v>100</v>
      </c>
    </row>
    <row r="1223" spans="2:18" ht="15" x14ac:dyDescent="0.25">
      <c r="B1223" s="171">
        <f t="shared" si="402"/>
        <v>688</v>
      </c>
      <c r="C1223" s="130"/>
      <c r="D1223" s="263">
        <v>20</v>
      </c>
      <c r="E1223" s="268"/>
      <c r="F1223" s="265" t="s">
        <v>382</v>
      </c>
      <c r="G1223" s="266"/>
      <c r="H1223" s="427">
        <f>H1224+H1233</f>
        <v>70589</v>
      </c>
      <c r="I1223" s="427">
        <f t="shared" ref="I1223" si="411">I1224+I1233</f>
        <v>0</v>
      </c>
      <c r="J1223" s="427">
        <f t="shared" si="406"/>
        <v>70589</v>
      </c>
      <c r="K1223" s="342"/>
      <c r="L1223" s="861">
        <f>L1224+L1233</f>
        <v>9530</v>
      </c>
      <c r="M1223" s="861"/>
      <c r="N1223" s="861">
        <f t="shared" ref="N1223:N1245" si="412">L1223+M1223</f>
        <v>9530</v>
      </c>
      <c r="O1223" s="342"/>
      <c r="P1223" s="346">
        <f t="shared" si="404"/>
        <v>80119</v>
      </c>
      <c r="Q1223" s="346">
        <f t="shared" si="410"/>
        <v>0</v>
      </c>
      <c r="R1223" s="346">
        <f t="shared" si="410"/>
        <v>80119</v>
      </c>
    </row>
    <row r="1224" spans="2:18" ht="14.25" x14ac:dyDescent="0.2">
      <c r="B1224" s="171">
        <f t="shared" si="402"/>
        <v>689</v>
      </c>
      <c r="C1224" s="76"/>
      <c r="D1224" s="515"/>
      <c r="E1224" s="521" t="s">
        <v>688</v>
      </c>
      <c r="F1224" s="518" t="s">
        <v>691</v>
      </c>
      <c r="G1224" s="517"/>
      <c r="H1224" s="519">
        <f>H1225+H1226+H1227+H1231</f>
        <v>31654</v>
      </c>
      <c r="I1224" s="519">
        <f t="shared" ref="I1224" si="413">I1225+I1226+I1227+I1231</f>
        <v>0</v>
      </c>
      <c r="J1224" s="519">
        <f t="shared" si="406"/>
        <v>31654</v>
      </c>
      <c r="K1224" s="333"/>
      <c r="L1224" s="523">
        <f>L1232</f>
        <v>2520</v>
      </c>
      <c r="M1224" s="523"/>
      <c r="N1224" s="523">
        <f t="shared" si="412"/>
        <v>2520</v>
      </c>
      <c r="O1224" s="333"/>
      <c r="P1224" s="520">
        <f t="shared" si="404"/>
        <v>34174</v>
      </c>
      <c r="Q1224" s="520">
        <f t="shared" si="410"/>
        <v>0</v>
      </c>
      <c r="R1224" s="520">
        <f t="shared" si="410"/>
        <v>34174</v>
      </c>
    </row>
    <row r="1225" spans="2:18" x14ac:dyDescent="0.2">
      <c r="B1225" s="171">
        <f t="shared" si="402"/>
        <v>690</v>
      </c>
      <c r="C1225" s="130"/>
      <c r="D1225" s="130"/>
      <c r="E1225" s="134"/>
      <c r="F1225" s="144" t="s">
        <v>211</v>
      </c>
      <c r="G1225" s="199" t="s">
        <v>505</v>
      </c>
      <c r="H1225" s="529">
        <f>17505+875</f>
        <v>18380</v>
      </c>
      <c r="I1225" s="529"/>
      <c r="J1225" s="529">
        <f t="shared" si="406"/>
        <v>18380</v>
      </c>
      <c r="K1225" s="339"/>
      <c r="L1225" s="399"/>
      <c r="M1225" s="399"/>
      <c r="N1225" s="399"/>
      <c r="O1225" s="339"/>
      <c r="P1225" s="530">
        <f t="shared" si="404"/>
        <v>18380</v>
      </c>
      <c r="Q1225" s="530">
        <f t="shared" si="410"/>
        <v>0</v>
      </c>
      <c r="R1225" s="530">
        <f t="shared" si="410"/>
        <v>18380</v>
      </c>
    </row>
    <row r="1226" spans="2:18" x14ac:dyDescent="0.2">
      <c r="B1226" s="171">
        <f t="shared" si="402"/>
        <v>691</v>
      </c>
      <c r="C1226" s="130"/>
      <c r="D1226" s="130"/>
      <c r="E1226" s="134"/>
      <c r="F1226" s="144" t="s">
        <v>212</v>
      </c>
      <c r="G1226" s="199" t="s">
        <v>259</v>
      </c>
      <c r="H1226" s="529">
        <f>6357+318</f>
        <v>6675</v>
      </c>
      <c r="I1226" s="529"/>
      <c r="J1226" s="529">
        <f t="shared" si="406"/>
        <v>6675</v>
      </c>
      <c r="K1226" s="339"/>
      <c r="L1226" s="399"/>
      <c r="M1226" s="399"/>
      <c r="N1226" s="399"/>
      <c r="O1226" s="339"/>
      <c r="P1226" s="530">
        <f t="shared" si="404"/>
        <v>6675</v>
      </c>
      <c r="Q1226" s="530">
        <f t="shared" si="410"/>
        <v>0</v>
      </c>
      <c r="R1226" s="530">
        <f t="shared" si="410"/>
        <v>6675</v>
      </c>
    </row>
    <row r="1227" spans="2:18" x14ac:dyDescent="0.2">
      <c r="B1227" s="171">
        <f t="shared" si="402"/>
        <v>692</v>
      </c>
      <c r="C1227" s="130"/>
      <c r="D1227" s="130"/>
      <c r="E1227" s="134"/>
      <c r="F1227" s="144" t="s">
        <v>218</v>
      </c>
      <c r="G1227" s="199" t="s">
        <v>340</v>
      </c>
      <c r="H1227" s="529">
        <f>SUM(H1228:H1230)</f>
        <v>6579</v>
      </c>
      <c r="I1227" s="529">
        <f>SUM(I1228:I1230)</f>
        <v>20</v>
      </c>
      <c r="J1227" s="529">
        <f t="shared" si="406"/>
        <v>6599</v>
      </c>
      <c r="K1227" s="339"/>
      <c r="L1227" s="399"/>
      <c r="M1227" s="399"/>
      <c r="N1227" s="399"/>
      <c r="O1227" s="339"/>
      <c r="P1227" s="530">
        <f t="shared" si="404"/>
        <v>6579</v>
      </c>
      <c r="Q1227" s="530">
        <f t="shared" si="410"/>
        <v>20</v>
      </c>
      <c r="R1227" s="530">
        <f t="shared" si="410"/>
        <v>6599</v>
      </c>
    </row>
    <row r="1228" spans="2:18" x14ac:dyDescent="0.2">
      <c r="B1228" s="171">
        <f t="shared" si="402"/>
        <v>693</v>
      </c>
      <c r="C1228" s="130"/>
      <c r="D1228" s="130"/>
      <c r="E1228" s="134"/>
      <c r="F1228" s="131" t="s">
        <v>199</v>
      </c>
      <c r="G1228" s="194" t="s">
        <v>318</v>
      </c>
      <c r="H1228" s="399">
        <v>2147</v>
      </c>
      <c r="I1228" s="399">
        <v>1000</v>
      </c>
      <c r="J1228" s="399">
        <f t="shared" si="406"/>
        <v>3147</v>
      </c>
      <c r="K1228" s="339"/>
      <c r="L1228" s="399"/>
      <c r="M1228" s="399"/>
      <c r="N1228" s="399"/>
      <c r="O1228" s="339"/>
      <c r="P1228" s="168">
        <f t="shared" si="404"/>
        <v>2147</v>
      </c>
      <c r="Q1228" s="168">
        <f t="shared" si="410"/>
        <v>1000</v>
      </c>
      <c r="R1228" s="168">
        <f t="shared" si="410"/>
        <v>3147</v>
      </c>
    </row>
    <row r="1229" spans="2:18" x14ac:dyDescent="0.2">
      <c r="B1229" s="171">
        <f t="shared" si="402"/>
        <v>694</v>
      </c>
      <c r="C1229" s="130"/>
      <c r="D1229" s="130"/>
      <c r="E1229" s="134"/>
      <c r="F1229" s="131" t="s">
        <v>200</v>
      </c>
      <c r="G1229" s="194" t="s">
        <v>247</v>
      </c>
      <c r="H1229" s="399">
        <v>2970</v>
      </c>
      <c r="I1229" s="399">
        <v>-1000</v>
      </c>
      <c r="J1229" s="399">
        <f t="shared" si="406"/>
        <v>1970</v>
      </c>
      <c r="K1229" s="339"/>
      <c r="L1229" s="399"/>
      <c r="M1229" s="399"/>
      <c r="N1229" s="399"/>
      <c r="O1229" s="339"/>
      <c r="P1229" s="168">
        <f t="shared" si="404"/>
        <v>2970</v>
      </c>
      <c r="Q1229" s="168">
        <f t="shared" si="410"/>
        <v>-1000</v>
      </c>
      <c r="R1229" s="168">
        <f t="shared" si="410"/>
        <v>1970</v>
      </c>
    </row>
    <row r="1230" spans="2:18" x14ac:dyDescent="0.2">
      <c r="B1230" s="171">
        <f t="shared" si="402"/>
        <v>695</v>
      </c>
      <c r="C1230" s="130"/>
      <c r="D1230" s="130"/>
      <c r="E1230" s="134"/>
      <c r="F1230" s="131" t="s">
        <v>216</v>
      </c>
      <c r="G1230" s="194" t="s">
        <v>248</v>
      </c>
      <c r="H1230" s="399">
        <v>1462</v>
      </c>
      <c r="I1230" s="399">
        <v>20</v>
      </c>
      <c r="J1230" s="399">
        <f t="shared" si="406"/>
        <v>1482</v>
      </c>
      <c r="K1230" s="339"/>
      <c r="L1230" s="399"/>
      <c r="M1230" s="399"/>
      <c r="N1230" s="399"/>
      <c r="O1230" s="339"/>
      <c r="P1230" s="168">
        <f t="shared" si="404"/>
        <v>1462</v>
      </c>
      <c r="Q1230" s="168">
        <f t="shared" si="410"/>
        <v>20</v>
      </c>
      <c r="R1230" s="168">
        <f t="shared" si="410"/>
        <v>1482</v>
      </c>
    </row>
    <row r="1231" spans="2:18" x14ac:dyDescent="0.2">
      <c r="B1231" s="171">
        <f t="shared" si="402"/>
        <v>696</v>
      </c>
      <c r="C1231" s="130"/>
      <c r="D1231" s="130"/>
      <c r="E1231" s="134"/>
      <c r="F1231" s="144" t="s">
        <v>217</v>
      </c>
      <c r="G1231" s="199" t="s">
        <v>384</v>
      </c>
      <c r="H1231" s="529">
        <v>20</v>
      </c>
      <c r="I1231" s="529">
        <v>-20</v>
      </c>
      <c r="J1231" s="529">
        <f t="shared" si="406"/>
        <v>0</v>
      </c>
      <c r="K1231" s="339"/>
      <c r="L1231" s="399"/>
      <c r="M1231" s="399"/>
      <c r="N1231" s="399"/>
      <c r="O1231" s="339"/>
      <c r="P1231" s="530">
        <f t="shared" si="404"/>
        <v>20</v>
      </c>
      <c r="Q1231" s="530">
        <f t="shared" si="410"/>
        <v>-20</v>
      </c>
      <c r="R1231" s="530">
        <f t="shared" si="410"/>
        <v>0</v>
      </c>
    </row>
    <row r="1232" spans="2:18" x14ac:dyDescent="0.2">
      <c r="B1232" s="171">
        <f t="shared" si="402"/>
        <v>697</v>
      </c>
      <c r="C1232" s="130"/>
      <c r="D1232" s="159"/>
      <c r="E1232" s="161"/>
      <c r="F1232" s="284" t="s">
        <v>606</v>
      </c>
      <c r="G1232" s="199" t="s">
        <v>730</v>
      </c>
      <c r="H1232" s="529"/>
      <c r="I1232" s="529"/>
      <c r="J1232" s="529">
        <f t="shared" si="406"/>
        <v>0</v>
      </c>
      <c r="K1232" s="339"/>
      <c r="L1232" s="529">
        <f>3500-980</f>
        <v>2520</v>
      </c>
      <c r="M1232" s="529"/>
      <c r="N1232" s="529">
        <f t="shared" si="412"/>
        <v>2520</v>
      </c>
      <c r="O1232" s="339"/>
      <c r="P1232" s="530">
        <f t="shared" si="404"/>
        <v>2520</v>
      </c>
      <c r="Q1232" s="530">
        <f t="shared" ref="Q1232:R1247" si="414">I1232+M1232</f>
        <v>0</v>
      </c>
      <c r="R1232" s="530">
        <f t="shared" si="414"/>
        <v>2520</v>
      </c>
    </row>
    <row r="1233" spans="2:18" ht="14.25" x14ac:dyDescent="0.2">
      <c r="B1233" s="171">
        <f t="shared" si="402"/>
        <v>698</v>
      </c>
      <c r="C1233" s="76"/>
      <c r="D1233" s="515"/>
      <c r="E1233" s="521" t="s">
        <v>689</v>
      </c>
      <c r="F1233" s="518" t="s">
        <v>690</v>
      </c>
      <c r="G1233" s="517"/>
      <c r="H1233" s="523">
        <f>H1234+H1235+H1236+H1242</f>
        <v>38935</v>
      </c>
      <c r="I1233" s="523">
        <f>I1234+I1235+I1236+I1242</f>
        <v>0</v>
      </c>
      <c r="J1233" s="523">
        <f t="shared" si="406"/>
        <v>38935</v>
      </c>
      <c r="K1233" s="333"/>
      <c r="L1233" s="523">
        <f>L1243</f>
        <v>7010</v>
      </c>
      <c r="M1233" s="523"/>
      <c r="N1233" s="523">
        <f t="shared" si="412"/>
        <v>7010</v>
      </c>
      <c r="O1233" s="333"/>
      <c r="P1233" s="520">
        <f t="shared" si="404"/>
        <v>45945</v>
      </c>
      <c r="Q1233" s="520">
        <f t="shared" si="414"/>
        <v>0</v>
      </c>
      <c r="R1233" s="520">
        <f t="shared" si="414"/>
        <v>45945</v>
      </c>
    </row>
    <row r="1234" spans="2:18" x14ac:dyDescent="0.2">
      <c r="B1234" s="171">
        <f t="shared" si="402"/>
        <v>699</v>
      </c>
      <c r="C1234" s="143"/>
      <c r="D1234" s="144"/>
      <c r="E1234" s="169"/>
      <c r="F1234" s="144" t="s">
        <v>211</v>
      </c>
      <c r="G1234" s="199" t="s">
        <v>505</v>
      </c>
      <c r="H1234" s="529">
        <f>21452+1073-3000-2590</f>
        <v>16935</v>
      </c>
      <c r="I1234" s="529"/>
      <c r="J1234" s="529">
        <f t="shared" si="406"/>
        <v>16935</v>
      </c>
      <c r="K1234" s="336"/>
      <c r="L1234" s="529"/>
      <c r="M1234" s="529"/>
      <c r="N1234" s="529"/>
      <c r="O1234" s="336"/>
      <c r="P1234" s="530">
        <f t="shared" si="404"/>
        <v>16935</v>
      </c>
      <c r="Q1234" s="530">
        <f t="shared" si="414"/>
        <v>0</v>
      </c>
      <c r="R1234" s="530">
        <f t="shared" si="414"/>
        <v>16935</v>
      </c>
    </row>
    <row r="1235" spans="2:18" x14ac:dyDescent="0.2">
      <c r="B1235" s="171">
        <f t="shared" si="402"/>
        <v>700</v>
      </c>
      <c r="C1235" s="143"/>
      <c r="D1235" s="144"/>
      <c r="E1235" s="169"/>
      <c r="F1235" s="144" t="s">
        <v>212</v>
      </c>
      <c r="G1235" s="199" t="s">
        <v>259</v>
      </c>
      <c r="H1235" s="529">
        <f>7770+389-910</f>
        <v>7249</v>
      </c>
      <c r="I1235" s="529"/>
      <c r="J1235" s="529">
        <f t="shared" si="406"/>
        <v>7249</v>
      </c>
      <c r="K1235" s="336"/>
      <c r="L1235" s="529"/>
      <c r="M1235" s="529"/>
      <c r="N1235" s="529"/>
      <c r="O1235" s="336"/>
      <c r="P1235" s="530">
        <f t="shared" si="404"/>
        <v>7249</v>
      </c>
      <c r="Q1235" s="530">
        <f t="shared" si="414"/>
        <v>0</v>
      </c>
      <c r="R1235" s="530">
        <f t="shared" si="414"/>
        <v>7249</v>
      </c>
    </row>
    <row r="1236" spans="2:18" x14ac:dyDescent="0.2">
      <c r="B1236" s="171">
        <f t="shared" si="402"/>
        <v>701</v>
      </c>
      <c r="C1236" s="143"/>
      <c r="D1236" s="144"/>
      <c r="E1236" s="169"/>
      <c r="F1236" s="144" t="s">
        <v>218</v>
      </c>
      <c r="G1236" s="199" t="s">
        <v>340</v>
      </c>
      <c r="H1236" s="529">
        <f>SUM(H1237:H1241)</f>
        <v>14721</v>
      </c>
      <c r="I1236" s="529">
        <f>SUM(I1237:I1241)</f>
        <v>-100</v>
      </c>
      <c r="J1236" s="529">
        <f t="shared" si="406"/>
        <v>14621</v>
      </c>
      <c r="K1236" s="336"/>
      <c r="L1236" s="529"/>
      <c r="M1236" s="529"/>
      <c r="N1236" s="529"/>
      <c r="O1236" s="336"/>
      <c r="P1236" s="530">
        <f t="shared" si="404"/>
        <v>14721</v>
      </c>
      <c r="Q1236" s="530">
        <f t="shared" si="414"/>
        <v>-100</v>
      </c>
      <c r="R1236" s="530">
        <f t="shared" si="414"/>
        <v>14621</v>
      </c>
    </row>
    <row r="1237" spans="2:18" x14ac:dyDescent="0.2">
      <c r="B1237" s="171">
        <f t="shared" si="402"/>
        <v>702</v>
      </c>
      <c r="C1237" s="143"/>
      <c r="D1237" s="144"/>
      <c r="E1237" s="169"/>
      <c r="F1237" s="131" t="s">
        <v>213</v>
      </c>
      <c r="G1237" s="194" t="s">
        <v>255</v>
      </c>
      <c r="H1237" s="434">
        <v>50</v>
      </c>
      <c r="I1237" s="434">
        <v>-50</v>
      </c>
      <c r="J1237" s="434">
        <f t="shared" si="406"/>
        <v>0</v>
      </c>
      <c r="K1237" s="336"/>
      <c r="L1237" s="529"/>
      <c r="M1237" s="529"/>
      <c r="N1237" s="529"/>
      <c r="O1237" s="336"/>
      <c r="P1237" s="168">
        <f t="shared" si="404"/>
        <v>50</v>
      </c>
      <c r="Q1237" s="168">
        <f t="shared" si="414"/>
        <v>-50</v>
      </c>
      <c r="R1237" s="168">
        <f t="shared" si="414"/>
        <v>0</v>
      </c>
    </row>
    <row r="1238" spans="2:18" x14ac:dyDescent="0.2">
      <c r="B1238" s="171">
        <f t="shared" si="402"/>
        <v>703</v>
      </c>
      <c r="C1238" s="143"/>
      <c r="D1238" s="144"/>
      <c r="E1238" s="169"/>
      <c r="F1238" s="131" t="s">
        <v>199</v>
      </c>
      <c r="G1238" s="194" t="s">
        <v>318</v>
      </c>
      <c r="H1238" s="434">
        <f>2623+1000+1800</f>
        <v>5423</v>
      </c>
      <c r="I1238" s="434"/>
      <c r="J1238" s="434">
        <f t="shared" si="406"/>
        <v>5423</v>
      </c>
      <c r="K1238" s="336"/>
      <c r="L1238" s="529"/>
      <c r="M1238" s="529"/>
      <c r="N1238" s="529"/>
      <c r="O1238" s="336"/>
      <c r="P1238" s="168">
        <f t="shared" si="404"/>
        <v>5423</v>
      </c>
      <c r="Q1238" s="168">
        <f t="shared" si="414"/>
        <v>0</v>
      </c>
      <c r="R1238" s="168">
        <f t="shared" si="414"/>
        <v>5423</v>
      </c>
    </row>
    <row r="1239" spans="2:18" x14ac:dyDescent="0.2">
      <c r="B1239" s="171">
        <f t="shared" si="402"/>
        <v>704</v>
      </c>
      <c r="C1239" s="143"/>
      <c r="D1239" s="144"/>
      <c r="E1239" s="169"/>
      <c r="F1239" s="131" t="s">
        <v>200</v>
      </c>
      <c r="G1239" s="194" t="s">
        <v>247</v>
      </c>
      <c r="H1239" s="434">
        <f>3680+2000</f>
        <v>5680</v>
      </c>
      <c r="I1239" s="434"/>
      <c r="J1239" s="434">
        <f t="shared" si="406"/>
        <v>5680</v>
      </c>
      <c r="K1239" s="336"/>
      <c r="L1239" s="529"/>
      <c r="M1239" s="529"/>
      <c r="N1239" s="529"/>
      <c r="O1239" s="336"/>
      <c r="P1239" s="168">
        <f t="shared" si="404"/>
        <v>5680</v>
      </c>
      <c r="Q1239" s="168">
        <f t="shared" si="414"/>
        <v>0</v>
      </c>
      <c r="R1239" s="168">
        <f t="shared" si="414"/>
        <v>5680</v>
      </c>
    </row>
    <row r="1240" spans="2:18" x14ac:dyDescent="0.2">
      <c r="B1240" s="171">
        <f t="shared" si="402"/>
        <v>705</v>
      </c>
      <c r="C1240" s="143"/>
      <c r="D1240" s="144"/>
      <c r="E1240" s="169"/>
      <c r="F1240" s="290" t="s">
        <v>214</v>
      </c>
      <c r="G1240" s="202" t="s">
        <v>261</v>
      </c>
      <c r="H1240" s="399">
        <f>80+700</f>
        <v>780</v>
      </c>
      <c r="I1240" s="399"/>
      <c r="J1240" s="399">
        <f t="shared" si="406"/>
        <v>780</v>
      </c>
      <c r="K1240" s="336"/>
      <c r="L1240" s="529"/>
      <c r="M1240" s="529"/>
      <c r="N1240" s="529"/>
      <c r="O1240" s="336"/>
      <c r="P1240" s="168">
        <f t="shared" si="404"/>
        <v>780</v>
      </c>
      <c r="Q1240" s="168">
        <f t="shared" si="414"/>
        <v>0</v>
      </c>
      <c r="R1240" s="168">
        <f t="shared" si="414"/>
        <v>780</v>
      </c>
    </row>
    <row r="1241" spans="2:18" x14ac:dyDescent="0.2">
      <c r="B1241" s="171">
        <f t="shared" si="402"/>
        <v>706</v>
      </c>
      <c r="C1241" s="143"/>
      <c r="D1241" s="144"/>
      <c r="E1241" s="169"/>
      <c r="F1241" s="131" t="s">
        <v>216</v>
      </c>
      <c r="G1241" s="194" t="s">
        <v>248</v>
      </c>
      <c r="H1241" s="399">
        <f>1788+1000</f>
        <v>2788</v>
      </c>
      <c r="I1241" s="399">
        <v>-50</v>
      </c>
      <c r="J1241" s="399">
        <f t="shared" si="406"/>
        <v>2738</v>
      </c>
      <c r="K1241" s="336"/>
      <c r="L1241" s="529"/>
      <c r="M1241" s="529"/>
      <c r="N1241" s="529"/>
      <c r="O1241" s="336"/>
      <c r="P1241" s="168">
        <f t="shared" si="404"/>
        <v>2788</v>
      </c>
      <c r="Q1241" s="168">
        <f t="shared" si="414"/>
        <v>-50</v>
      </c>
      <c r="R1241" s="168">
        <f t="shared" si="414"/>
        <v>2738</v>
      </c>
    </row>
    <row r="1242" spans="2:18" x14ac:dyDescent="0.2">
      <c r="B1242" s="171">
        <f t="shared" si="402"/>
        <v>707</v>
      </c>
      <c r="C1242" s="143"/>
      <c r="D1242" s="144"/>
      <c r="E1242" s="169"/>
      <c r="F1242" s="144" t="s">
        <v>217</v>
      </c>
      <c r="G1242" s="199" t="s">
        <v>371</v>
      </c>
      <c r="H1242" s="529">
        <v>30</v>
      </c>
      <c r="I1242" s="529">
        <v>100</v>
      </c>
      <c r="J1242" s="529">
        <f t="shared" si="406"/>
        <v>130</v>
      </c>
      <c r="K1242" s="336"/>
      <c r="L1242" s="529"/>
      <c r="M1242" s="529"/>
      <c r="N1242" s="529"/>
      <c r="O1242" s="336"/>
      <c r="P1242" s="530">
        <f t="shared" si="404"/>
        <v>30</v>
      </c>
      <c r="Q1242" s="530">
        <f t="shared" si="414"/>
        <v>100</v>
      </c>
      <c r="R1242" s="530">
        <f t="shared" si="414"/>
        <v>130</v>
      </c>
    </row>
    <row r="1243" spans="2:18" x14ac:dyDescent="0.2">
      <c r="B1243" s="171">
        <f t="shared" si="402"/>
        <v>708</v>
      </c>
      <c r="C1243" s="143"/>
      <c r="D1243" s="656"/>
      <c r="E1243" s="169"/>
      <c r="F1243" s="165" t="s">
        <v>606</v>
      </c>
      <c r="G1243" s="199" t="s">
        <v>607</v>
      </c>
      <c r="H1243" s="529"/>
      <c r="I1243" s="529"/>
      <c r="J1243" s="529">
        <f t="shared" si="406"/>
        <v>0</v>
      </c>
      <c r="K1243" s="336"/>
      <c r="L1243" s="529">
        <f>10000-2990</f>
        <v>7010</v>
      </c>
      <c r="M1243" s="867"/>
      <c r="N1243" s="529">
        <f t="shared" si="412"/>
        <v>7010</v>
      </c>
      <c r="O1243" s="336"/>
      <c r="P1243" s="530">
        <f t="shared" si="404"/>
        <v>7010</v>
      </c>
      <c r="Q1243" s="530">
        <f t="shared" si="414"/>
        <v>0</v>
      </c>
      <c r="R1243" s="530">
        <f t="shared" si="414"/>
        <v>7010</v>
      </c>
    </row>
    <row r="1244" spans="2:18" ht="15" x14ac:dyDescent="0.25">
      <c r="B1244" s="171">
        <f t="shared" si="402"/>
        <v>709</v>
      </c>
      <c r="C1244" s="130"/>
      <c r="D1244" s="263">
        <v>21</v>
      </c>
      <c r="E1244" s="175"/>
      <c r="F1244" s="147" t="s">
        <v>414</v>
      </c>
      <c r="G1244" s="236"/>
      <c r="H1244" s="425">
        <f>H1245+H1255</f>
        <v>93238</v>
      </c>
      <c r="I1244" s="425">
        <f t="shared" ref="I1244" si="415">I1245+I1255</f>
        <v>0</v>
      </c>
      <c r="J1244" s="425">
        <f t="shared" si="406"/>
        <v>93238</v>
      </c>
      <c r="K1244" s="342"/>
      <c r="L1244" s="426">
        <f>L1245+L1255</f>
        <v>13472</v>
      </c>
      <c r="M1244" s="426"/>
      <c r="N1244" s="426">
        <f t="shared" si="412"/>
        <v>13472</v>
      </c>
      <c r="O1244" s="342"/>
      <c r="P1244" s="345">
        <f t="shared" si="404"/>
        <v>106710</v>
      </c>
      <c r="Q1244" s="345">
        <f t="shared" si="414"/>
        <v>0</v>
      </c>
      <c r="R1244" s="345">
        <f t="shared" si="414"/>
        <v>106710</v>
      </c>
    </row>
    <row r="1245" spans="2:18" ht="14.25" x14ac:dyDescent="0.2">
      <c r="B1245" s="171">
        <f t="shared" si="402"/>
        <v>710</v>
      </c>
      <c r="C1245" s="76"/>
      <c r="D1245" s="515"/>
      <c r="E1245" s="521" t="s">
        <v>688</v>
      </c>
      <c r="F1245" s="518" t="s">
        <v>691</v>
      </c>
      <c r="G1245" s="517"/>
      <c r="H1245" s="519">
        <f>H1246+H1247+H1248+H1253</f>
        <v>42193</v>
      </c>
      <c r="I1245" s="519">
        <f t="shared" ref="I1245" si="416">I1246+I1247+I1248+I1253</f>
        <v>0</v>
      </c>
      <c r="J1245" s="519">
        <f t="shared" si="406"/>
        <v>42193</v>
      </c>
      <c r="K1245" s="333"/>
      <c r="L1245" s="523">
        <f>L1254</f>
        <v>13472</v>
      </c>
      <c r="M1245" s="523"/>
      <c r="N1245" s="523">
        <f t="shared" si="412"/>
        <v>13472</v>
      </c>
      <c r="O1245" s="333"/>
      <c r="P1245" s="520">
        <f t="shared" si="404"/>
        <v>55665</v>
      </c>
      <c r="Q1245" s="520">
        <f t="shared" si="414"/>
        <v>0</v>
      </c>
      <c r="R1245" s="520">
        <f t="shared" si="414"/>
        <v>55665</v>
      </c>
    </row>
    <row r="1246" spans="2:18" x14ac:dyDescent="0.2">
      <c r="B1246" s="171">
        <f t="shared" si="402"/>
        <v>711</v>
      </c>
      <c r="C1246" s="130"/>
      <c r="D1246" s="130"/>
      <c r="E1246" s="134"/>
      <c r="F1246" s="144" t="s">
        <v>211</v>
      </c>
      <c r="G1246" s="199" t="s">
        <v>505</v>
      </c>
      <c r="H1246" s="529">
        <f>17775+889</f>
        <v>18664</v>
      </c>
      <c r="I1246" s="529">
        <v>-1348</v>
      </c>
      <c r="J1246" s="529">
        <f t="shared" si="406"/>
        <v>17316</v>
      </c>
      <c r="K1246" s="339"/>
      <c r="L1246" s="399"/>
      <c r="M1246" s="399"/>
      <c r="N1246" s="399"/>
      <c r="O1246" s="339"/>
      <c r="P1246" s="530">
        <f t="shared" si="404"/>
        <v>18664</v>
      </c>
      <c r="Q1246" s="530">
        <f t="shared" si="414"/>
        <v>-1348</v>
      </c>
      <c r="R1246" s="530">
        <f t="shared" si="414"/>
        <v>17316</v>
      </c>
    </row>
    <row r="1247" spans="2:18" x14ac:dyDescent="0.2">
      <c r="B1247" s="171">
        <f t="shared" si="402"/>
        <v>712</v>
      </c>
      <c r="C1247" s="130"/>
      <c r="D1247" s="130"/>
      <c r="E1247" s="134"/>
      <c r="F1247" s="144" t="s">
        <v>212</v>
      </c>
      <c r="G1247" s="199" t="s">
        <v>259</v>
      </c>
      <c r="H1247" s="529">
        <f>6218+311</f>
        <v>6529</v>
      </c>
      <c r="I1247" s="529">
        <v>-869</v>
      </c>
      <c r="J1247" s="529">
        <f t="shared" si="406"/>
        <v>5660</v>
      </c>
      <c r="K1247" s="339"/>
      <c r="L1247" s="399"/>
      <c r="M1247" s="399"/>
      <c r="N1247" s="399"/>
      <c r="O1247" s="339"/>
      <c r="P1247" s="530">
        <f t="shared" si="404"/>
        <v>6529</v>
      </c>
      <c r="Q1247" s="530">
        <f t="shared" si="414"/>
        <v>-869</v>
      </c>
      <c r="R1247" s="530">
        <f t="shared" si="414"/>
        <v>5660</v>
      </c>
    </row>
    <row r="1248" spans="2:18" x14ac:dyDescent="0.2">
      <c r="B1248" s="171">
        <f t="shared" si="402"/>
        <v>713</v>
      </c>
      <c r="C1248" s="130"/>
      <c r="D1248" s="130"/>
      <c r="E1248" s="134"/>
      <c r="F1248" s="144" t="s">
        <v>218</v>
      </c>
      <c r="G1248" s="199" t="s">
        <v>340</v>
      </c>
      <c r="H1248" s="529">
        <f>SUM(H1249:H1252)</f>
        <v>16900</v>
      </c>
      <c r="I1248" s="529">
        <f>SUM(I1249:I1252)</f>
        <v>2100</v>
      </c>
      <c r="J1248" s="529">
        <f t="shared" si="406"/>
        <v>19000</v>
      </c>
      <c r="K1248" s="339"/>
      <c r="L1248" s="399"/>
      <c r="M1248" s="399"/>
      <c r="N1248" s="399"/>
      <c r="O1248" s="339"/>
      <c r="P1248" s="530">
        <f t="shared" si="404"/>
        <v>16900</v>
      </c>
      <c r="Q1248" s="530">
        <f t="shared" ref="Q1248:R1263" si="417">I1248+M1248</f>
        <v>2100</v>
      </c>
      <c r="R1248" s="530">
        <f t="shared" si="417"/>
        <v>19000</v>
      </c>
    </row>
    <row r="1249" spans="2:20" x14ac:dyDescent="0.2">
      <c r="B1249" s="171">
        <f t="shared" si="402"/>
        <v>714</v>
      </c>
      <c r="C1249" s="130"/>
      <c r="D1249" s="130"/>
      <c r="E1249" s="134"/>
      <c r="F1249" s="131" t="s">
        <v>199</v>
      </c>
      <c r="G1249" s="194" t="s">
        <v>318</v>
      </c>
      <c r="H1249" s="399">
        <v>12840</v>
      </c>
      <c r="I1249" s="399">
        <v>900</v>
      </c>
      <c r="J1249" s="399">
        <f t="shared" si="406"/>
        <v>13740</v>
      </c>
      <c r="K1249" s="339"/>
      <c r="L1249" s="399"/>
      <c r="M1249" s="399"/>
      <c r="N1249" s="399"/>
      <c r="O1249" s="339"/>
      <c r="P1249" s="168">
        <f t="shared" si="404"/>
        <v>12840</v>
      </c>
      <c r="Q1249" s="168">
        <f t="shared" si="417"/>
        <v>900</v>
      </c>
      <c r="R1249" s="168">
        <f t="shared" si="417"/>
        <v>13740</v>
      </c>
    </row>
    <row r="1250" spans="2:20" x14ac:dyDescent="0.2">
      <c r="B1250" s="171">
        <f t="shared" si="402"/>
        <v>715</v>
      </c>
      <c r="C1250" s="130"/>
      <c r="D1250" s="130"/>
      <c r="E1250" s="134"/>
      <c r="F1250" s="131" t="s">
        <v>200</v>
      </c>
      <c r="G1250" s="194" t="s">
        <v>247</v>
      </c>
      <c r="H1250" s="399">
        <v>1625</v>
      </c>
      <c r="I1250" s="399">
        <v>1200</v>
      </c>
      <c r="J1250" s="399">
        <f t="shared" si="406"/>
        <v>2825</v>
      </c>
      <c r="K1250" s="339"/>
      <c r="L1250" s="399"/>
      <c r="M1250" s="399"/>
      <c r="N1250" s="399"/>
      <c r="O1250" s="339"/>
      <c r="P1250" s="168">
        <f t="shared" si="404"/>
        <v>1625</v>
      </c>
      <c r="Q1250" s="168">
        <f t="shared" si="417"/>
        <v>1200</v>
      </c>
      <c r="R1250" s="168">
        <f t="shared" si="417"/>
        <v>2825</v>
      </c>
    </row>
    <row r="1251" spans="2:20" x14ac:dyDescent="0.2">
      <c r="B1251" s="171">
        <f t="shared" si="402"/>
        <v>716</v>
      </c>
      <c r="C1251" s="130"/>
      <c r="D1251" s="130"/>
      <c r="E1251" s="134"/>
      <c r="F1251" s="131" t="s">
        <v>214</v>
      </c>
      <c r="G1251" s="194" t="s">
        <v>261</v>
      </c>
      <c r="H1251" s="399">
        <f>410+150</f>
        <v>560</v>
      </c>
      <c r="I1251" s="399"/>
      <c r="J1251" s="399">
        <f t="shared" si="406"/>
        <v>560</v>
      </c>
      <c r="K1251" s="339"/>
      <c r="L1251" s="399"/>
      <c r="M1251" s="399"/>
      <c r="N1251" s="399"/>
      <c r="O1251" s="339"/>
      <c r="P1251" s="168">
        <f t="shared" si="404"/>
        <v>560</v>
      </c>
      <c r="Q1251" s="168">
        <f t="shared" si="417"/>
        <v>0</v>
      </c>
      <c r="R1251" s="168">
        <f t="shared" si="417"/>
        <v>560</v>
      </c>
    </row>
    <row r="1252" spans="2:20" x14ac:dyDescent="0.2">
      <c r="B1252" s="171">
        <f t="shared" si="402"/>
        <v>717</v>
      </c>
      <c r="C1252" s="130"/>
      <c r="D1252" s="130"/>
      <c r="E1252" s="134"/>
      <c r="F1252" s="131" t="s">
        <v>216</v>
      </c>
      <c r="G1252" s="194" t="s">
        <v>248</v>
      </c>
      <c r="H1252" s="399">
        <f>2175-300</f>
        <v>1875</v>
      </c>
      <c r="I1252" s="399"/>
      <c r="J1252" s="399">
        <f t="shared" si="406"/>
        <v>1875</v>
      </c>
      <c r="K1252" s="339"/>
      <c r="L1252" s="399"/>
      <c r="M1252" s="399"/>
      <c r="N1252" s="399"/>
      <c r="O1252" s="339"/>
      <c r="P1252" s="168">
        <f t="shared" si="404"/>
        <v>1875</v>
      </c>
      <c r="Q1252" s="168">
        <f t="shared" si="417"/>
        <v>0</v>
      </c>
      <c r="R1252" s="168">
        <f t="shared" si="417"/>
        <v>1875</v>
      </c>
    </row>
    <row r="1253" spans="2:20" x14ac:dyDescent="0.2">
      <c r="B1253" s="171">
        <f t="shared" si="402"/>
        <v>718</v>
      </c>
      <c r="C1253" s="130"/>
      <c r="D1253" s="130"/>
      <c r="E1253" s="134"/>
      <c r="F1253" s="144" t="s">
        <v>217</v>
      </c>
      <c r="G1253" s="199" t="s">
        <v>384</v>
      </c>
      <c r="H1253" s="529">
        <v>100</v>
      </c>
      <c r="I1253" s="529">
        <v>117</v>
      </c>
      <c r="J1253" s="529">
        <f t="shared" si="406"/>
        <v>217</v>
      </c>
      <c r="K1253" s="339"/>
      <c r="L1253" s="399"/>
      <c r="M1253" s="399"/>
      <c r="N1253" s="399"/>
      <c r="O1253" s="339"/>
      <c r="P1253" s="530">
        <f t="shared" si="404"/>
        <v>100</v>
      </c>
      <c r="Q1253" s="530">
        <f t="shared" si="417"/>
        <v>117</v>
      </c>
      <c r="R1253" s="530">
        <f t="shared" si="417"/>
        <v>217</v>
      </c>
    </row>
    <row r="1254" spans="2:20" x14ac:dyDescent="0.2">
      <c r="B1254" s="171">
        <f t="shared" si="402"/>
        <v>719</v>
      </c>
      <c r="C1254" s="130"/>
      <c r="D1254" s="130"/>
      <c r="E1254" s="161"/>
      <c r="F1254" s="284" t="s">
        <v>606</v>
      </c>
      <c r="G1254" s="199" t="s">
        <v>654</v>
      </c>
      <c r="H1254" s="529"/>
      <c r="I1254" s="529"/>
      <c r="J1254" s="529">
        <f t="shared" si="406"/>
        <v>0</v>
      </c>
      <c r="K1254" s="339"/>
      <c r="L1254" s="529">
        <f>22000-8528</f>
        <v>13472</v>
      </c>
      <c r="M1254" s="867"/>
      <c r="N1254" s="529">
        <f t="shared" ref="N1254:N1278" si="418">L1254+M1254</f>
        <v>13472</v>
      </c>
      <c r="O1254" s="339"/>
      <c r="P1254" s="530">
        <f t="shared" si="404"/>
        <v>13472</v>
      </c>
      <c r="Q1254" s="530">
        <f t="shared" si="417"/>
        <v>0</v>
      </c>
      <c r="R1254" s="530">
        <f t="shared" si="417"/>
        <v>13472</v>
      </c>
    </row>
    <row r="1255" spans="2:20" ht="14.25" x14ac:dyDescent="0.2">
      <c r="B1255" s="171">
        <f t="shared" ref="B1255:B1305" si="419">B1254+1</f>
        <v>720</v>
      </c>
      <c r="C1255" s="76"/>
      <c r="D1255" s="515"/>
      <c r="E1255" s="521" t="s">
        <v>689</v>
      </c>
      <c r="F1255" s="518" t="s">
        <v>690</v>
      </c>
      <c r="G1255" s="517"/>
      <c r="H1255" s="519">
        <f>H1256+H1257+H1258+H1263</f>
        <v>51045</v>
      </c>
      <c r="I1255" s="519">
        <f t="shared" ref="I1255" si="420">I1256+I1257+I1258+I1263</f>
        <v>0</v>
      </c>
      <c r="J1255" s="519">
        <f t="shared" si="406"/>
        <v>51045</v>
      </c>
      <c r="K1255" s="333"/>
      <c r="L1255" s="856"/>
      <c r="M1255" s="856"/>
      <c r="N1255" s="856"/>
      <c r="O1255" s="333"/>
      <c r="P1255" s="520">
        <f t="shared" si="404"/>
        <v>51045</v>
      </c>
      <c r="Q1255" s="520">
        <f t="shared" si="417"/>
        <v>0</v>
      </c>
      <c r="R1255" s="520">
        <f t="shared" si="417"/>
        <v>51045</v>
      </c>
    </row>
    <row r="1256" spans="2:20" x14ac:dyDescent="0.2">
      <c r="B1256" s="171">
        <f t="shared" si="419"/>
        <v>721</v>
      </c>
      <c r="C1256" s="130"/>
      <c r="D1256" s="130"/>
      <c r="E1256" s="134"/>
      <c r="F1256" s="144" t="s">
        <v>211</v>
      </c>
      <c r="G1256" s="199" t="s">
        <v>505</v>
      </c>
      <c r="H1256" s="529">
        <f>21945+1097</f>
        <v>23042</v>
      </c>
      <c r="I1256" s="529">
        <v>-1171</v>
      </c>
      <c r="J1256" s="529">
        <f t="shared" si="406"/>
        <v>21871</v>
      </c>
      <c r="K1256" s="339"/>
      <c r="L1256" s="399"/>
      <c r="M1256" s="399"/>
      <c r="N1256" s="399"/>
      <c r="O1256" s="339"/>
      <c r="P1256" s="530">
        <f t="shared" si="404"/>
        <v>23042</v>
      </c>
      <c r="Q1256" s="530">
        <f t="shared" si="417"/>
        <v>-1171</v>
      </c>
      <c r="R1256" s="530">
        <f t="shared" si="417"/>
        <v>21871</v>
      </c>
    </row>
    <row r="1257" spans="2:20" x14ac:dyDescent="0.2">
      <c r="B1257" s="171">
        <f t="shared" si="419"/>
        <v>722</v>
      </c>
      <c r="C1257" s="130"/>
      <c r="D1257" s="130"/>
      <c r="E1257" s="134"/>
      <c r="F1257" s="144" t="s">
        <v>212</v>
      </c>
      <c r="G1257" s="199" t="s">
        <v>259</v>
      </c>
      <c r="H1257" s="529">
        <f>7665+383</f>
        <v>8048</v>
      </c>
      <c r="I1257" s="529">
        <v>-1026</v>
      </c>
      <c r="J1257" s="529">
        <f t="shared" si="406"/>
        <v>7022</v>
      </c>
      <c r="K1257" s="339"/>
      <c r="L1257" s="399"/>
      <c r="M1257" s="399"/>
      <c r="N1257" s="399"/>
      <c r="O1257" s="339"/>
      <c r="P1257" s="530">
        <f t="shared" si="404"/>
        <v>8048</v>
      </c>
      <c r="Q1257" s="530">
        <f t="shared" si="417"/>
        <v>-1026</v>
      </c>
      <c r="R1257" s="530">
        <f t="shared" si="417"/>
        <v>7022</v>
      </c>
      <c r="T1257" s="17"/>
    </row>
    <row r="1258" spans="2:20" x14ac:dyDescent="0.2">
      <c r="B1258" s="171">
        <f t="shared" si="419"/>
        <v>723</v>
      </c>
      <c r="C1258" s="130"/>
      <c r="D1258" s="130"/>
      <c r="E1258" s="134"/>
      <c r="F1258" s="144" t="s">
        <v>218</v>
      </c>
      <c r="G1258" s="199" t="s">
        <v>340</v>
      </c>
      <c r="H1258" s="529">
        <f>SUM(H1259:H1262)</f>
        <v>19855</v>
      </c>
      <c r="I1258" s="529">
        <f>SUM(I1259:I1262)</f>
        <v>2100</v>
      </c>
      <c r="J1258" s="529">
        <f t="shared" si="406"/>
        <v>21955</v>
      </c>
      <c r="K1258" s="339"/>
      <c r="L1258" s="399"/>
      <c r="M1258" s="399"/>
      <c r="N1258" s="399"/>
      <c r="O1258" s="339"/>
      <c r="P1258" s="530">
        <f t="shared" si="404"/>
        <v>19855</v>
      </c>
      <c r="Q1258" s="530">
        <f t="shared" si="417"/>
        <v>2100</v>
      </c>
      <c r="R1258" s="530">
        <f t="shared" si="417"/>
        <v>21955</v>
      </c>
    </row>
    <row r="1259" spans="2:20" x14ac:dyDescent="0.2">
      <c r="B1259" s="171">
        <f t="shared" si="419"/>
        <v>724</v>
      </c>
      <c r="C1259" s="130"/>
      <c r="D1259" s="130"/>
      <c r="E1259" s="134"/>
      <c r="F1259" s="131" t="s">
        <v>199</v>
      </c>
      <c r="G1259" s="194" t="s">
        <v>318</v>
      </c>
      <c r="H1259" s="399">
        <v>15150</v>
      </c>
      <c r="I1259" s="399">
        <v>900</v>
      </c>
      <c r="J1259" s="399">
        <f t="shared" si="406"/>
        <v>16050</v>
      </c>
      <c r="K1259" s="339"/>
      <c r="L1259" s="399"/>
      <c r="M1259" s="399"/>
      <c r="N1259" s="399"/>
      <c r="O1259" s="339"/>
      <c r="P1259" s="168">
        <f t="shared" si="404"/>
        <v>15150</v>
      </c>
      <c r="Q1259" s="168">
        <f t="shared" si="417"/>
        <v>900</v>
      </c>
      <c r="R1259" s="168">
        <f t="shared" si="417"/>
        <v>16050</v>
      </c>
    </row>
    <row r="1260" spans="2:20" x14ac:dyDescent="0.2">
      <c r="B1260" s="171">
        <f t="shared" si="419"/>
        <v>725</v>
      </c>
      <c r="C1260" s="130"/>
      <c r="D1260" s="130"/>
      <c r="E1260" s="134"/>
      <c r="F1260" s="131" t="s">
        <v>200</v>
      </c>
      <c r="G1260" s="194" t="s">
        <v>247</v>
      </c>
      <c r="H1260" s="399">
        <v>1725</v>
      </c>
      <c r="I1260" s="399">
        <v>1200</v>
      </c>
      <c r="J1260" s="399">
        <f t="shared" si="406"/>
        <v>2925</v>
      </c>
      <c r="K1260" s="339"/>
      <c r="L1260" s="399"/>
      <c r="M1260" s="399"/>
      <c r="N1260" s="399"/>
      <c r="O1260" s="339"/>
      <c r="P1260" s="168">
        <f t="shared" si="404"/>
        <v>1725</v>
      </c>
      <c r="Q1260" s="168">
        <f t="shared" si="417"/>
        <v>1200</v>
      </c>
      <c r="R1260" s="168">
        <f t="shared" si="417"/>
        <v>2925</v>
      </c>
    </row>
    <row r="1261" spans="2:20" x14ac:dyDescent="0.2">
      <c r="B1261" s="171">
        <f t="shared" si="419"/>
        <v>726</v>
      </c>
      <c r="C1261" s="130"/>
      <c r="D1261" s="130"/>
      <c r="E1261" s="134"/>
      <c r="F1261" s="131" t="s">
        <v>214</v>
      </c>
      <c r="G1261" s="194" t="s">
        <v>261</v>
      </c>
      <c r="H1261" s="399">
        <f>410+150</f>
        <v>560</v>
      </c>
      <c r="I1261" s="399"/>
      <c r="J1261" s="399">
        <f t="shared" si="406"/>
        <v>560</v>
      </c>
      <c r="K1261" s="339"/>
      <c r="L1261" s="399"/>
      <c r="M1261" s="399"/>
      <c r="N1261" s="399"/>
      <c r="O1261" s="339"/>
      <c r="P1261" s="168">
        <f t="shared" si="404"/>
        <v>560</v>
      </c>
      <c r="Q1261" s="168">
        <f t="shared" si="417"/>
        <v>0</v>
      </c>
      <c r="R1261" s="168">
        <f t="shared" si="417"/>
        <v>560</v>
      </c>
    </row>
    <row r="1262" spans="2:20" x14ac:dyDescent="0.2">
      <c r="B1262" s="171">
        <f t="shared" si="419"/>
        <v>727</v>
      </c>
      <c r="C1262" s="130"/>
      <c r="D1262" s="130"/>
      <c r="E1262" s="134"/>
      <c r="F1262" s="131" t="s">
        <v>216</v>
      </c>
      <c r="G1262" s="194" t="s">
        <v>248</v>
      </c>
      <c r="H1262" s="399">
        <v>2420</v>
      </c>
      <c r="I1262" s="399"/>
      <c r="J1262" s="399">
        <f t="shared" si="406"/>
        <v>2420</v>
      </c>
      <c r="K1262" s="339"/>
      <c r="L1262" s="399"/>
      <c r="M1262" s="399"/>
      <c r="N1262" s="399"/>
      <c r="O1262" s="339"/>
      <c r="P1262" s="168">
        <f t="shared" si="404"/>
        <v>2420</v>
      </c>
      <c r="Q1262" s="168">
        <f t="shared" si="417"/>
        <v>0</v>
      </c>
      <c r="R1262" s="168">
        <f t="shared" si="417"/>
        <v>2420</v>
      </c>
    </row>
    <row r="1263" spans="2:20" x14ac:dyDescent="0.2">
      <c r="B1263" s="171">
        <f t="shared" si="419"/>
        <v>728</v>
      </c>
      <c r="C1263" s="130"/>
      <c r="D1263" s="130"/>
      <c r="E1263" s="134"/>
      <c r="F1263" s="144" t="s">
        <v>217</v>
      </c>
      <c r="G1263" s="199" t="s">
        <v>384</v>
      </c>
      <c r="H1263" s="529">
        <v>100</v>
      </c>
      <c r="I1263" s="529">
        <v>97</v>
      </c>
      <c r="J1263" s="529">
        <f t="shared" si="406"/>
        <v>197</v>
      </c>
      <c r="K1263" s="339"/>
      <c r="L1263" s="399"/>
      <c r="M1263" s="399"/>
      <c r="N1263" s="399"/>
      <c r="O1263" s="339"/>
      <c r="P1263" s="530">
        <f t="shared" si="404"/>
        <v>100</v>
      </c>
      <c r="Q1263" s="530">
        <f t="shared" si="417"/>
        <v>97</v>
      </c>
      <c r="R1263" s="530">
        <f t="shared" si="417"/>
        <v>197</v>
      </c>
    </row>
    <row r="1264" spans="2:20" ht="15" x14ac:dyDescent="0.25">
      <c r="B1264" s="171">
        <f t="shared" si="419"/>
        <v>729</v>
      </c>
      <c r="C1264" s="130"/>
      <c r="D1264" s="262">
        <v>22</v>
      </c>
      <c r="E1264" s="175"/>
      <c r="F1264" s="147" t="s">
        <v>415</v>
      </c>
      <c r="G1264" s="236"/>
      <c r="H1264" s="425">
        <f>H1265+H1269</f>
        <v>112000</v>
      </c>
      <c r="I1264" s="425">
        <f t="shared" ref="I1264" si="421">I1265+I1269</f>
        <v>0</v>
      </c>
      <c r="J1264" s="425">
        <f t="shared" si="406"/>
        <v>112000</v>
      </c>
      <c r="K1264" s="342"/>
      <c r="L1264" s="426">
        <f>L1265+L1269</f>
        <v>29200</v>
      </c>
      <c r="M1264" s="426"/>
      <c r="N1264" s="426">
        <f t="shared" si="418"/>
        <v>29200</v>
      </c>
      <c r="O1264" s="342"/>
      <c r="P1264" s="345">
        <f t="shared" ref="P1264:P1271" si="422">H1264+L1264</f>
        <v>141200</v>
      </c>
      <c r="Q1264" s="345">
        <f t="shared" ref="Q1264:R1271" si="423">I1264+M1264</f>
        <v>0</v>
      </c>
      <c r="R1264" s="345">
        <f t="shared" si="423"/>
        <v>141200</v>
      </c>
    </row>
    <row r="1265" spans="2:18" ht="14.25" x14ac:dyDescent="0.2">
      <c r="B1265" s="171">
        <f t="shared" si="419"/>
        <v>730</v>
      </c>
      <c r="C1265" s="76"/>
      <c r="D1265" s="515"/>
      <c r="E1265" s="521" t="s">
        <v>688</v>
      </c>
      <c r="F1265" s="518" t="s">
        <v>691</v>
      </c>
      <c r="G1265" s="517"/>
      <c r="H1265" s="519">
        <f>H1266</f>
        <v>44800</v>
      </c>
      <c r="I1265" s="519">
        <f t="shared" ref="I1265:I1266" si="424">I1266</f>
        <v>0</v>
      </c>
      <c r="J1265" s="519">
        <f t="shared" si="406"/>
        <v>44800</v>
      </c>
      <c r="K1265" s="333"/>
      <c r="L1265" s="523">
        <f>L1268</f>
        <v>29200</v>
      </c>
      <c r="M1265" s="523"/>
      <c r="N1265" s="523">
        <f t="shared" si="418"/>
        <v>29200</v>
      </c>
      <c r="O1265" s="333"/>
      <c r="P1265" s="520">
        <f t="shared" si="422"/>
        <v>74000</v>
      </c>
      <c r="Q1265" s="520">
        <f t="shared" si="423"/>
        <v>0</v>
      </c>
      <c r="R1265" s="520">
        <f t="shared" si="423"/>
        <v>74000</v>
      </c>
    </row>
    <row r="1266" spans="2:18" x14ac:dyDescent="0.2">
      <c r="B1266" s="171">
        <f t="shared" si="419"/>
        <v>731</v>
      </c>
      <c r="C1266" s="130"/>
      <c r="D1266" s="130"/>
      <c r="E1266" s="134"/>
      <c r="F1266" s="144" t="s">
        <v>218</v>
      </c>
      <c r="G1266" s="199" t="s">
        <v>340</v>
      </c>
      <c r="H1266" s="529">
        <f>H1267</f>
        <v>44800</v>
      </c>
      <c r="I1266" s="529">
        <f t="shared" si="424"/>
        <v>0</v>
      </c>
      <c r="J1266" s="529">
        <f t="shared" ref="J1266:J1304" si="425">H1266+I1266</f>
        <v>44800</v>
      </c>
      <c r="K1266" s="339"/>
      <c r="L1266" s="399"/>
      <c r="M1266" s="399"/>
      <c r="N1266" s="399"/>
      <c r="O1266" s="339"/>
      <c r="P1266" s="530">
        <f t="shared" si="422"/>
        <v>44800</v>
      </c>
      <c r="Q1266" s="530">
        <f t="shared" si="423"/>
        <v>0</v>
      </c>
      <c r="R1266" s="530">
        <f t="shared" si="423"/>
        <v>44800</v>
      </c>
    </row>
    <row r="1267" spans="2:18" x14ac:dyDescent="0.2">
      <c r="B1267" s="171">
        <f t="shared" si="419"/>
        <v>732</v>
      </c>
      <c r="C1267" s="130"/>
      <c r="D1267" s="130"/>
      <c r="E1267" s="134"/>
      <c r="F1267" s="131" t="s">
        <v>216</v>
      </c>
      <c r="G1267" s="194" t="s">
        <v>416</v>
      </c>
      <c r="H1267" s="399">
        <v>44800</v>
      </c>
      <c r="I1267" s="399"/>
      <c r="J1267" s="399">
        <f t="shared" si="425"/>
        <v>44800</v>
      </c>
      <c r="K1267" s="339"/>
      <c r="L1267" s="399"/>
      <c r="M1267" s="399"/>
      <c r="N1267" s="399"/>
      <c r="O1267" s="339"/>
      <c r="P1267" s="168">
        <f t="shared" si="422"/>
        <v>44800</v>
      </c>
      <c r="Q1267" s="168">
        <f t="shared" si="423"/>
        <v>0</v>
      </c>
      <c r="R1267" s="168">
        <f t="shared" si="423"/>
        <v>44800</v>
      </c>
    </row>
    <row r="1268" spans="2:18" x14ac:dyDescent="0.2">
      <c r="B1268" s="171">
        <f t="shared" si="419"/>
        <v>733</v>
      </c>
      <c r="C1268" s="130"/>
      <c r="D1268" s="130"/>
      <c r="E1268" s="134"/>
      <c r="F1268" s="284" t="s">
        <v>606</v>
      </c>
      <c r="G1268" s="199" t="s">
        <v>716</v>
      </c>
      <c r="H1268" s="399"/>
      <c r="I1268" s="399"/>
      <c r="J1268" s="399"/>
      <c r="K1268" s="339"/>
      <c r="L1268" s="529">
        <f>35000-5800</f>
        <v>29200</v>
      </c>
      <c r="M1268" s="529"/>
      <c r="N1268" s="529">
        <f t="shared" si="418"/>
        <v>29200</v>
      </c>
      <c r="O1268" s="339"/>
      <c r="P1268" s="530">
        <f t="shared" si="422"/>
        <v>29200</v>
      </c>
      <c r="Q1268" s="530">
        <f t="shared" si="423"/>
        <v>0</v>
      </c>
      <c r="R1268" s="530">
        <f t="shared" si="423"/>
        <v>29200</v>
      </c>
    </row>
    <row r="1269" spans="2:18" ht="15" x14ac:dyDescent="0.25">
      <c r="B1269" s="171">
        <f t="shared" si="419"/>
        <v>734</v>
      </c>
      <c r="C1269" s="76"/>
      <c r="D1269" s="515"/>
      <c r="E1269" s="521" t="s">
        <v>689</v>
      </c>
      <c r="F1269" s="518" t="s">
        <v>690</v>
      </c>
      <c r="G1269" s="517"/>
      <c r="H1269" s="516">
        <f>H1270</f>
        <v>67200</v>
      </c>
      <c r="I1269" s="516">
        <f t="shared" ref="I1269" si="426">I1270</f>
        <v>0</v>
      </c>
      <c r="J1269" s="516">
        <f t="shared" si="425"/>
        <v>67200</v>
      </c>
      <c r="K1269" s="333"/>
      <c r="L1269" s="856"/>
      <c r="M1269" s="856"/>
      <c r="N1269" s="856"/>
      <c r="O1269" s="333"/>
      <c r="P1269" s="520">
        <f t="shared" si="422"/>
        <v>67200</v>
      </c>
      <c r="Q1269" s="520">
        <f t="shared" si="423"/>
        <v>0</v>
      </c>
      <c r="R1269" s="520">
        <f t="shared" si="423"/>
        <v>67200</v>
      </c>
    </row>
    <row r="1270" spans="2:18" x14ac:dyDescent="0.2">
      <c r="B1270" s="171">
        <f t="shared" si="419"/>
        <v>735</v>
      </c>
      <c r="C1270" s="130"/>
      <c r="D1270" s="130"/>
      <c r="E1270" s="134"/>
      <c r="F1270" s="144" t="s">
        <v>218</v>
      </c>
      <c r="G1270" s="199" t="s">
        <v>340</v>
      </c>
      <c r="H1270" s="529">
        <f>SUM(H1271:H1271)</f>
        <v>67200</v>
      </c>
      <c r="I1270" s="529">
        <f t="shared" ref="I1270" si="427">SUM(I1271:I1271)</f>
        <v>0</v>
      </c>
      <c r="J1270" s="529">
        <f t="shared" si="425"/>
        <v>67200</v>
      </c>
      <c r="K1270" s="339"/>
      <c r="L1270" s="399"/>
      <c r="M1270" s="399"/>
      <c r="N1270" s="399"/>
      <c r="O1270" s="339"/>
      <c r="P1270" s="530">
        <f t="shared" si="422"/>
        <v>67200</v>
      </c>
      <c r="Q1270" s="530">
        <f t="shared" si="423"/>
        <v>0</v>
      </c>
      <c r="R1270" s="530">
        <f t="shared" si="423"/>
        <v>67200</v>
      </c>
    </row>
    <row r="1271" spans="2:18" x14ac:dyDescent="0.2">
      <c r="B1271" s="171">
        <f t="shared" si="419"/>
        <v>736</v>
      </c>
      <c r="C1271" s="130"/>
      <c r="D1271" s="130"/>
      <c r="E1271" s="134"/>
      <c r="F1271" s="131" t="s">
        <v>216</v>
      </c>
      <c r="G1271" s="194" t="s">
        <v>248</v>
      </c>
      <c r="H1271" s="399">
        <v>67200</v>
      </c>
      <c r="I1271" s="399"/>
      <c r="J1271" s="399">
        <f t="shared" si="425"/>
        <v>67200</v>
      </c>
      <c r="K1271" s="339"/>
      <c r="L1271" s="399"/>
      <c r="M1271" s="399"/>
      <c r="N1271" s="399"/>
      <c r="O1271" s="339"/>
      <c r="P1271" s="168">
        <f t="shared" si="422"/>
        <v>67200</v>
      </c>
      <c r="Q1271" s="168">
        <f t="shared" si="423"/>
        <v>0</v>
      </c>
      <c r="R1271" s="168">
        <f t="shared" si="423"/>
        <v>67200</v>
      </c>
    </row>
    <row r="1272" spans="2:18" x14ac:dyDescent="0.2">
      <c r="B1272" s="171">
        <f t="shared" si="419"/>
        <v>737</v>
      </c>
      <c r="C1272" s="130"/>
      <c r="D1272" s="130"/>
      <c r="E1272" s="134"/>
      <c r="F1272" s="144"/>
      <c r="G1272" s="199"/>
      <c r="H1272" s="529"/>
      <c r="I1272" s="529"/>
      <c r="J1272" s="529"/>
      <c r="K1272" s="339"/>
      <c r="L1272" s="399"/>
      <c r="M1272" s="399"/>
      <c r="N1272" s="399"/>
      <c r="O1272" s="339"/>
      <c r="P1272" s="530"/>
      <c r="Q1272" s="530"/>
      <c r="R1272" s="530"/>
    </row>
    <row r="1273" spans="2:18" x14ac:dyDescent="0.2">
      <c r="B1273" s="171">
        <f t="shared" si="419"/>
        <v>738</v>
      </c>
      <c r="C1273" s="130"/>
      <c r="D1273" s="130"/>
      <c r="E1273" s="134"/>
      <c r="F1273" s="503">
        <v>640</v>
      </c>
      <c r="G1273" s="286" t="s">
        <v>375</v>
      </c>
      <c r="H1273" s="428">
        <v>23391</v>
      </c>
      <c r="I1273" s="428"/>
      <c r="J1273" s="428">
        <f t="shared" si="425"/>
        <v>23391</v>
      </c>
      <c r="K1273" s="132"/>
      <c r="L1273" s="862"/>
      <c r="M1273" s="862"/>
      <c r="N1273" s="862"/>
      <c r="O1273" s="132"/>
      <c r="P1273" s="287">
        <f>H1273+L1273</f>
        <v>23391</v>
      </c>
      <c r="Q1273" s="287">
        <f t="shared" ref="Q1273:R1276" si="428">I1273+M1273</f>
        <v>0</v>
      </c>
      <c r="R1273" s="287">
        <f t="shared" si="428"/>
        <v>23391</v>
      </c>
    </row>
    <row r="1274" spans="2:18" x14ac:dyDescent="0.2">
      <c r="B1274" s="171">
        <f t="shared" si="419"/>
        <v>739</v>
      </c>
      <c r="C1274" s="130"/>
      <c r="D1274" s="130"/>
      <c r="E1274" s="134"/>
      <c r="F1274" s="503">
        <v>640</v>
      </c>
      <c r="G1274" s="286" t="s">
        <v>376</v>
      </c>
      <c r="H1274" s="428">
        <v>19514</v>
      </c>
      <c r="I1274" s="428"/>
      <c r="J1274" s="428">
        <f t="shared" si="425"/>
        <v>19514</v>
      </c>
      <c r="K1274" s="132"/>
      <c r="L1274" s="862"/>
      <c r="M1274" s="862"/>
      <c r="N1274" s="862"/>
      <c r="O1274" s="132"/>
      <c r="P1274" s="287">
        <f>H1274+L1274</f>
        <v>19514</v>
      </c>
      <c r="Q1274" s="287">
        <f t="shared" si="428"/>
        <v>0</v>
      </c>
      <c r="R1274" s="287">
        <f t="shared" si="428"/>
        <v>19514</v>
      </c>
    </row>
    <row r="1275" spans="2:18" x14ac:dyDescent="0.2">
      <c r="B1275" s="171">
        <f t="shared" si="419"/>
        <v>740</v>
      </c>
      <c r="C1275" s="130"/>
      <c r="D1275" s="130"/>
      <c r="E1275" s="134"/>
      <c r="F1275" s="503">
        <v>640</v>
      </c>
      <c r="G1275" s="286" t="s">
        <v>508</v>
      </c>
      <c r="H1275" s="428">
        <v>8400</v>
      </c>
      <c r="I1275" s="428"/>
      <c r="J1275" s="428">
        <f t="shared" si="425"/>
        <v>8400</v>
      </c>
      <c r="K1275" s="132"/>
      <c r="L1275" s="862"/>
      <c r="M1275" s="862"/>
      <c r="N1275" s="862"/>
      <c r="O1275" s="132"/>
      <c r="P1275" s="287">
        <f>H1275+L1275</f>
        <v>8400</v>
      </c>
      <c r="Q1275" s="287">
        <f t="shared" si="428"/>
        <v>0</v>
      </c>
      <c r="R1275" s="287">
        <f t="shared" si="428"/>
        <v>8400</v>
      </c>
    </row>
    <row r="1276" spans="2:18" x14ac:dyDescent="0.2">
      <c r="B1276" s="171">
        <f t="shared" si="419"/>
        <v>741</v>
      </c>
      <c r="C1276" s="130"/>
      <c r="D1276" s="130"/>
      <c r="E1276" s="134"/>
      <c r="F1276" s="503">
        <v>640</v>
      </c>
      <c r="G1276" s="286" t="s">
        <v>509</v>
      </c>
      <c r="H1276" s="428">
        <v>5557</v>
      </c>
      <c r="I1276" s="428"/>
      <c r="J1276" s="428">
        <f t="shared" si="425"/>
        <v>5557</v>
      </c>
      <c r="K1276" s="132"/>
      <c r="L1276" s="862"/>
      <c r="M1276" s="862"/>
      <c r="N1276" s="862"/>
      <c r="O1276" s="132"/>
      <c r="P1276" s="287">
        <f>H1276+L1276</f>
        <v>5557</v>
      </c>
      <c r="Q1276" s="287">
        <f t="shared" si="428"/>
        <v>0</v>
      </c>
      <c r="R1276" s="287">
        <f t="shared" si="428"/>
        <v>5557</v>
      </c>
    </row>
    <row r="1277" spans="2:18" x14ac:dyDescent="0.2">
      <c r="B1277" s="171">
        <f t="shared" si="419"/>
        <v>742</v>
      </c>
      <c r="C1277" s="130"/>
      <c r="D1277" s="130"/>
      <c r="E1277" s="134"/>
      <c r="F1277" s="134"/>
      <c r="G1277" s="199"/>
      <c r="H1277" s="526"/>
      <c r="I1277" s="526"/>
      <c r="J1277" s="526"/>
      <c r="K1277" s="132"/>
      <c r="L1277" s="526"/>
      <c r="M1277" s="526"/>
      <c r="N1277" s="526"/>
      <c r="O1277" s="132"/>
      <c r="P1277" s="168"/>
      <c r="Q1277" s="168"/>
      <c r="R1277" s="168"/>
    </row>
    <row r="1278" spans="2:18" ht="15.75" x14ac:dyDescent="0.25">
      <c r="B1278" s="171">
        <f t="shared" si="419"/>
        <v>743</v>
      </c>
      <c r="C1278" s="23">
        <v>5</v>
      </c>
      <c r="D1278" s="127" t="s">
        <v>223</v>
      </c>
      <c r="E1278" s="24"/>
      <c r="F1278" s="24"/>
      <c r="G1278" s="193"/>
      <c r="H1278" s="413">
        <f>H1279+H1290+H1294+H1295</f>
        <v>244960</v>
      </c>
      <c r="I1278" s="413">
        <f t="shared" ref="I1278" si="429">I1279+I1290+I1294+I1295</f>
        <v>0</v>
      </c>
      <c r="J1278" s="413">
        <f t="shared" si="425"/>
        <v>244960</v>
      </c>
      <c r="K1278" s="347"/>
      <c r="L1278" s="379"/>
      <c r="M1278" s="379"/>
      <c r="N1278" s="379">
        <f t="shared" si="418"/>
        <v>0</v>
      </c>
      <c r="O1278" s="347"/>
      <c r="P1278" s="390">
        <f t="shared" ref="P1278:P1304" si="430">H1278+L1278</f>
        <v>244960</v>
      </c>
      <c r="Q1278" s="390">
        <f t="shared" ref="Q1278:R1293" si="431">I1278+M1278</f>
        <v>0</v>
      </c>
      <c r="R1278" s="390">
        <f t="shared" si="431"/>
        <v>244960</v>
      </c>
    </row>
    <row r="1279" spans="2:18" ht="15" x14ac:dyDescent="0.25">
      <c r="B1279" s="171">
        <f t="shared" si="419"/>
        <v>744</v>
      </c>
      <c r="C1279" s="143"/>
      <c r="D1279" s="176"/>
      <c r="E1279" s="514" t="s">
        <v>679</v>
      </c>
      <c r="F1279" s="230" t="s">
        <v>254</v>
      </c>
      <c r="G1279" s="231"/>
      <c r="H1279" s="429">
        <f>H1280+H1281+H1282+H1289</f>
        <v>197099</v>
      </c>
      <c r="I1279" s="429">
        <f t="shared" ref="I1279" si="432">I1280+I1281+I1282+I1289</f>
        <v>0</v>
      </c>
      <c r="J1279" s="429">
        <f t="shared" si="425"/>
        <v>197099</v>
      </c>
      <c r="K1279" s="331"/>
      <c r="L1279" s="848"/>
      <c r="M1279" s="848"/>
      <c r="N1279" s="848"/>
      <c r="O1279" s="331"/>
      <c r="P1279" s="332">
        <f t="shared" si="430"/>
        <v>197099</v>
      </c>
      <c r="Q1279" s="332">
        <f t="shared" si="431"/>
        <v>0</v>
      </c>
      <c r="R1279" s="332">
        <f t="shared" si="431"/>
        <v>197099</v>
      </c>
    </row>
    <row r="1280" spans="2:18" x14ac:dyDescent="0.2">
      <c r="B1280" s="171">
        <f t="shared" si="419"/>
        <v>745</v>
      </c>
      <c r="C1280" s="143"/>
      <c r="D1280" s="144"/>
      <c r="E1280" s="144"/>
      <c r="F1280" s="144" t="s">
        <v>211</v>
      </c>
      <c r="G1280" s="199" t="s">
        <v>505</v>
      </c>
      <c r="H1280" s="529">
        <f>109730-11000</f>
        <v>98730</v>
      </c>
      <c r="I1280" s="529"/>
      <c r="J1280" s="529">
        <f t="shared" si="425"/>
        <v>98730</v>
      </c>
      <c r="K1280" s="336"/>
      <c r="L1280" s="402"/>
      <c r="M1280" s="402"/>
      <c r="N1280" s="402"/>
      <c r="O1280" s="336"/>
      <c r="P1280" s="166">
        <f t="shared" si="430"/>
        <v>98730</v>
      </c>
      <c r="Q1280" s="166">
        <f t="shared" si="431"/>
        <v>0</v>
      </c>
      <c r="R1280" s="166">
        <f t="shared" si="431"/>
        <v>98730</v>
      </c>
    </row>
    <row r="1281" spans="2:18" x14ac:dyDescent="0.2">
      <c r="B1281" s="171">
        <f t="shared" si="419"/>
        <v>746</v>
      </c>
      <c r="C1281" s="143"/>
      <c r="D1281" s="144"/>
      <c r="E1281" s="144"/>
      <c r="F1281" s="144" t="s">
        <v>212</v>
      </c>
      <c r="G1281" s="199" t="s">
        <v>259</v>
      </c>
      <c r="H1281" s="529">
        <f>39950+1375</f>
        <v>41325</v>
      </c>
      <c r="I1281" s="529"/>
      <c r="J1281" s="529">
        <f t="shared" si="425"/>
        <v>41325</v>
      </c>
      <c r="K1281" s="336"/>
      <c r="L1281" s="402"/>
      <c r="M1281" s="402"/>
      <c r="N1281" s="402"/>
      <c r="O1281" s="336"/>
      <c r="P1281" s="166">
        <f t="shared" si="430"/>
        <v>41325</v>
      </c>
      <c r="Q1281" s="166">
        <f t="shared" si="431"/>
        <v>0</v>
      </c>
      <c r="R1281" s="166">
        <f t="shared" si="431"/>
        <v>41325</v>
      </c>
    </row>
    <row r="1282" spans="2:18" x14ac:dyDescent="0.2">
      <c r="B1282" s="171">
        <f t="shared" si="419"/>
        <v>747</v>
      </c>
      <c r="C1282" s="143"/>
      <c r="D1282" s="144"/>
      <c r="E1282" s="144"/>
      <c r="F1282" s="144" t="s">
        <v>218</v>
      </c>
      <c r="G1282" s="199" t="s">
        <v>340</v>
      </c>
      <c r="H1282" s="529">
        <f>H1283+H1284+H1285+H1286+H1287+H1288</f>
        <v>50550</v>
      </c>
      <c r="I1282" s="529"/>
      <c r="J1282" s="529">
        <f t="shared" si="425"/>
        <v>50550</v>
      </c>
      <c r="K1282" s="336"/>
      <c r="L1282" s="402"/>
      <c r="M1282" s="402"/>
      <c r="N1282" s="402"/>
      <c r="O1282" s="336"/>
      <c r="P1282" s="166">
        <f t="shared" si="430"/>
        <v>50550</v>
      </c>
      <c r="Q1282" s="166">
        <f t="shared" si="431"/>
        <v>0</v>
      </c>
      <c r="R1282" s="166">
        <f t="shared" si="431"/>
        <v>50550</v>
      </c>
    </row>
    <row r="1283" spans="2:18" x14ac:dyDescent="0.2">
      <c r="B1283" s="171">
        <f t="shared" si="419"/>
        <v>748</v>
      </c>
      <c r="C1283" s="143"/>
      <c r="D1283" s="144"/>
      <c r="E1283" s="144"/>
      <c r="F1283" s="131" t="s">
        <v>199</v>
      </c>
      <c r="G1283" s="194" t="s">
        <v>246</v>
      </c>
      <c r="H1283" s="399">
        <v>2500</v>
      </c>
      <c r="I1283" s="399"/>
      <c r="J1283" s="399">
        <f t="shared" si="425"/>
        <v>2500</v>
      </c>
      <c r="K1283" s="349"/>
      <c r="L1283" s="402"/>
      <c r="M1283" s="402"/>
      <c r="N1283" s="402"/>
      <c r="O1283" s="349"/>
      <c r="P1283" s="167">
        <f t="shared" si="430"/>
        <v>2500</v>
      </c>
      <c r="Q1283" s="167">
        <f t="shared" si="431"/>
        <v>0</v>
      </c>
      <c r="R1283" s="167">
        <f t="shared" si="431"/>
        <v>2500</v>
      </c>
    </row>
    <row r="1284" spans="2:18" x14ac:dyDescent="0.2">
      <c r="B1284" s="171">
        <f t="shared" si="419"/>
        <v>749</v>
      </c>
      <c r="C1284" s="143"/>
      <c r="D1284" s="144"/>
      <c r="E1284" s="144"/>
      <c r="F1284" s="131" t="s">
        <v>200</v>
      </c>
      <c r="G1284" s="194" t="s">
        <v>256</v>
      </c>
      <c r="H1284" s="430">
        <v>4050</v>
      </c>
      <c r="I1284" s="430"/>
      <c r="J1284" s="430">
        <f t="shared" si="425"/>
        <v>4050</v>
      </c>
      <c r="K1284" s="341"/>
      <c r="L1284" s="529"/>
      <c r="M1284" s="529"/>
      <c r="N1284" s="529"/>
      <c r="O1284" s="341"/>
      <c r="P1284" s="168">
        <f t="shared" si="430"/>
        <v>4050</v>
      </c>
      <c r="Q1284" s="168">
        <f t="shared" si="431"/>
        <v>0</v>
      </c>
      <c r="R1284" s="168">
        <f t="shared" si="431"/>
        <v>4050</v>
      </c>
    </row>
    <row r="1285" spans="2:18" x14ac:dyDescent="0.2">
      <c r="B1285" s="171">
        <f t="shared" si="419"/>
        <v>750</v>
      </c>
      <c r="C1285" s="130"/>
      <c r="D1285" s="131"/>
      <c r="E1285" s="131"/>
      <c r="F1285" s="131" t="s">
        <v>201</v>
      </c>
      <c r="G1285" s="194" t="s">
        <v>260</v>
      </c>
      <c r="H1285" s="399">
        <v>6750</v>
      </c>
      <c r="I1285" s="399"/>
      <c r="J1285" s="399">
        <f t="shared" si="425"/>
        <v>6750</v>
      </c>
      <c r="K1285" s="339"/>
      <c r="L1285" s="868"/>
      <c r="M1285" s="868"/>
      <c r="N1285" s="868"/>
      <c r="O1285" s="339"/>
      <c r="P1285" s="267">
        <f t="shared" si="430"/>
        <v>6750</v>
      </c>
      <c r="Q1285" s="267">
        <f t="shared" si="431"/>
        <v>0</v>
      </c>
      <c r="R1285" s="267">
        <f t="shared" si="431"/>
        <v>6750</v>
      </c>
    </row>
    <row r="1286" spans="2:18" x14ac:dyDescent="0.2">
      <c r="B1286" s="171">
        <f t="shared" si="419"/>
        <v>751</v>
      </c>
      <c r="C1286" s="130"/>
      <c r="D1286" s="131"/>
      <c r="E1286" s="131"/>
      <c r="F1286" s="131" t="s">
        <v>214</v>
      </c>
      <c r="G1286" s="194" t="s">
        <v>515</v>
      </c>
      <c r="H1286" s="399">
        <v>1400</v>
      </c>
      <c r="I1286" s="399"/>
      <c r="J1286" s="399">
        <f t="shared" si="425"/>
        <v>1400</v>
      </c>
      <c r="K1286" s="339"/>
      <c r="L1286" s="434"/>
      <c r="M1286" s="434"/>
      <c r="N1286" s="434"/>
      <c r="O1286" s="339"/>
      <c r="P1286" s="167">
        <f t="shared" si="430"/>
        <v>1400</v>
      </c>
      <c r="Q1286" s="167">
        <f t="shared" si="431"/>
        <v>0</v>
      </c>
      <c r="R1286" s="167">
        <f t="shared" si="431"/>
        <v>1400</v>
      </c>
    </row>
    <row r="1287" spans="2:18" x14ac:dyDescent="0.2">
      <c r="B1287" s="171">
        <f t="shared" si="419"/>
        <v>752</v>
      </c>
      <c r="C1287" s="130"/>
      <c r="D1287" s="131"/>
      <c r="E1287" s="131"/>
      <c r="F1287" s="131" t="s">
        <v>215</v>
      </c>
      <c r="G1287" s="194" t="s">
        <v>634</v>
      </c>
      <c r="H1287" s="399">
        <v>2500</v>
      </c>
      <c r="I1287" s="399"/>
      <c r="J1287" s="399">
        <f t="shared" si="425"/>
        <v>2500</v>
      </c>
      <c r="K1287" s="339"/>
      <c r="L1287" s="434"/>
      <c r="M1287" s="434"/>
      <c r="N1287" s="434"/>
      <c r="O1287" s="339"/>
      <c r="P1287" s="167">
        <f t="shared" si="430"/>
        <v>2500</v>
      </c>
      <c r="Q1287" s="167">
        <f t="shared" si="431"/>
        <v>0</v>
      </c>
      <c r="R1287" s="167">
        <f t="shared" si="431"/>
        <v>2500</v>
      </c>
    </row>
    <row r="1288" spans="2:18" x14ac:dyDescent="0.2">
      <c r="B1288" s="171">
        <f t="shared" si="419"/>
        <v>753</v>
      </c>
      <c r="C1288" s="130"/>
      <c r="D1288" s="131"/>
      <c r="E1288" s="131"/>
      <c r="F1288" s="131" t="s">
        <v>216</v>
      </c>
      <c r="G1288" s="194" t="s">
        <v>248</v>
      </c>
      <c r="H1288" s="399">
        <f>21750+11600</f>
        <v>33350</v>
      </c>
      <c r="I1288" s="399"/>
      <c r="J1288" s="399">
        <f t="shared" si="425"/>
        <v>33350</v>
      </c>
      <c r="K1288" s="339"/>
      <c r="L1288" s="434"/>
      <c r="M1288" s="434"/>
      <c r="N1288" s="434"/>
      <c r="O1288" s="339"/>
      <c r="P1288" s="167">
        <f t="shared" si="430"/>
        <v>33350</v>
      </c>
      <c r="Q1288" s="167">
        <f t="shared" si="431"/>
        <v>0</v>
      </c>
      <c r="R1288" s="167">
        <f t="shared" si="431"/>
        <v>33350</v>
      </c>
    </row>
    <row r="1289" spans="2:18" x14ac:dyDescent="0.2">
      <c r="B1289" s="171">
        <f t="shared" si="419"/>
        <v>754</v>
      </c>
      <c r="C1289" s="143"/>
      <c r="D1289" s="144"/>
      <c r="E1289" s="165"/>
      <c r="F1289" s="284" t="s">
        <v>217</v>
      </c>
      <c r="G1289" s="199" t="s">
        <v>537</v>
      </c>
      <c r="H1289" s="529">
        <f>2800+3694</f>
        <v>6494</v>
      </c>
      <c r="I1289" s="529"/>
      <c r="J1289" s="529">
        <f t="shared" si="425"/>
        <v>6494</v>
      </c>
      <c r="K1289" s="336"/>
      <c r="L1289" s="402"/>
      <c r="M1289" s="402"/>
      <c r="N1289" s="402"/>
      <c r="O1289" s="336"/>
      <c r="P1289" s="166">
        <f t="shared" si="430"/>
        <v>6494</v>
      </c>
      <c r="Q1289" s="166">
        <f t="shared" si="431"/>
        <v>0</v>
      </c>
      <c r="R1289" s="166">
        <f t="shared" si="431"/>
        <v>6494</v>
      </c>
    </row>
    <row r="1290" spans="2:18" ht="15" x14ac:dyDescent="0.25">
      <c r="B1290" s="171">
        <f t="shared" si="419"/>
        <v>755</v>
      </c>
      <c r="C1290" s="143"/>
      <c r="D1290" s="176"/>
      <c r="E1290" s="175" t="s">
        <v>253</v>
      </c>
      <c r="F1290" s="147" t="s">
        <v>322</v>
      </c>
      <c r="G1290" s="236"/>
      <c r="H1290" s="425">
        <f>SUM(H1291:H1293)</f>
        <v>3150</v>
      </c>
      <c r="I1290" s="425">
        <f t="shared" ref="I1290" si="433">SUM(I1291:I1293)</f>
        <v>0</v>
      </c>
      <c r="J1290" s="425">
        <f t="shared" si="425"/>
        <v>3150</v>
      </c>
      <c r="K1290" s="334"/>
      <c r="L1290" s="849"/>
      <c r="M1290" s="849"/>
      <c r="N1290" s="849"/>
      <c r="O1290" s="334"/>
      <c r="P1290" s="330">
        <f t="shared" si="430"/>
        <v>3150</v>
      </c>
      <c r="Q1290" s="330">
        <f t="shared" si="431"/>
        <v>0</v>
      </c>
      <c r="R1290" s="330">
        <f t="shared" si="431"/>
        <v>3150</v>
      </c>
    </row>
    <row r="1291" spans="2:18" x14ac:dyDescent="0.2">
      <c r="B1291" s="171">
        <f t="shared" si="419"/>
        <v>756</v>
      </c>
      <c r="C1291" s="130"/>
      <c r="D1291" s="13"/>
      <c r="E1291" s="131"/>
      <c r="F1291" s="131" t="s">
        <v>200</v>
      </c>
      <c r="G1291" s="194" t="s">
        <v>516</v>
      </c>
      <c r="H1291" s="526">
        <f>550-350</f>
        <v>200</v>
      </c>
      <c r="I1291" s="526"/>
      <c r="J1291" s="526">
        <f t="shared" si="425"/>
        <v>200</v>
      </c>
      <c r="K1291" s="132"/>
      <c r="L1291" s="527"/>
      <c r="M1291" s="527"/>
      <c r="N1291" s="527"/>
      <c r="O1291" s="132"/>
      <c r="P1291" s="167">
        <f t="shared" si="430"/>
        <v>200</v>
      </c>
      <c r="Q1291" s="167">
        <f t="shared" si="431"/>
        <v>0</v>
      </c>
      <c r="R1291" s="167">
        <f t="shared" si="431"/>
        <v>200</v>
      </c>
    </row>
    <row r="1292" spans="2:18" x14ac:dyDescent="0.2">
      <c r="B1292" s="171">
        <f t="shared" si="419"/>
        <v>757</v>
      </c>
      <c r="C1292" s="130"/>
      <c r="D1292" s="13"/>
      <c r="E1292" s="131"/>
      <c r="F1292" s="131" t="s">
        <v>200</v>
      </c>
      <c r="G1292" s="194" t="s">
        <v>517</v>
      </c>
      <c r="H1292" s="526">
        <f>2400-340</f>
        <v>2060</v>
      </c>
      <c r="I1292" s="526"/>
      <c r="J1292" s="526">
        <f t="shared" si="425"/>
        <v>2060</v>
      </c>
      <c r="K1292" s="132"/>
      <c r="L1292" s="527"/>
      <c r="M1292" s="527"/>
      <c r="N1292" s="527"/>
      <c r="O1292" s="132"/>
      <c r="P1292" s="167">
        <f t="shared" si="430"/>
        <v>2060</v>
      </c>
      <c r="Q1292" s="167">
        <f t="shared" si="431"/>
        <v>0</v>
      </c>
      <c r="R1292" s="167">
        <f t="shared" si="431"/>
        <v>2060</v>
      </c>
    </row>
    <row r="1293" spans="2:18" x14ac:dyDescent="0.2">
      <c r="B1293" s="171">
        <f t="shared" si="419"/>
        <v>758</v>
      </c>
      <c r="C1293" s="130"/>
      <c r="D1293" s="13"/>
      <c r="E1293" s="131"/>
      <c r="F1293" s="131" t="s">
        <v>200</v>
      </c>
      <c r="G1293" s="194" t="s">
        <v>518</v>
      </c>
      <c r="H1293" s="526">
        <f>200+690</f>
        <v>890</v>
      </c>
      <c r="I1293" s="526"/>
      <c r="J1293" s="526">
        <f t="shared" si="425"/>
        <v>890</v>
      </c>
      <c r="K1293" s="132"/>
      <c r="L1293" s="527"/>
      <c r="M1293" s="527"/>
      <c r="N1293" s="527"/>
      <c r="O1293" s="132"/>
      <c r="P1293" s="167">
        <f t="shared" si="430"/>
        <v>890</v>
      </c>
      <c r="Q1293" s="167">
        <f t="shared" si="431"/>
        <v>0</v>
      </c>
      <c r="R1293" s="167">
        <f t="shared" si="431"/>
        <v>890</v>
      </c>
    </row>
    <row r="1294" spans="2:18" ht="15" x14ac:dyDescent="0.25">
      <c r="B1294" s="171">
        <f t="shared" si="419"/>
        <v>759</v>
      </c>
      <c r="C1294" s="130"/>
      <c r="D1294" s="13"/>
      <c r="E1294" s="175" t="s">
        <v>679</v>
      </c>
      <c r="F1294" s="147" t="s">
        <v>323</v>
      </c>
      <c r="G1294" s="236"/>
      <c r="H1294" s="425">
        <v>4500</v>
      </c>
      <c r="I1294" s="425"/>
      <c r="J1294" s="425">
        <f t="shared" si="425"/>
        <v>4500</v>
      </c>
      <c r="K1294" s="342"/>
      <c r="L1294" s="851"/>
      <c r="M1294" s="851"/>
      <c r="N1294" s="851"/>
      <c r="O1294" s="342"/>
      <c r="P1294" s="330">
        <f t="shared" si="430"/>
        <v>4500</v>
      </c>
      <c r="Q1294" s="330">
        <f t="shared" ref="Q1294:R1304" si="434">I1294+M1294</f>
        <v>0</v>
      </c>
      <c r="R1294" s="330">
        <f t="shared" si="434"/>
        <v>4500</v>
      </c>
    </row>
    <row r="1295" spans="2:18" ht="15" x14ac:dyDescent="0.25">
      <c r="B1295" s="171">
        <f t="shared" si="419"/>
        <v>760</v>
      </c>
      <c r="C1295" s="130"/>
      <c r="D1295" s="176"/>
      <c r="E1295" s="175" t="s">
        <v>253</v>
      </c>
      <c r="F1295" s="147" t="s">
        <v>87</v>
      </c>
      <c r="G1295" s="236"/>
      <c r="H1295" s="425">
        <f>H1296+H1298+H1297+H1305</f>
        <v>40211</v>
      </c>
      <c r="I1295" s="425">
        <f t="shared" ref="I1295" si="435">I1296+I1298+I1297</f>
        <v>0</v>
      </c>
      <c r="J1295" s="425">
        <f t="shared" si="425"/>
        <v>40211</v>
      </c>
      <c r="K1295" s="342"/>
      <c r="L1295" s="851"/>
      <c r="M1295" s="851"/>
      <c r="N1295" s="851"/>
      <c r="O1295" s="342"/>
      <c r="P1295" s="330">
        <f t="shared" si="430"/>
        <v>40211</v>
      </c>
      <c r="Q1295" s="330">
        <f t="shared" si="434"/>
        <v>0</v>
      </c>
      <c r="R1295" s="330">
        <f t="shared" si="434"/>
        <v>40211</v>
      </c>
    </row>
    <row r="1296" spans="2:18" x14ac:dyDescent="0.2">
      <c r="B1296" s="171">
        <f t="shared" si="419"/>
        <v>761</v>
      </c>
      <c r="C1296" s="130"/>
      <c r="D1296" s="176"/>
      <c r="E1296" s="144"/>
      <c r="F1296" s="144" t="s">
        <v>211</v>
      </c>
      <c r="G1296" s="199" t="s">
        <v>505</v>
      </c>
      <c r="H1296" s="388">
        <f>22900+92</f>
        <v>22992</v>
      </c>
      <c r="I1296" s="388"/>
      <c r="J1296" s="388">
        <f t="shared" si="425"/>
        <v>22992</v>
      </c>
      <c r="K1296" s="132"/>
      <c r="L1296" s="527"/>
      <c r="M1296" s="527"/>
      <c r="N1296" s="527"/>
      <c r="O1296" s="132"/>
      <c r="P1296" s="166">
        <f t="shared" si="430"/>
        <v>22992</v>
      </c>
      <c r="Q1296" s="166">
        <f t="shared" si="434"/>
        <v>0</v>
      </c>
      <c r="R1296" s="166">
        <f t="shared" si="434"/>
        <v>22992</v>
      </c>
    </row>
    <row r="1297" spans="1:18" x14ac:dyDescent="0.2">
      <c r="B1297" s="171">
        <f t="shared" si="419"/>
        <v>762</v>
      </c>
      <c r="C1297" s="130"/>
      <c r="D1297" s="176"/>
      <c r="E1297" s="144"/>
      <c r="F1297" s="144" t="s">
        <v>212</v>
      </c>
      <c r="G1297" s="199" t="s">
        <v>259</v>
      </c>
      <c r="H1297" s="388">
        <f>8690+70</f>
        <v>8760</v>
      </c>
      <c r="I1297" s="388"/>
      <c r="J1297" s="388">
        <f t="shared" si="425"/>
        <v>8760</v>
      </c>
      <c r="K1297" s="132"/>
      <c r="L1297" s="527"/>
      <c r="M1297" s="527"/>
      <c r="N1297" s="527"/>
      <c r="O1297" s="132"/>
      <c r="P1297" s="166">
        <f t="shared" si="430"/>
        <v>8760</v>
      </c>
      <c r="Q1297" s="166">
        <f t="shared" si="434"/>
        <v>0</v>
      </c>
      <c r="R1297" s="166">
        <f t="shared" si="434"/>
        <v>8760</v>
      </c>
    </row>
    <row r="1298" spans="1:18" x14ac:dyDescent="0.2">
      <c r="B1298" s="171">
        <f t="shared" si="419"/>
        <v>763</v>
      </c>
      <c r="C1298" s="130"/>
      <c r="D1298" s="144"/>
      <c r="E1298" s="144"/>
      <c r="F1298" s="144" t="s">
        <v>218</v>
      </c>
      <c r="G1298" s="199" t="s">
        <v>340</v>
      </c>
      <c r="H1298" s="388">
        <f>SUM(H1299:H1304)</f>
        <v>8328</v>
      </c>
      <c r="I1298" s="388"/>
      <c r="J1298" s="388">
        <f t="shared" si="425"/>
        <v>8328</v>
      </c>
      <c r="K1298" s="132"/>
      <c r="L1298" s="527"/>
      <c r="M1298" s="527"/>
      <c r="N1298" s="527"/>
      <c r="O1298" s="132"/>
      <c r="P1298" s="166">
        <f t="shared" si="430"/>
        <v>8328</v>
      </c>
      <c r="Q1298" s="166">
        <f t="shared" si="434"/>
        <v>0</v>
      </c>
      <c r="R1298" s="166">
        <f t="shared" si="434"/>
        <v>8328</v>
      </c>
    </row>
    <row r="1299" spans="1:18" x14ac:dyDescent="0.2">
      <c r="B1299" s="171">
        <f t="shared" si="419"/>
        <v>764</v>
      </c>
      <c r="C1299" s="130"/>
      <c r="D1299" s="144"/>
      <c r="E1299" s="144"/>
      <c r="F1299" s="131" t="s">
        <v>213</v>
      </c>
      <c r="G1299" s="194" t="s">
        <v>255</v>
      </c>
      <c r="H1299" s="526">
        <v>200</v>
      </c>
      <c r="I1299" s="526"/>
      <c r="J1299" s="526">
        <f t="shared" si="425"/>
        <v>200</v>
      </c>
      <c r="L1299" s="527"/>
      <c r="M1299" s="527"/>
      <c r="N1299" s="527"/>
      <c r="P1299" s="167">
        <f t="shared" si="430"/>
        <v>200</v>
      </c>
      <c r="Q1299" s="167">
        <f t="shared" si="434"/>
        <v>0</v>
      </c>
      <c r="R1299" s="167">
        <f t="shared" si="434"/>
        <v>200</v>
      </c>
    </row>
    <row r="1300" spans="1:18" x14ac:dyDescent="0.2">
      <c r="B1300" s="171">
        <f t="shared" si="419"/>
        <v>765</v>
      </c>
      <c r="C1300" s="130"/>
      <c r="D1300" s="144"/>
      <c r="E1300" s="144"/>
      <c r="F1300" s="131" t="s">
        <v>199</v>
      </c>
      <c r="G1300" s="194" t="s">
        <v>246</v>
      </c>
      <c r="H1300" s="526">
        <v>700</v>
      </c>
      <c r="I1300" s="526"/>
      <c r="J1300" s="526">
        <f t="shared" si="425"/>
        <v>700</v>
      </c>
      <c r="L1300" s="527"/>
      <c r="M1300" s="527"/>
      <c r="N1300" s="527"/>
      <c r="P1300" s="167">
        <f t="shared" si="430"/>
        <v>700</v>
      </c>
      <c r="Q1300" s="167">
        <f t="shared" si="434"/>
        <v>0</v>
      </c>
      <c r="R1300" s="167">
        <f t="shared" si="434"/>
        <v>700</v>
      </c>
    </row>
    <row r="1301" spans="1:18" x14ac:dyDescent="0.2">
      <c r="B1301" s="171">
        <f t="shared" si="419"/>
        <v>766</v>
      </c>
      <c r="C1301" s="130"/>
      <c r="D1301" s="144"/>
      <c r="E1301" s="144"/>
      <c r="F1301" s="131" t="s">
        <v>200</v>
      </c>
      <c r="G1301" s="194" t="s">
        <v>256</v>
      </c>
      <c r="H1301" s="526">
        <f>3175+1139</f>
        <v>4314</v>
      </c>
      <c r="I1301" s="526"/>
      <c r="J1301" s="526">
        <f t="shared" si="425"/>
        <v>4314</v>
      </c>
      <c r="L1301" s="527"/>
      <c r="M1301" s="527"/>
      <c r="N1301" s="527"/>
      <c r="P1301" s="167">
        <f t="shared" si="430"/>
        <v>4314</v>
      </c>
      <c r="Q1301" s="167">
        <f t="shared" si="434"/>
        <v>0</v>
      </c>
      <c r="R1301" s="167">
        <f t="shared" si="434"/>
        <v>4314</v>
      </c>
    </row>
    <row r="1302" spans="1:18" x14ac:dyDescent="0.2">
      <c r="B1302" s="171">
        <f t="shared" si="419"/>
        <v>767</v>
      </c>
      <c r="C1302" s="130"/>
      <c r="D1302" s="144"/>
      <c r="E1302" s="131"/>
      <c r="F1302" s="131" t="s">
        <v>214</v>
      </c>
      <c r="G1302" s="194" t="s">
        <v>261</v>
      </c>
      <c r="H1302" s="526">
        <v>375</v>
      </c>
      <c r="I1302" s="526"/>
      <c r="J1302" s="526">
        <f t="shared" si="425"/>
        <v>375</v>
      </c>
      <c r="L1302" s="527"/>
      <c r="M1302" s="527"/>
      <c r="N1302" s="527"/>
      <c r="P1302" s="167">
        <f t="shared" si="430"/>
        <v>375</v>
      </c>
      <c r="Q1302" s="167">
        <f t="shared" si="434"/>
        <v>0</v>
      </c>
      <c r="R1302" s="167">
        <f t="shared" si="434"/>
        <v>375</v>
      </c>
    </row>
    <row r="1303" spans="1:18" x14ac:dyDescent="0.2">
      <c r="B1303" s="618">
        <f t="shared" si="419"/>
        <v>768</v>
      </c>
      <c r="C1303" s="651"/>
      <c r="D1303" s="657"/>
      <c r="E1303" s="658"/>
      <c r="F1303" s="658" t="s">
        <v>216</v>
      </c>
      <c r="G1303" s="652" t="s">
        <v>248</v>
      </c>
      <c r="H1303" s="527">
        <v>2000</v>
      </c>
      <c r="I1303" s="527"/>
      <c r="J1303" s="527">
        <f t="shared" si="425"/>
        <v>2000</v>
      </c>
      <c r="L1303" s="527"/>
      <c r="M1303" s="527"/>
      <c r="N1303" s="527"/>
      <c r="P1303" s="167">
        <f t="shared" si="430"/>
        <v>2000</v>
      </c>
      <c r="Q1303" s="167">
        <f t="shared" si="434"/>
        <v>0</v>
      </c>
      <c r="R1303" s="167">
        <f t="shared" si="434"/>
        <v>2000</v>
      </c>
    </row>
    <row r="1304" spans="1:18" x14ac:dyDescent="0.2">
      <c r="B1304" s="622">
        <f t="shared" si="419"/>
        <v>769</v>
      </c>
      <c r="C1304" s="524"/>
      <c r="D1304" s="284"/>
      <c r="E1304" s="290"/>
      <c r="F1304" s="290" t="s">
        <v>218</v>
      </c>
      <c r="G1304" s="525" t="s">
        <v>791</v>
      </c>
      <c r="H1304" s="526">
        <v>739</v>
      </c>
      <c r="I1304" s="526"/>
      <c r="J1304" s="526">
        <f t="shared" si="425"/>
        <v>739</v>
      </c>
      <c r="K1304" s="877"/>
      <c r="L1304" s="526"/>
      <c r="M1304" s="526"/>
      <c r="N1304" s="526"/>
      <c r="O1304" s="877"/>
      <c r="P1304" s="168">
        <f t="shared" si="430"/>
        <v>739</v>
      </c>
      <c r="Q1304" s="168">
        <f t="shared" si="434"/>
        <v>0</v>
      </c>
      <c r="R1304" s="168">
        <f t="shared" si="434"/>
        <v>739</v>
      </c>
    </row>
    <row r="1305" spans="1:18" s="153" customFormat="1" ht="13.5" thickBot="1" x14ac:dyDescent="0.25">
      <c r="A1305" s="878"/>
      <c r="B1305" s="350">
        <f t="shared" si="419"/>
        <v>770</v>
      </c>
      <c r="C1305" s="879"/>
      <c r="D1305" s="484"/>
      <c r="E1305" s="484"/>
      <c r="F1305" s="484" t="s">
        <v>217</v>
      </c>
      <c r="G1305" s="880" t="s">
        <v>880</v>
      </c>
      <c r="H1305" s="784">
        <v>131</v>
      </c>
      <c r="I1305" s="784"/>
      <c r="J1305" s="784">
        <f t="shared" ref="J1305" si="436">H1305+I1305</f>
        <v>131</v>
      </c>
      <c r="K1305" s="881"/>
      <c r="L1305" s="784"/>
      <c r="M1305" s="784"/>
      <c r="N1305" s="784"/>
      <c r="O1305" s="881"/>
      <c r="P1305" s="785">
        <f t="shared" ref="P1305" si="437">H1305+L1305</f>
        <v>131</v>
      </c>
      <c r="Q1305" s="785">
        <f t="shared" ref="Q1305" si="438">I1305+M1305</f>
        <v>0</v>
      </c>
      <c r="R1305" s="785">
        <f t="shared" ref="R1305" si="439">J1305+N1305</f>
        <v>131</v>
      </c>
    </row>
    <row r="1330" spans="2:18" ht="27.75" thickBot="1" x14ac:dyDescent="0.4">
      <c r="B1330" s="246" t="s">
        <v>593</v>
      </c>
      <c r="C1330" s="246"/>
      <c r="D1330" s="246"/>
      <c r="E1330" s="246"/>
      <c r="F1330" s="246"/>
      <c r="G1330" s="246"/>
      <c r="H1330" s="246"/>
      <c r="I1330" s="246"/>
      <c r="J1330" s="246"/>
      <c r="K1330" s="246"/>
      <c r="L1330" s="246"/>
      <c r="M1330" s="246"/>
      <c r="N1330" s="246"/>
      <c r="O1330" s="246"/>
      <c r="P1330" s="246"/>
      <c r="Q1330" s="246"/>
      <c r="R1330" s="246"/>
    </row>
    <row r="1331" spans="2:18" ht="13.5" customHeight="1" thickBot="1" x14ac:dyDescent="0.25">
      <c r="B1331" s="913" t="s">
        <v>631</v>
      </c>
      <c r="C1331" s="914"/>
      <c r="D1331" s="914"/>
      <c r="E1331" s="914"/>
      <c r="F1331" s="914"/>
      <c r="G1331" s="914"/>
      <c r="H1331" s="914"/>
      <c r="I1331" s="914"/>
      <c r="J1331" s="914"/>
      <c r="K1331" s="914"/>
      <c r="L1331" s="914"/>
      <c r="M1331" s="914"/>
      <c r="N1331" s="915"/>
      <c r="O1331" s="120"/>
      <c r="P1331" s="903" t="s">
        <v>721</v>
      </c>
      <c r="Q1331" s="903" t="s">
        <v>860</v>
      </c>
      <c r="R1331" s="903" t="s">
        <v>721</v>
      </c>
    </row>
    <row r="1332" spans="2:18" ht="13.5" customHeight="1" thickTop="1" x14ac:dyDescent="0.2">
      <c r="B1332" s="505"/>
      <c r="C1332" s="906" t="s">
        <v>477</v>
      </c>
      <c r="D1332" s="906" t="s">
        <v>476</v>
      </c>
      <c r="E1332" s="906" t="s">
        <v>474</v>
      </c>
      <c r="F1332" s="906" t="s">
        <v>475</v>
      </c>
      <c r="G1332" s="507" t="s">
        <v>3</v>
      </c>
      <c r="H1332" s="908" t="s">
        <v>722</v>
      </c>
      <c r="I1332" s="912" t="s">
        <v>860</v>
      </c>
      <c r="J1332" s="912" t="s">
        <v>722</v>
      </c>
      <c r="L1332" s="910" t="s">
        <v>723</v>
      </c>
      <c r="M1332" s="910" t="s">
        <v>860</v>
      </c>
      <c r="N1332" s="910" t="s">
        <v>723</v>
      </c>
      <c r="P1332" s="904"/>
      <c r="Q1332" s="904"/>
      <c r="R1332" s="904"/>
    </row>
    <row r="1333" spans="2:18" ht="45" customHeight="1" thickBot="1" x14ac:dyDescent="0.25">
      <c r="B1333" s="509"/>
      <c r="C1333" s="907"/>
      <c r="D1333" s="907"/>
      <c r="E1333" s="907"/>
      <c r="F1333" s="907"/>
      <c r="G1333" s="508"/>
      <c r="H1333" s="909"/>
      <c r="I1333" s="909"/>
      <c r="J1333" s="909"/>
      <c r="L1333" s="911"/>
      <c r="M1333" s="911"/>
      <c r="N1333" s="911"/>
      <c r="P1333" s="905"/>
      <c r="Q1333" s="905"/>
      <c r="R1333" s="905"/>
    </row>
    <row r="1334" spans="2:18" ht="19.5" thickTop="1" thickBot="1" x14ac:dyDescent="0.25">
      <c r="B1334" s="631">
        <v>1</v>
      </c>
      <c r="C1334" s="125" t="s">
        <v>594</v>
      </c>
      <c r="D1334" s="111"/>
      <c r="E1334" s="111"/>
      <c r="F1334" s="111"/>
      <c r="G1334" s="192"/>
      <c r="H1334" s="437">
        <f>H1335+H1336+H1348+H1395</f>
        <v>1326350</v>
      </c>
      <c r="I1334" s="437">
        <f>I1335+I1336+I1348+I1395</f>
        <v>0</v>
      </c>
      <c r="J1334" s="437">
        <f>H1334+I1334</f>
        <v>1326350</v>
      </c>
      <c r="K1334" s="113"/>
      <c r="L1334" s="405">
        <f>L1335+L1336+L1348+L1395</f>
        <v>70600</v>
      </c>
      <c r="M1334" s="405">
        <f>M1335+M1336+M1348+M1395</f>
        <v>0</v>
      </c>
      <c r="N1334" s="405">
        <f>L1334+M1334</f>
        <v>70600</v>
      </c>
      <c r="O1334" s="113"/>
      <c r="P1334" s="372">
        <f t="shared" ref="P1334:P1371" si="440">H1334+L1334</f>
        <v>1396950</v>
      </c>
      <c r="Q1334" s="372">
        <f t="shared" ref="Q1334:R1351" si="441">I1334+M1334</f>
        <v>0</v>
      </c>
      <c r="R1334" s="372">
        <f t="shared" si="441"/>
        <v>1396950</v>
      </c>
    </row>
    <row r="1335" spans="2:18" ht="16.5" thickTop="1" x14ac:dyDescent="0.25">
      <c r="B1335" s="136">
        <f>B1334+1</f>
        <v>2</v>
      </c>
      <c r="C1335" s="23">
        <v>1</v>
      </c>
      <c r="D1335" s="127" t="s">
        <v>110</v>
      </c>
      <c r="E1335" s="24"/>
      <c r="F1335" s="24"/>
      <c r="G1335" s="193"/>
      <c r="H1335" s="410">
        <v>0</v>
      </c>
      <c r="I1335" s="410"/>
      <c r="J1335" s="410">
        <f t="shared" ref="J1335:J1400" si="442">H1335+I1335</f>
        <v>0</v>
      </c>
      <c r="K1335" s="88"/>
      <c r="L1335" s="400">
        <v>0</v>
      </c>
      <c r="M1335" s="400">
        <v>0</v>
      </c>
      <c r="N1335" s="400">
        <f t="shared" ref="N1335:N1395" si="443">L1335+M1335</f>
        <v>0</v>
      </c>
      <c r="O1335" s="88"/>
      <c r="P1335" s="373">
        <f t="shared" si="440"/>
        <v>0</v>
      </c>
      <c r="Q1335" s="373">
        <f t="shared" si="441"/>
        <v>0</v>
      </c>
      <c r="R1335" s="373">
        <f t="shared" si="441"/>
        <v>0</v>
      </c>
    </row>
    <row r="1336" spans="2:18" ht="15.75" x14ac:dyDescent="0.25">
      <c r="B1336" s="136">
        <f t="shared" ref="B1336:B1401" si="444">B1335+1</f>
        <v>3</v>
      </c>
      <c r="C1336" s="21">
        <v>2</v>
      </c>
      <c r="D1336" s="126" t="s">
        <v>883</v>
      </c>
      <c r="E1336" s="22"/>
      <c r="F1336" s="22"/>
      <c r="G1336" s="195"/>
      <c r="H1336" s="411">
        <f>SUM(H1337:H1346)</f>
        <v>101500</v>
      </c>
      <c r="I1336" s="411">
        <f>SUM(I1337:I1347)</f>
        <v>30000</v>
      </c>
      <c r="J1336" s="411">
        <f t="shared" si="442"/>
        <v>131500</v>
      </c>
      <c r="K1336" s="112"/>
      <c r="L1336" s="379">
        <v>0</v>
      </c>
      <c r="M1336" s="379">
        <v>0</v>
      </c>
      <c r="N1336" s="379">
        <f t="shared" si="443"/>
        <v>0</v>
      </c>
      <c r="O1336" s="112"/>
      <c r="P1336" s="373">
        <f t="shared" si="440"/>
        <v>101500</v>
      </c>
      <c r="Q1336" s="373">
        <f t="shared" si="441"/>
        <v>30000</v>
      </c>
      <c r="R1336" s="373">
        <f t="shared" si="441"/>
        <v>131500</v>
      </c>
    </row>
    <row r="1337" spans="2:18" x14ac:dyDescent="0.2">
      <c r="B1337" s="136">
        <f t="shared" si="444"/>
        <v>4</v>
      </c>
      <c r="C1337" s="130"/>
      <c r="D1337" s="130"/>
      <c r="E1337" s="131" t="s">
        <v>252</v>
      </c>
      <c r="F1337" s="451">
        <v>640</v>
      </c>
      <c r="G1337" s="212" t="s">
        <v>111</v>
      </c>
      <c r="H1337" s="526">
        <v>25000</v>
      </c>
      <c r="I1337" s="526"/>
      <c r="J1337" s="526">
        <f t="shared" si="442"/>
        <v>25000</v>
      </c>
      <c r="K1337" s="132"/>
      <c r="L1337" s="526"/>
      <c r="M1337" s="526"/>
      <c r="N1337" s="526"/>
      <c r="O1337" s="132"/>
      <c r="P1337" s="449">
        <f t="shared" si="440"/>
        <v>25000</v>
      </c>
      <c r="Q1337" s="449">
        <f t="shared" si="441"/>
        <v>0</v>
      </c>
      <c r="R1337" s="449">
        <f t="shared" si="441"/>
        <v>25000</v>
      </c>
    </row>
    <row r="1338" spans="2:18" x14ac:dyDescent="0.2">
      <c r="B1338" s="136">
        <f t="shared" si="444"/>
        <v>5</v>
      </c>
      <c r="C1338" s="130"/>
      <c r="D1338" s="130"/>
      <c r="E1338" s="131" t="s">
        <v>252</v>
      </c>
      <c r="F1338" s="451">
        <v>640</v>
      </c>
      <c r="G1338" s="212" t="s">
        <v>592</v>
      </c>
      <c r="H1338" s="526">
        <v>5000</v>
      </c>
      <c r="I1338" s="526"/>
      <c r="J1338" s="526">
        <f t="shared" si="442"/>
        <v>5000</v>
      </c>
      <c r="K1338" s="132"/>
      <c r="L1338" s="526"/>
      <c r="M1338" s="526"/>
      <c r="N1338" s="526"/>
      <c r="O1338" s="132"/>
      <c r="P1338" s="449">
        <f t="shared" si="440"/>
        <v>5000</v>
      </c>
      <c r="Q1338" s="449">
        <f t="shared" si="441"/>
        <v>0</v>
      </c>
      <c r="R1338" s="449">
        <f t="shared" si="441"/>
        <v>5000</v>
      </c>
    </row>
    <row r="1339" spans="2:18" x14ac:dyDescent="0.2">
      <c r="B1339" s="136">
        <f t="shared" si="444"/>
        <v>6</v>
      </c>
      <c r="C1339" s="130"/>
      <c r="D1339" s="130"/>
      <c r="E1339" s="131" t="s">
        <v>252</v>
      </c>
      <c r="F1339" s="451">
        <v>640</v>
      </c>
      <c r="G1339" s="212" t="s">
        <v>596</v>
      </c>
      <c r="H1339" s="526">
        <v>8500</v>
      </c>
      <c r="I1339" s="526"/>
      <c r="J1339" s="526">
        <f t="shared" si="442"/>
        <v>8500</v>
      </c>
      <c r="K1339" s="132"/>
      <c r="L1339" s="526"/>
      <c r="M1339" s="526"/>
      <c r="N1339" s="526"/>
      <c r="O1339" s="132"/>
      <c r="P1339" s="449">
        <f t="shared" si="440"/>
        <v>8500</v>
      </c>
      <c r="Q1339" s="449">
        <f t="shared" si="441"/>
        <v>0</v>
      </c>
      <c r="R1339" s="449">
        <f t="shared" si="441"/>
        <v>8500</v>
      </c>
    </row>
    <row r="1340" spans="2:18" x14ac:dyDescent="0.2">
      <c r="B1340" s="136">
        <f t="shared" si="444"/>
        <v>7</v>
      </c>
      <c r="C1340" s="454"/>
      <c r="D1340" s="464"/>
      <c r="E1340" s="451" t="s">
        <v>263</v>
      </c>
      <c r="F1340" s="451">
        <v>640</v>
      </c>
      <c r="G1340" s="456" t="s">
        <v>821</v>
      </c>
      <c r="H1340" s="531">
        <v>1500</v>
      </c>
      <c r="I1340" s="531"/>
      <c r="J1340" s="531">
        <f t="shared" si="442"/>
        <v>1500</v>
      </c>
      <c r="K1340" s="448"/>
      <c r="L1340" s="532"/>
      <c r="M1340" s="532"/>
      <c r="N1340" s="532"/>
      <c r="O1340" s="448"/>
      <c r="P1340" s="486">
        <f t="shared" si="440"/>
        <v>1500</v>
      </c>
      <c r="Q1340" s="486">
        <f t="shared" si="441"/>
        <v>0</v>
      </c>
      <c r="R1340" s="486">
        <f t="shared" si="441"/>
        <v>1500</v>
      </c>
    </row>
    <row r="1341" spans="2:18" x14ac:dyDescent="0.2">
      <c r="B1341" s="136">
        <f t="shared" si="444"/>
        <v>8</v>
      </c>
      <c r="C1341" s="454"/>
      <c r="D1341" s="464"/>
      <c r="E1341" s="451" t="s">
        <v>263</v>
      </c>
      <c r="F1341" s="451">
        <v>640</v>
      </c>
      <c r="G1341" s="475" t="s">
        <v>575</v>
      </c>
      <c r="H1341" s="531">
        <v>3000</v>
      </c>
      <c r="I1341" s="531"/>
      <c r="J1341" s="531">
        <f t="shared" si="442"/>
        <v>3000</v>
      </c>
      <c r="K1341" s="448"/>
      <c r="L1341" s="532"/>
      <c r="M1341" s="532"/>
      <c r="N1341" s="532"/>
      <c r="O1341" s="448"/>
      <c r="P1341" s="486">
        <f t="shared" si="440"/>
        <v>3000</v>
      </c>
      <c r="Q1341" s="486">
        <f t="shared" si="441"/>
        <v>0</v>
      </c>
      <c r="R1341" s="486">
        <f t="shared" si="441"/>
        <v>3000</v>
      </c>
    </row>
    <row r="1342" spans="2:18" x14ac:dyDescent="0.2">
      <c r="B1342" s="136">
        <f t="shared" si="444"/>
        <v>9</v>
      </c>
      <c r="C1342" s="454"/>
      <c r="D1342" s="464"/>
      <c r="E1342" s="451" t="s">
        <v>263</v>
      </c>
      <c r="F1342" s="451">
        <v>640</v>
      </c>
      <c r="G1342" s="475" t="s">
        <v>738</v>
      </c>
      <c r="H1342" s="531">
        <v>2000</v>
      </c>
      <c r="I1342" s="531"/>
      <c r="J1342" s="531">
        <f t="shared" si="442"/>
        <v>2000</v>
      </c>
      <c r="K1342" s="448"/>
      <c r="L1342" s="532"/>
      <c r="M1342" s="532"/>
      <c r="N1342" s="532"/>
      <c r="O1342" s="448"/>
      <c r="P1342" s="486">
        <f t="shared" si="440"/>
        <v>2000</v>
      </c>
      <c r="Q1342" s="486">
        <f t="shared" si="441"/>
        <v>0</v>
      </c>
      <c r="R1342" s="486">
        <f t="shared" si="441"/>
        <v>2000</v>
      </c>
    </row>
    <row r="1343" spans="2:18" x14ac:dyDescent="0.2">
      <c r="B1343" s="136">
        <f t="shared" si="444"/>
        <v>10</v>
      </c>
      <c r="C1343" s="454"/>
      <c r="D1343" s="464"/>
      <c r="E1343" s="451" t="s">
        <v>263</v>
      </c>
      <c r="F1343" s="451">
        <v>640</v>
      </c>
      <c r="G1343" s="475" t="s">
        <v>739</v>
      </c>
      <c r="H1343" s="531">
        <v>2000</v>
      </c>
      <c r="I1343" s="531"/>
      <c r="J1343" s="531">
        <f t="shared" si="442"/>
        <v>2000</v>
      </c>
      <c r="K1343" s="448"/>
      <c r="L1343" s="532"/>
      <c r="M1343" s="532"/>
      <c r="N1343" s="532"/>
      <c r="O1343" s="448"/>
      <c r="P1343" s="486">
        <f t="shared" si="440"/>
        <v>2000</v>
      </c>
      <c r="Q1343" s="486">
        <f t="shared" si="441"/>
        <v>0</v>
      </c>
      <c r="R1343" s="486">
        <f t="shared" si="441"/>
        <v>2000</v>
      </c>
    </row>
    <row r="1344" spans="2:18" ht="22.5" x14ac:dyDescent="0.2">
      <c r="B1344" s="136">
        <f t="shared" si="444"/>
        <v>11</v>
      </c>
      <c r="C1344" s="454"/>
      <c r="D1344" s="464"/>
      <c r="E1344" s="451" t="s">
        <v>263</v>
      </c>
      <c r="F1344" s="451">
        <v>640</v>
      </c>
      <c r="G1344" s="475" t="s">
        <v>819</v>
      </c>
      <c r="H1344" s="531">
        <v>8000</v>
      </c>
      <c r="I1344" s="531"/>
      <c r="J1344" s="531">
        <f t="shared" si="442"/>
        <v>8000</v>
      </c>
      <c r="K1344" s="448"/>
      <c r="L1344" s="532"/>
      <c r="M1344" s="532"/>
      <c r="N1344" s="532"/>
      <c r="O1344" s="448"/>
      <c r="P1344" s="486">
        <f t="shared" si="440"/>
        <v>8000</v>
      </c>
      <c r="Q1344" s="486">
        <f t="shared" si="441"/>
        <v>0</v>
      </c>
      <c r="R1344" s="486">
        <f t="shared" si="441"/>
        <v>8000</v>
      </c>
    </row>
    <row r="1345" spans="2:18" ht="22.5" x14ac:dyDescent="0.2">
      <c r="B1345" s="136">
        <f t="shared" si="444"/>
        <v>12</v>
      </c>
      <c r="C1345" s="454"/>
      <c r="D1345" s="464"/>
      <c r="E1345" s="458" t="s">
        <v>263</v>
      </c>
      <c r="F1345" s="458">
        <v>640</v>
      </c>
      <c r="G1345" s="475" t="s">
        <v>820</v>
      </c>
      <c r="H1345" s="531">
        <v>1500</v>
      </c>
      <c r="I1345" s="531"/>
      <c r="J1345" s="531">
        <f t="shared" si="442"/>
        <v>1500</v>
      </c>
      <c r="K1345" s="448"/>
      <c r="L1345" s="532"/>
      <c r="M1345" s="532"/>
      <c r="N1345" s="532"/>
      <c r="O1345" s="448"/>
      <c r="P1345" s="486">
        <f t="shared" si="440"/>
        <v>1500</v>
      </c>
      <c r="Q1345" s="486">
        <f t="shared" si="441"/>
        <v>0</v>
      </c>
      <c r="R1345" s="486">
        <f t="shared" si="441"/>
        <v>1500</v>
      </c>
    </row>
    <row r="1346" spans="2:18" ht="22.5" x14ac:dyDescent="0.2">
      <c r="B1346" s="136">
        <f t="shared" si="444"/>
        <v>13</v>
      </c>
      <c r="C1346" s="454"/>
      <c r="D1346" s="464"/>
      <c r="E1346" s="458" t="s">
        <v>263</v>
      </c>
      <c r="F1346" s="458">
        <v>640</v>
      </c>
      <c r="G1346" s="475" t="s">
        <v>874</v>
      </c>
      <c r="H1346" s="531">
        <v>45000</v>
      </c>
      <c r="I1346" s="531"/>
      <c r="J1346" s="531">
        <f t="shared" ref="J1346:J1347" si="445">H1346+I1346</f>
        <v>45000</v>
      </c>
      <c r="K1346" s="448"/>
      <c r="L1346" s="532"/>
      <c r="M1346" s="532"/>
      <c r="N1346" s="532"/>
      <c r="O1346" s="448"/>
      <c r="P1346" s="486">
        <f t="shared" ref="P1346" si="446">H1346+L1346</f>
        <v>45000</v>
      </c>
      <c r="Q1346" s="486">
        <f t="shared" ref="Q1346" si="447">I1346+M1346</f>
        <v>0</v>
      </c>
      <c r="R1346" s="486">
        <f t="shared" ref="R1346" si="448">J1346+N1346</f>
        <v>45000</v>
      </c>
    </row>
    <row r="1347" spans="2:18" x14ac:dyDescent="0.2">
      <c r="B1347" s="136">
        <f t="shared" si="444"/>
        <v>14</v>
      </c>
      <c r="C1347" s="454"/>
      <c r="D1347" s="464"/>
      <c r="E1347" s="458" t="s">
        <v>263</v>
      </c>
      <c r="F1347" s="458">
        <v>640</v>
      </c>
      <c r="G1347" s="475" t="s">
        <v>882</v>
      </c>
      <c r="H1347" s="531"/>
      <c r="I1347" s="531">
        <v>30000</v>
      </c>
      <c r="J1347" s="531">
        <f t="shared" si="445"/>
        <v>30000</v>
      </c>
      <c r="K1347" s="448"/>
      <c r="L1347" s="532"/>
      <c r="M1347" s="532"/>
      <c r="N1347" s="532"/>
      <c r="O1347" s="448"/>
      <c r="P1347" s="486">
        <f t="shared" ref="P1347" si="449">H1347+L1347</f>
        <v>0</v>
      </c>
      <c r="Q1347" s="486">
        <f t="shared" ref="Q1347" si="450">I1347+M1347</f>
        <v>30000</v>
      </c>
      <c r="R1347" s="486">
        <f t="shared" ref="R1347" si="451">J1347+N1347</f>
        <v>30000</v>
      </c>
    </row>
    <row r="1348" spans="2:18" ht="15.75" x14ac:dyDescent="0.25">
      <c r="B1348" s="136">
        <f t="shared" si="444"/>
        <v>15</v>
      </c>
      <c r="C1348" s="23">
        <v>3</v>
      </c>
      <c r="D1348" s="127" t="s">
        <v>143</v>
      </c>
      <c r="E1348" s="24"/>
      <c r="F1348" s="24"/>
      <c r="G1348" s="193"/>
      <c r="H1348" s="411">
        <f>H1349+H1352+H1361+H1377+H1393</f>
        <v>1164850</v>
      </c>
      <c r="I1348" s="411">
        <f t="shared" ref="I1348" si="452">I1349+I1352+I1361+I1377+I1393</f>
        <v>-30000</v>
      </c>
      <c r="J1348" s="411">
        <f t="shared" si="442"/>
        <v>1134850</v>
      </c>
      <c r="K1348" s="88"/>
      <c r="L1348" s="381">
        <f>L1349+L1352+L1361+L1377</f>
        <v>62600</v>
      </c>
      <c r="M1348" s="381">
        <f t="shared" ref="M1348" si="453">M1349+M1352+M1361+M1377</f>
        <v>0</v>
      </c>
      <c r="N1348" s="381">
        <f t="shared" si="443"/>
        <v>62600</v>
      </c>
      <c r="O1348" s="88"/>
      <c r="P1348" s="373">
        <f t="shared" si="440"/>
        <v>1227450</v>
      </c>
      <c r="Q1348" s="373">
        <f t="shared" si="441"/>
        <v>-30000</v>
      </c>
      <c r="R1348" s="373">
        <f t="shared" si="441"/>
        <v>1197450</v>
      </c>
    </row>
    <row r="1349" spans="2:18" x14ac:dyDescent="0.2">
      <c r="B1349" s="136">
        <f t="shared" si="444"/>
        <v>16</v>
      </c>
      <c r="C1349" s="76"/>
      <c r="D1349" s="198" t="s">
        <v>4</v>
      </c>
      <c r="E1349" s="216" t="s">
        <v>112</v>
      </c>
      <c r="F1349" s="216"/>
      <c r="G1349" s="217"/>
      <c r="H1349" s="377">
        <f>SUM(H1350:H1351)</f>
        <v>161300</v>
      </c>
      <c r="I1349" s="377">
        <f t="shared" ref="I1349" si="454">SUM(I1350:I1351)</f>
        <v>0</v>
      </c>
      <c r="J1349" s="377">
        <f t="shared" si="442"/>
        <v>161300</v>
      </c>
      <c r="K1349" s="20"/>
      <c r="L1349" s="401">
        <v>0</v>
      </c>
      <c r="M1349" s="401"/>
      <c r="N1349" s="401">
        <f t="shared" si="443"/>
        <v>0</v>
      </c>
      <c r="O1349" s="20"/>
      <c r="P1349" s="208">
        <f t="shared" si="440"/>
        <v>161300</v>
      </c>
      <c r="Q1349" s="208">
        <f t="shared" si="441"/>
        <v>0</v>
      </c>
      <c r="R1349" s="208">
        <f t="shared" si="441"/>
        <v>161300</v>
      </c>
    </row>
    <row r="1350" spans="2:18" x14ac:dyDescent="0.2">
      <c r="B1350" s="136">
        <f t="shared" si="444"/>
        <v>17</v>
      </c>
      <c r="C1350" s="130"/>
      <c r="D1350" s="130"/>
      <c r="E1350" s="134" t="s">
        <v>263</v>
      </c>
      <c r="F1350" s="364">
        <v>636</v>
      </c>
      <c r="G1350" s="460" t="s">
        <v>705</v>
      </c>
      <c r="H1350" s="398">
        <v>160000</v>
      </c>
      <c r="I1350" s="398"/>
      <c r="J1350" s="398">
        <f t="shared" si="442"/>
        <v>160000</v>
      </c>
      <c r="K1350" s="132"/>
      <c r="L1350" s="526"/>
      <c r="M1350" s="526"/>
      <c r="N1350" s="526"/>
      <c r="O1350" s="132"/>
      <c r="P1350" s="528">
        <f t="shared" si="440"/>
        <v>160000</v>
      </c>
      <c r="Q1350" s="528">
        <f t="shared" si="441"/>
        <v>0</v>
      </c>
      <c r="R1350" s="528">
        <f t="shared" si="441"/>
        <v>160000</v>
      </c>
    </row>
    <row r="1351" spans="2:18" x14ac:dyDescent="0.2">
      <c r="B1351" s="136">
        <f t="shared" si="444"/>
        <v>18</v>
      </c>
      <c r="C1351" s="130"/>
      <c r="D1351" s="130"/>
      <c r="E1351" s="134" t="s">
        <v>263</v>
      </c>
      <c r="F1351" s="364">
        <v>637</v>
      </c>
      <c r="G1351" s="460" t="s">
        <v>303</v>
      </c>
      <c r="H1351" s="398">
        <v>1300</v>
      </c>
      <c r="I1351" s="398"/>
      <c r="J1351" s="398">
        <f t="shared" si="442"/>
        <v>1300</v>
      </c>
      <c r="K1351" s="132"/>
      <c r="L1351" s="526"/>
      <c r="M1351" s="526"/>
      <c r="N1351" s="526"/>
      <c r="O1351" s="132"/>
      <c r="P1351" s="528">
        <f t="shared" si="440"/>
        <v>1300</v>
      </c>
      <c r="Q1351" s="528">
        <f t="shared" si="441"/>
        <v>0</v>
      </c>
      <c r="R1351" s="528">
        <f t="shared" si="441"/>
        <v>1300</v>
      </c>
    </row>
    <row r="1352" spans="2:18" x14ac:dyDescent="0.2">
      <c r="B1352" s="136">
        <f t="shared" si="444"/>
        <v>19</v>
      </c>
      <c r="C1352" s="76"/>
      <c r="D1352" s="198" t="s">
        <v>5</v>
      </c>
      <c r="E1352" s="216" t="s">
        <v>113</v>
      </c>
      <c r="F1352" s="216"/>
      <c r="G1352" s="217"/>
      <c r="H1352" s="377">
        <f>SUM(H1353:H1360)</f>
        <v>194200</v>
      </c>
      <c r="I1352" s="377">
        <f t="shared" ref="I1352" si="455">SUM(I1353:I1360)</f>
        <v>-30000</v>
      </c>
      <c r="J1352" s="377">
        <f t="shared" si="442"/>
        <v>164200</v>
      </c>
      <c r="K1352" s="20"/>
      <c r="L1352" s="401">
        <f>L1360</f>
        <v>17000</v>
      </c>
      <c r="M1352" s="401">
        <f t="shared" ref="M1352" si="456">M1360</f>
        <v>0</v>
      </c>
      <c r="N1352" s="401">
        <f t="shared" si="443"/>
        <v>17000</v>
      </c>
      <c r="O1352" s="20"/>
      <c r="P1352" s="208">
        <f t="shared" si="440"/>
        <v>211200</v>
      </c>
      <c r="Q1352" s="208">
        <f t="shared" ref="Q1352:R1367" si="457">I1352+M1352</f>
        <v>-30000</v>
      </c>
      <c r="R1352" s="208">
        <f t="shared" si="457"/>
        <v>181200</v>
      </c>
    </row>
    <row r="1353" spans="2:18" ht="22.5" x14ac:dyDescent="0.2">
      <c r="B1353" s="752">
        <f t="shared" si="444"/>
        <v>20</v>
      </c>
      <c r="C1353" s="454"/>
      <c r="D1353" s="454"/>
      <c r="E1353" s="451" t="s">
        <v>263</v>
      </c>
      <c r="F1353" s="541">
        <v>640</v>
      </c>
      <c r="G1353" s="456" t="s">
        <v>579</v>
      </c>
      <c r="H1353" s="534">
        <v>160000</v>
      </c>
      <c r="I1353" s="534"/>
      <c r="J1353" s="534">
        <f t="shared" si="442"/>
        <v>160000</v>
      </c>
      <c r="K1353" s="448"/>
      <c r="L1353" s="531"/>
      <c r="M1353" s="531"/>
      <c r="N1353" s="531"/>
      <c r="O1353" s="448"/>
      <c r="P1353" s="455">
        <f t="shared" si="440"/>
        <v>160000</v>
      </c>
      <c r="Q1353" s="455">
        <f t="shared" si="457"/>
        <v>0</v>
      </c>
      <c r="R1353" s="455">
        <f t="shared" si="457"/>
        <v>160000</v>
      </c>
    </row>
    <row r="1354" spans="2:18" x14ac:dyDescent="0.2">
      <c r="B1354" s="752">
        <f t="shared" si="444"/>
        <v>21</v>
      </c>
      <c r="C1354" s="454"/>
      <c r="D1354" s="454"/>
      <c r="E1354" s="451" t="s">
        <v>263</v>
      </c>
      <c r="F1354" s="541">
        <v>636</v>
      </c>
      <c r="G1354" s="456" t="s">
        <v>706</v>
      </c>
      <c r="H1354" s="534">
        <f>40000-10000</f>
        <v>30000</v>
      </c>
      <c r="I1354" s="534">
        <v>-30000</v>
      </c>
      <c r="J1354" s="534">
        <f t="shared" si="442"/>
        <v>0</v>
      </c>
      <c r="K1354" s="448"/>
      <c r="L1354" s="531"/>
      <c r="M1354" s="531"/>
      <c r="N1354" s="531"/>
      <c r="O1354" s="448"/>
      <c r="P1354" s="455">
        <f t="shared" si="440"/>
        <v>30000</v>
      </c>
      <c r="Q1354" s="455">
        <f t="shared" si="457"/>
        <v>-30000</v>
      </c>
      <c r="R1354" s="455">
        <f t="shared" si="457"/>
        <v>0</v>
      </c>
    </row>
    <row r="1355" spans="2:18" ht="22.5" x14ac:dyDescent="0.2">
      <c r="B1355" s="136">
        <f t="shared" si="444"/>
        <v>22</v>
      </c>
      <c r="C1355" s="454"/>
      <c r="D1355" s="454"/>
      <c r="E1355" s="451" t="s">
        <v>263</v>
      </c>
      <c r="F1355" s="541">
        <v>640</v>
      </c>
      <c r="G1355" s="456" t="s">
        <v>576</v>
      </c>
      <c r="H1355" s="534">
        <f>1500-1125</f>
        <v>375</v>
      </c>
      <c r="I1355" s="534"/>
      <c r="J1355" s="534">
        <f t="shared" si="442"/>
        <v>375</v>
      </c>
      <c r="K1355" s="448"/>
      <c r="L1355" s="531"/>
      <c r="M1355" s="531"/>
      <c r="N1355" s="531"/>
      <c r="O1355" s="448"/>
      <c r="P1355" s="455">
        <f t="shared" si="440"/>
        <v>375</v>
      </c>
      <c r="Q1355" s="455">
        <f t="shared" si="457"/>
        <v>0</v>
      </c>
      <c r="R1355" s="455">
        <f t="shared" si="457"/>
        <v>375</v>
      </c>
    </row>
    <row r="1356" spans="2:18" x14ac:dyDescent="0.2">
      <c r="B1356" s="136">
        <f t="shared" si="444"/>
        <v>23</v>
      </c>
      <c r="C1356" s="454"/>
      <c r="D1356" s="454"/>
      <c r="E1356" s="451" t="s">
        <v>263</v>
      </c>
      <c r="F1356" s="541">
        <v>632</v>
      </c>
      <c r="G1356" s="456" t="s">
        <v>749</v>
      </c>
      <c r="H1356" s="534">
        <f>1125-500</f>
        <v>625</v>
      </c>
      <c r="I1356" s="534"/>
      <c r="J1356" s="534">
        <f t="shared" si="442"/>
        <v>625</v>
      </c>
      <c r="K1356" s="448"/>
      <c r="L1356" s="531"/>
      <c r="M1356" s="531"/>
      <c r="N1356" s="531"/>
      <c r="O1356" s="448"/>
      <c r="P1356" s="455">
        <f t="shared" si="440"/>
        <v>625</v>
      </c>
      <c r="Q1356" s="455">
        <f t="shared" si="457"/>
        <v>0</v>
      </c>
      <c r="R1356" s="455">
        <f t="shared" si="457"/>
        <v>625</v>
      </c>
    </row>
    <row r="1357" spans="2:18" x14ac:dyDescent="0.2">
      <c r="B1357" s="136">
        <f t="shared" si="444"/>
        <v>24</v>
      </c>
      <c r="C1357" s="130"/>
      <c r="D1357" s="130"/>
      <c r="E1357" s="134" t="s">
        <v>263</v>
      </c>
      <c r="F1357" s="540">
        <v>637</v>
      </c>
      <c r="G1357" s="460" t="s">
        <v>546</v>
      </c>
      <c r="H1357" s="398">
        <v>1200</v>
      </c>
      <c r="I1357" s="398"/>
      <c r="J1357" s="398">
        <f t="shared" si="442"/>
        <v>1200</v>
      </c>
      <c r="K1357" s="132"/>
      <c r="L1357" s="526"/>
      <c r="M1357" s="526"/>
      <c r="N1357" s="526"/>
      <c r="O1357" s="132"/>
      <c r="P1357" s="455">
        <f t="shared" si="440"/>
        <v>1200</v>
      </c>
      <c r="Q1357" s="455">
        <f t="shared" si="457"/>
        <v>0</v>
      </c>
      <c r="R1357" s="455">
        <f t="shared" si="457"/>
        <v>1200</v>
      </c>
    </row>
    <row r="1358" spans="2:18" ht="22.5" x14ac:dyDescent="0.2">
      <c r="B1358" s="136">
        <f t="shared" si="444"/>
        <v>25</v>
      </c>
      <c r="C1358" s="454"/>
      <c r="D1358" s="454"/>
      <c r="E1358" s="451" t="s">
        <v>263</v>
      </c>
      <c r="F1358" s="541">
        <v>640</v>
      </c>
      <c r="G1358" s="456" t="s">
        <v>578</v>
      </c>
      <c r="H1358" s="534">
        <f>1500-1000</f>
        <v>500</v>
      </c>
      <c r="I1358" s="534"/>
      <c r="J1358" s="534">
        <f t="shared" si="442"/>
        <v>500</v>
      </c>
      <c r="K1358" s="448"/>
      <c r="L1358" s="532"/>
      <c r="M1358" s="532"/>
      <c r="N1358" s="532"/>
      <c r="O1358" s="448"/>
      <c r="P1358" s="455">
        <f t="shared" si="440"/>
        <v>500</v>
      </c>
      <c r="Q1358" s="455">
        <f t="shared" si="457"/>
        <v>0</v>
      </c>
      <c r="R1358" s="455">
        <f t="shared" si="457"/>
        <v>500</v>
      </c>
    </row>
    <row r="1359" spans="2:18" x14ac:dyDescent="0.2">
      <c r="B1359" s="136">
        <f t="shared" si="444"/>
        <v>26</v>
      </c>
      <c r="C1359" s="454"/>
      <c r="D1359" s="454"/>
      <c r="E1359" s="451" t="s">
        <v>263</v>
      </c>
      <c r="F1359" s="541">
        <v>632</v>
      </c>
      <c r="G1359" s="456" t="s">
        <v>814</v>
      </c>
      <c r="H1359" s="534">
        <f>1000+500</f>
        <v>1500</v>
      </c>
      <c r="I1359" s="534"/>
      <c r="J1359" s="534">
        <f t="shared" si="442"/>
        <v>1500</v>
      </c>
      <c r="K1359" s="448"/>
      <c r="L1359" s="532"/>
      <c r="M1359" s="532"/>
      <c r="N1359" s="532"/>
      <c r="O1359" s="448"/>
      <c r="P1359" s="455">
        <f t="shared" si="440"/>
        <v>1500</v>
      </c>
      <c r="Q1359" s="455">
        <f t="shared" si="457"/>
        <v>0</v>
      </c>
      <c r="R1359" s="455">
        <f t="shared" si="457"/>
        <v>1500</v>
      </c>
    </row>
    <row r="1360" spans="2:18" x14ac:dyDescent="0.2">
      <c r="B1360" s="136">
        <f t="shared" si="444"/>
        <v>27</v>
      </c>
      <c r="C1360" s="454"/>
      <c r="D1360" s="454"/>
      <c r="E1360" s="659" t="s">
        <v>263</v>
      </c>
      <c r="F1360" s="741">
        <v>717</v>
      </c>
      <c r="G1360" s="742" t="s">
        <v>793</v>
      </c>
      <c r="H1360" s="743"/>
      <c r="I1360" s="743"/>
      <c r="J1360" s="743">
        <f t="shared" si="442"/>
        <v>0</v>
      </c>
      <c r="K1360" s="744"/>
      <c r="L1360" s="745">
        <v>17000</v>
      </c>
      <c r="M1360" s="745"/>
      <c r="N1360" s="745">
        <f t="shared" si="443"/>
        <v>17000</v>
      </c>
      <c r="O1360" s="744"/>
      <c r="P1360" s="746">
        <f t="shared" si="440"/>
        <v>17000</v>
      </c>
      <c r="Q1360" s="746">
        <f t="shared" si="457"/>
        <v>0</v>
      </c>
      <c r="R1360" s="746">
        <f t="shared" si="457"/>
        <v>17000</v>
      </c>
    </row>
    <row r="1361" spans="2:18" x14ac:dyDescent="0.2">
      <c r="B1361" s="136">
        <f t="shared" si="444"/>
        <v>28</v>
      </c>
      <c r="C1361" s="76"/>
      <c r="D1361" s="198" t="s">
        <v>6</v>
      </c>
      <c r="E1361" s="216" t="s">
        <v>74</v>
      </c>
      <c r="F1361" s="216"/>
      <c r="G1361" s="217"/>
      <c r="H1361" s="377">
        <f>H1362+H1373</f>
        <v>440250</v>
      </c>
      <c r="I1361" s="377">
        <f t="shared" ref="I1361" si="458">I1362+I1373</f>
        <v>0</v>
      </c>
      <c r="J1361" s="377">
        <f t="shared" si="442"/>
        <v>440250</v>
      </c>
      <c r="K1361" s="20"/>
      <c r="L1361" s="401">
        <f>L1362+L1375</f>
        <v>30000</v>
      </c>
      <c r="M1361" s="401">
        <f t="shared" ref="M1361" si="459">M1362+M1375</f>
        <v>0</v>
      </c>
      <c r="N1361" s="401">
        <f t="shared" si="443"/>
        <v>30000</v>
      </c>
      <c r="O1361" s="20"/>
      <c r="P1361" s="208">
        <f t="shared" si="440"/>
        <v>470250</v>
      </c>
      <c r="Q1361" s="208">
        <f t="shared" si="457"/>
        <v>0</v>
      </c>
      <c r="R1361" s="208">
        <f t="shared" si="457"/>
        <v>470250</v>
      </c>
    </row>
    <row r="1362" spans="2:18" x14ac:dyDescent="0.2">
      <c r="B1362" s="136">
        <f t="shared" si="444"/>
        <v>29</v>
      </c>
      <c r="C1362" s="130"/>
      <c r="D1362" s="182"/>
      <c r="E1362" s="134" t="s">
        <v>263</v>
      </c>
      <c r="F1362" s="228" t="s">
        <v>538</v>
      </c>
      <c r="G1362" s="229"/>
      <c r="H1362" s="394">
        <f>H1363+H1364+H1365+H1371</f>
        <v>437550</v>
      </c>
      <c r="I1362" s="394">
        <f t="shared" ref="I1362" si="460">I1363+I1364+I1365+I1371</f>
        <v>0</v>
      </c>
      <c r="J1362" s="394">
        <f t="shared" si="442"/>
        <v>437550</v>
      </c>
      <c r="K1362" s="132"/>
      <c r="L1362" s="402"/>
      <c r="M1362" s="402"/>
      <c r="N1362" s="402"/>
      <c r="O1362" s="132"/>
      <c r="P1362" s="269">
        <f t="shared" si="440"/>
        <v>437550</v>
      </c>
      <c r="Q1362" s="269">
        <f t="shared" si="457"/>
        <v>0</v>
      </c>
      <c r="R1362" s="269">
        <f t="shared" si="457"/>
        <v>437550</v>
      </c>
    </row>
    <row r="1363" spans="2:18" x14ac:dyDescent="0.2">
      <c r="B1363" s="136">
        <f t="shared" si="444"/>
        <v>30</v>
      </c>
      <c r="C1363" s="130"/>
      <c r="D1363" s="130"/>
      <c r="E1363" s="134"/>
      <c r="F1363" s="149">
        <v>610</v>
      </c>
      <c r="G1363" s="199" t="s">
        <v>257</v>
      </c>
      <c r="H1363" s="388">
        <v>94460</v>
      </c>
      <c r="I1363" s="388"/>
      <c r="J1363" s="388">
        <f t="shared" si="442"/>
        <v>94460</v>
      </c>
      <c r="K1363" s="132"/>
      <c r="L1363" s="526"/>
      <c r="M1363" s="526"/>
      <c r="N1363" s="526"/>
      <c r="O1363" s="132"/>
      <c r="P1363" s="270">
        <f t="shared" si="440"/>
        <v>94460</v>
      </c>
      <c r="Q1363" s="270">
        <f t="shared" si="457"/>
        <v>0</v>
      </c>
      <c r="R1363" s="270">
        <f t="shared" si="457"/>
        <v>94460</v>
      </c>
    </row>
    <row r="1364" spans="2:18" x14ac:dyDescent="0.2">
      <c r="B1364" s="136">
        <f t="shared" si="444"/>
        <v>31</v>
      </c>
      <c r="C1364" s="130"/>
      <c r="D1364" s="130"/>
      <c r="E1364" s="134"/>
      <c r="F1364" s="149">
        <v>620</v>
      </c>
      <c r="G1364" s="199" t="s">
        <v>259</v>
      </c>
      <c r="H1364" s="388">
        <v>33370</v>
      </c>
      <c r="I1364" s="388"/>
      <c r="J1364" s="388">
        <f t="shared" si="442"/>
        <v>33370</v>
      </c>
      <c r="K1364" s="132"/>
      <c r="L1364" s="526"/>
      <c r="M1364" s="526"/>
      <c r="N1364" s="526"/>
      <c r="O1364" s="132"/>
      <c r="P1364" s="270">
        <f t="shared" si="440"/>
        <v>33370</v>
      </c>
      <c r="Q1364" s="270">
        <f t="shared" si="457"/>
        <v>0</v>
      </c>
      <c r="R1364" s="270">
        <f t="shared" si="457"/>
        <v>33370</v>
      </c>
    </row>
    <row r="1365" spans="2:18" x14ac:dyDescent="0.2">
      <c r="B1365" s="136">
        <f t="shared" si="444"/>
        <v>32</v>
      </c>
      <c r="C1365" s="130"/>
      <c r="D1365" s="130"/>
      <c r="E1365" s="134"/>
      <c r="F1365" s="149">
        <v>630</v>
      </c>
      <c r="G1365" s="199" t="s">
        <v>447</v>
      </c>
      <c r="H1365" s="388">
        <f>SUM(H1366:H1370)</f>
        <v>309570</v>
      </c>
      <c r="I1365" s="388">
        <f>I1366</f>
        <v>0</v>
      </c>
      <c r="J1365" s="388">
        <f t="shared" si="442"/>
        <v>309570</v>
      </c>
      <c r="K1365" s="132"/>
      <c r="L1365" s="526"/>
      <c r="M1365" s="526"/>
      <c r="N1365" s="526"/>
      <c r="O1365" s="132"/>
      <c r="P1365" s="270">
        <f t="shared" si="440"/>
        <v>309570</v>
      </c>
      <c r="Q1365" s="270">
        <f t="shared" si="457"/>
        <v>0</v>
      </c>
      <c r="R1365" s="270">
        <f t="shared" si="457"/>
        <v>309570</v>
      </c>
    </row>
    <row r="1366" spans="2:18" x14ac:dyDescent="0.2">
      <c r="B1366" s="136">
        <f t="shared" si="444"/>
        <v>33</v>
      </c>
      <c r="C1366" s="130"/>
      <c r="D1366" s="130"/>
      <c r="E1366" s="134"/>
      <c r="F1366" s="157">
        <v>632</v>
      </c>
      <c r="G1366" s="194" t="s">
        <v>499</v>
      </c>
      <c r="H1366" s="526">
        <f>206470+32000</f>
        <v>238470</v>
      </c>
      <c r="I1366" s="526"/>
      <c r="J1366" s="526">
        <f t="shared" si="442"/>
        <v>238470</v>
      </c>
      <c r="K1366" s="132"/>
      <c r="L1366" s="526"/>
      <c r="M1366" s="526"/>
      <c r="N1366" s="526"/>
      <c r="O1366" s="132"/>
      <c r="P1366" s="528">
        <f t="shared" si="440"/>
        <v>238470</v>
      </c>
      <c r="Q1366" s="528">
        <f t="shared" si="457"/>
        <v>0</v>
      </c>
      <c r="R1366" s="528">
        <f t="shared" si="457"/>
        <v>238470</v>
      </c>
    </row>
    <row r="1367" spans="2:18" x14ac:dyDescent="0.2">
      <c r="B1367" s="136">
        <f t="shared" si="444"/>
        <v>34</v>
      </c>
      <c r="C1367" s="130"/>
      <c r="D1367" s="130"/>
      <c r="E1367" s="134"/>
      <c r="F1367" s="157">
        <v>633</v>
      </c>
      <c r="G1367" s="194" t="s">
        <v>247</v>
      </c>
      <c r="H1367" s="526">
        <f>12200+3500</f>
        <v>15700</v>
      </c>
      <c r="I1367" s="526"/>
      <c r="J1367" s="526">
        <f t="shared" si="442"/>
        <v>15700</v>
      </c>
      <c r="K1367" s="132"/>
      <c r="L1367" s="526"/>
      <c r="M1367" s="526"/>
      <c r="N1367" s="526"/>
      <c r="O1367" s="132"/>
      <c r="P1367" s="528">
        <f t="shared" si="440"/>
        <v>15700</v>
      </c>
      <c r="Q1367" s="528">
        <f t="shared" si="457"/>
        <v>0</v>
      </c>
      <c r="R1367" s="528">
        <f t="shared" si="457"/>
        <v>15700</v>
      </c>
    </row>
    <row r="1368" spans="2:18" x14ac:dyDescent="0.2">
      <c r="B1368" s="136">
        <f t="shared" si="444"/>
        <v>35</v>
      </c>
      <c r="C1368" s="130"/>
      <c r="D1368" s="130"/>
      <c r="E1368" s="134"/>
      <c r="F1368" s="157">
        <v>635</v>
      </c>
      <c r="G1368" s="194" t="s">
        <v>261</v>
      </c>
      <c r="H1368" s="526">
        <f>10000+11500</f>
        <v>21500</v>
      </c>
      <c r="I1368" s="526"/>
      <c r="J1368" s="526">
        <f t="shared" si="442"/>
        <v>21500</v>
      </c>
      <c r="K1368" s="132"/>
      <c r="L1368" s="526"/>
      <c r="M1368" s="526"/>
      <c r="N1368" s="526"/>
      <c r="O1368" s="132"/>
      <c r="P1368" s="528">
        <f t="shared" si="440"/>
        <v>21500</v>
      </c>
      <c r="Q1368" s="528">
        <f t="shared" ref="Q1368:R1371" si="461">I1368+M1368</f>
        <v>0</v>
      </c>
      <c r="R1368" s="528">
        <f t="shared" si="461"/>
        <v>21500</v>
      </c>
    </row>
    <row r="1369" spans="2:18" x14ac:dyDescent="0.2">
      <c r="B1369" s="136">
        <f t="shared" si="444"/>
        <v>36</v>
      </c>
      <c r="C1369" s="130"/>
      <c r="D1369" s="130"/>
      <c r="E1369" s="134"/>
      <c r="F1369" s="157">
        <v>636</v>
      </c>
      <c r="G1369" s="194" t="s">
        <v>346</v>
      </c>
      <c r="H1369" s="526">
        <v>200</v>
      </c>
      <c r="I1369" s="526"/>
      <c r="J1369" s="526">
        <f t="shared" si="442"/>
        <v>200</v>
      </c>
      <c r="K1369" s="132"/>
      <c r="L1369" s="526"/>
      <c r="M1369" s="526"/>
      <c r="N1369" s="526"/>
      <c r="O1369" s="132"/>
      <c r="P1369" s="528">
        <f t="shared" si="440"/>
        <v>200</v>
      </c>
      <c r="Q1369" s="528">
        <f t="shared" si="461"/>
        <v>0</v>
      </c>
      <c r="R1369" s="528">
        <f t="shared" si="461"/>
        <v>200</v>
      </c>
    </row>
    <row r="1370" spans="2:18" x14ac:dyDescent="0.2">
      <c r="B1370" s="136">
        <f t="shared" si="444"/>
        <v>37</v>
      </c>
      <c r="C1370" s="130"/>
      <c r="D1370" s="130"/>
      <c r="E1370" s="134"/>
      <c r="F1370" s="157">
        <v>637</v>
      </c>
      <c r="G1370" s="194" t="s">
        <v>248</v>
      </c>
      <c r="H1370" s="526">
        <f>33200+500</f>
        <v>33700</v>
      </c>
      <c r="I1370" s="526"/>
      <c r="J1370" s="526">
        <f t="shared" si="442"/>
        <v>33700</v>
      </c>
      <c r="K1370" s="132"/>
      <c r="L1370" s="526"/>
      <c r="M1370" s="526"/>
      <c r="N1370" s="526"/>
      <c r="O1370" s="132"/>
      <c r="P1370" s="528">
        <f t="shared" si="440"/>
        <v>33700</v>
      </c>
      <c r="Q1370" s="528">
        <f t="shared" si="461"/>
        <v>0</v>
      </c>
      <c r="R1370" s="528">
        <f t="shared" si="461"/>
        <v>33700</v>
      </c>
    </row>
    <row r="1371" spans="2:18" x14ac:dyDescent="0.2">
      <c r="B1371" s="136">
        <f t="shared" si="444"/>
        <v>38</v>
      </c>
      <c r="C1371" s="130"/>
      <c r="D1371" s="130"/>
      <c r="E1371" s="161"/>
      <c r="F1371" s="149">
        <v>640</v>
      </c>
      <c r="G1371" s="199" t="s">
        <v>424</v>
      </c>
      <c r="H1371" s="388">
        <f>100+50</f>
        <v>150</v>
      </c>
      <c r="I1371" s="388"/>
      <c r="J1371" s="388">
        <f t="shared" si="442"/>
        <v>150</v>
      </c>
      <c r="K1371" s="132"/>
      <c r="L1371" s="527"/>
      <c r="M1371" s="527"/>
      <c r="N1371" s="527"/>
      <c r="O1371" s="132"/>
      <c r="P1371" s="580">
        <f t="shared" si="440"/>
        <v>150</v>
      </c>
      <c r="Q1371" s="580">
        <f t="shared" si="461"/>
        <v>0</v>
      </c>
      <c r="R1371" s="580">
        <f t="shared" si="461"/>
        <v>150</v>
      </c>
    </row>
    <row r="1372" spans="2:18" x14ac:dyDescent="0.2">
      <c r="B1372" s="136">
        <f t="shared" si="444"/>
        <v>39</v>
      </c>
      <c r="C1372" s="130"/>
      <c r="D1372" s="130"/>
      <c r="E1372" s="161"/>
      <c r="F1372" s="149"/>
      <c r="G1372" s="199"/>
      <c r="H1372" s="388"/>
      <c r="I1372" s="388"/>
      <c r="J1372" s="388"/>
      <c r="K1372" s="132"/>
      <c r="L1372" s="527"/>
      <c r="M1372" s="527"/>
      <c r="N1372" s="527"/>
      <c r="O1372" s="132"/>
      <c r="P1372" s="137"/>
      <c r="Q1372" s="137"/>
      <c r="R1372" s="137"/>
    </row>
    <row r="1373" spans="2:18" x14ac:dyDescent="0.2">
      <c r="B1373" s="136">
        <f t="shared" si="444"/>
        <v>40</v>
      </c>
      <c r="C1373" s="130"/>
      <c r="D1373" s="130"/>
      <c r="E1373" s="134" t="s">
        <v>263</v>
      </c>
      <c r="F1373" s="158">
        <v>637</v>
      </c>
      <c r="G1373" s="212" t="s">
        <v>303</v>
      </c>
      <c r="H1373" s="526">
        <v>2700</v>
      </c>
      <c r="I1373" s="526"/>
      <c r="J1373" s="526">
        <f t="shared" si="442"/>
        <v>2700</v>
      </c>
      <c r="K1373" s="132"/>
      <c r="L1373" s="527"/>
      <c r="M1373" s="527"/>
      <c r="N1373" s="527"/>
      <c r="O1373" s="132"/>
      <c r="P1373" s="137">
        <f>H1373+L1373</f>
        <v>2700</v>
      </c>
      <c r="Q1373" s="137">
        <f t="shared" ref="Q1373:R1373" si="462">I1373+M1373</f>
        <v>0</v>
      </c>
      <c r="R1373" s="137">
        <f t="shared" si="462"/>
        <v>2700</v>
      </c>
    </row>
    <row r="1374" spans="2:18" x14ac:dyDescent="0.2">
      <c r="B1374" s="136">
        <f t="shared" si="444"/>
        <v>41</v>
      </c>
      <c r="C1374" s="130"/>
      <c r="D1374" s="130"/>
      <c r="E1374" s="161"/>
      <c r="F1374" s="157"/>
      <c r="G1374" s="194"/>
      <c r="H1374" s="526"/>
      <c r="I1374" s="526"/>
      <c r="J1374" s="526"/>
      <c r="K1374" s="132"/>
      <c r="L1374" s="527"/>
      <c r="M1374" s="527"/>
      <c r="N1374" s="527"/>
      <c r="O1374" s="132"/>
      <c r="P1374" s="137"/>
      <c r="Q1374" s="137"/>
      <c r="R1374" s="137"/>
    </row>
    <row r="1375" spans="2:18" x14ac:dyDescent="0.2">
      <c r="B1375" s="136">
        <f t="shared" si="444"/>
        <v>42</v>
      </c>
      <c r="C1375" s="130"/>
      <c r="D1375" s="130"/>
      <c r="E1375" s="161" t="s">
        <v>263</v>
      </c>
      <c r="F1375" s="158">
        <v>717</v>
      </c>
      <c r="G1375" s="194" t="s">
        <v>826</v>
      </c>
      <c r="H1375" s="526"/>
      <c r="I1375" s="526"/>
      <c r="J1375" s="526"/>
      <c r="K1375" s="132"/>
      <c r="L1375" s="527">
        <v>30000</v>
      </c>
      <c r="M1375" s="527"/>
      <c r="N1375" s="527">
        <f t="shared" si="443"/>
        <v>30000</v>
      </c>
      <c r="O1375" s="132"/>
      <c r="P1375" s="137">
        <f>H1375+L1375</f>
        <v>30000</v>
      </c>
      <c r="Q1375" s="137">
        <f t="shared" ref="Q1375:R1375" si="463">I1375+M1375</f>
        <v>0</v>
      </c>
      <c r="R1375" s="137">
        <f t="shared" si="463"/>
        <v>30000</v>
      </c>
    </row>
    <row r="1376" spans="2:18" x14ac:dyDescent="0.2">
      <c r="B1376" s="136">
        <f t="shared" si="444"/>
        <v>43</v>
      </c>
      <c r="C1376" s="130"/>
      <c r="D1376" s="130"/>
      <c r="E1376" s="161"/>
      <c r="F1376" s="661"/>
      <c r="G1376" s="194"/>
      <c r="H1376" s="526"/>
      <c r="I1376" s="526"/>
      <c r="J1376" s="526"/>
      <c r="K1376" s="132"/>
      <c r="L1376" s="527"/>
      <c r="M1376" s="527"/>
      <c r="N1376" s="527"/>
      <c r="O1376" s="132"/>
      <c r="P1376" s="137"/>
      <c r="Q1376" s="137"/>
      <c r="R1376" s="137"/>
    </row>
    <row r="1377" spans="2:18" x14ac:dyDescent="0.2">
      <c r="B1377" s="136">
        <f t="shared" si="444"/>
        <v>44</v>
      </c>
      <c r="C1377" s="76"/>
      <c r="D1377" s="198" t="s">
        <v>7</v>
      </c>
      <c r="E1377" s="215" t="s">
        <v>263</v>
      </c>
      <c r="F1377" s="216" t="s">
        <v>114</v>
      </c>
      <c r="G1377" s="217"/>
      <c r="H1377" s="377">
        <f>H1378+H1379+H1390</f>
        <v>369100</v>
      </c>
      <c r="I1377" s="377">
        <f t="shared" ref="I1377" si="464">I1378+I1379+I1390</f>
        <v>0</v>
      </c>
      <c r="J1377" s="377">
        <f t="shared" si="442"/>
        <v>369100</v>
      </c>
      <c r="K1377" s="20"/>
      <c r="L1377" s="403">
        <f>L1379+L1391</f>
        <v>15600</v>
      </c>
      <c r="M1377" s="403">
        <f t="shared" ref="M1377" si="465">M1379+M1391</f>
        <v>0</v>
      </c>
      <c r="N1377" s="403">
        <f t="shared" si="443"/>
        <v>15600</v>
      </c>
      <c r="O1377" s="20"/>
      <c r="P1377" s="208">
        <f t="shared" ref="P1377:P1388" si="466">H1377+L1377</f>
        <v>384700</v>
      </c>
      <c r="Q1377" s="208">
        <f t="shared" ref="Q1377:R1388" si="467">I1377+M1377</f>
        <v>0</v>
      </c>
      <c r="R1377" s="208">
        <f t="shared" si="467"/>
        <v>384700</v>
      </c>
    </row>
    <row r="1378" spans="2:18" x14ac:dyDescent="0.2">
      <c r="B1378" s="136">
        <f t="shared" si="444"/>
        <v>45</v>
      </c>
      <c r="C1378" s="130"/>
      <c r="D1378" s="130"/>
      <c r="E1378" s="134" t="s">
        <v>263</v>
      </c>
      <c r="F1378" s="134">
        <v>637</v>
      </c>
      <c r="G1378" s="212" t="s">
        <v>421</v>
      </c>
      <c r="H1378" s="526">
        <v>2100</v>
      </c>
      <c r="I1378" s="526"/>
      <c r="J1378" s="526">
        <f t="shared" si="442"/>
        <v>2100</v>
      </c>
      <c r="K1378" s="132"/>
      <c r="L1378" s="526"/>
      <c r="M1378" s="526"/>
      <c r="N1378" s="526"/>
      <c r="O1378" s="132"/>
      <c r="P1378" s="528">
        <f t="shared" si="466"/>
        <v>2100</v>
      </c>
      <c r="Q1378" s="528">
        <f t="shared" si="467"/>
        <v>0</v>
      </c>
      <c r="R1378" s="528">
        <f t="shared" si="467"/>
        <v>2100</v>
      </c>
    </row>
    <row r="1379" spans="2:18" x14ac:dyDescent="0.2">
      <c r="B1379" s="136">
        <f t="shared" si="444"/>
        <v>46</v>
      </c>
      <c r="C1379" s="130"/>
      <c r="D1379" s="130"/>
      <c r="E1379" s="134" t="s">
        <v>263</v>
      </c>
      <c r="F1379" s="224" t="s">
        <v>539</v>
      </c>
      <c r="G1379" s="224"/>
      <c r="H1379" s="394">
        <f>H1380+H1381+H1382+H1387</f>
        <v>364000</v>
      </c>
      <c r="I1379" s="394">
        <f t="shared" ref="I1379" si="468">I1380+I1381+I1382+I1387</f>
        <v>0</v>
      </c>
      <c r="J1379" s="394">
        <f t="shared" si="442"/>
        <v>364000</v>
      </c>
      <c r="K1379" s="145"/>
      <c r="L1379" s="388">
        <f>L1388</f>
        <v>13000</v>
      </c>
      <c r="M1379" s="388">
        <f t="shared" ref="M1379" si="469">M1388</f>
        <v>0</v>
      </c>
      <c r="N1379" s="388">
        <f t="shared" si="443"/>
        <v>13000</v>
      </c>
      <c r="O1379" s="145"/>
      <c r="P1379" s="269">
        <f t="shared" si="466"/>
        <v>377000</v>
      </c>
      <c r="Q1379" s="269">
        <f t="shared" si="467"/>
        <v>0</v>
      </c>
      <c r="R1379" s="269">
        <f t="shared" si="467"/>
        <v>377000</v>
      </c>
    </row>
    <row r="1380" spans="2:18" x14ac:dyDescent="0.2">
      <c r="B1380" s="136">
        <f t="shared" si="444"/>
        <v>47</v>
      </c>
      <c r="C1380" s="130"/>
      <c r="D1380" s="130"/>
      <c r="E1380" s="154"/>
      <c r="F1380" s="149">
        <v>610</v>
      </c>
      <c r="G1380" s="199" t="s">
        <v>540</v>
      </c>
      <c r="H1380" s="388">
        <v>114485</v>
      </c>
      <c r="I1380" s="388"/>
      <c r="J1380" s="388">
        <f t="shared" si="442"/>
        <v>114485</v>
      </c>
      <c r="K1380" s="145"/>
      <c r="L1380" s="388"/>
      <c r="M1380" s="388"/>
      <c r="N1380" s="388"/>
      <c r="O1380" s="145"/>
      <c r="P1380" s="150">
        <f t="shared" si="466"/>
        <v>114485</v>
      </c>
      <c r="Q1380" s="150">
        <f t="shared" si="467"/>
        <v>0</v>
      </c>
      <c r="R1380" s="150">
        <f t="shared" si="467"/>
        <v>114485</v>
      </c>
    </row>
    <row r="1381" spans="2:18" x14ac:dyDescent="0.2">
      <c r="B1381" s="136">
        <f t="shared" si="444"/>
        <v>48</v>
      </c>
      <c r="C1381" s="130"/>
      <c r="D1381" s="130"/>
      <c r="E1381" s="154"/>
      <c r="F1381" s="149">
        <v>620</v>
      </c>
      <c r="G1381" s="199" t="s">
        <v>471</v>
      </c>
      <c r="H1381" s="388">
        <v>40300</v>
      </c>
      <c r="I1381" s="388"/>
      <c r="J1381" s="388">
        <f t="shared" si="442"/>
        <v>40300</v>
      </c>
      <c r="K1381" s="145"/>
      <c r="L1381" s="388"/>
      <c r="M1381" s="388"/>
      <c r="N1381" s="388"/>
      <c r="O1381" s="145"/>
      <c r="P1381" s="150">
        <f t="shared" si="466"/>
        <v>40300</v>
      </c>
      <c r="Q1381" s="150">
        <f t="shared" si="467"/>
        <v>0</v>
      </c>
      <c r="R1381" s="150">
        <f t="shared" si="467"/>
        <v>40300</v>
      </c>
    </row>
    <row r="1382" spans="2:18" x14ac:dyDescent="0.2">
      <c r="B1382" s="136">
        <f t="shared" si="444"/>
        <v>49</v>
      </c>
      <c r="C1382" s="130"/>
      <c r="D1382" s="130"/>
      <c r="E1382" s="134"/>
      <c r="F1382" s="149">
        <v>630</v>
      </c>
      <c r="G1382" s="199" t="s">
        <v>236</v>
      </c>
      <c r="H1382" s="388">
        <f>SUM(H1383:H1386)</f>
        <v>209115</v>
      </c>
      <c r="I1382" s="388">
        <f>SUM(I1383:I1386)</f>
        <v>0</v>
      </c>
      <c r="J1382" s="388">
        <f t="shared" si="442"/>
        <v>209115</v>
      </c>
      <c r="K1382" s="132"/>
      <c r="L1382" s="526"/>
      <c r="M1382" s="526"/>
      <c r="N1382" s="526"/>
      <c r="O1382" s="132"/>
      <c r="P1382" s="150">
        <f t="shared" si="466"/>
        <v>209115</v>
      </c>
      <c r="Q1382" s="150">
        <f t="shared" si="467"/>
        <v>0</v>
      </c>
      <c r="R1382" s="150">
        <f t="shared" si="467"/>
        <v>209115</v>
      </c>
    </row>
    <row r="1383" spans="2:18" x14ac:dyDescent="0.2">
      <c r="B1383" s="136">
        <f t="shared" si="444"/>
        <v>50</v>
      </c>
      <c r="C1383" s="130"/>
      <c r="D1383" s="130"/>
      <c r="E1383" s="134"/>
      <c r="F1383" s="157">
        <v>632</v>
      </c>
      <c r="G1383" s="194" t="s">
        <v>246</v>
      </c>
      <c r="H1383" s="526">
        <v>155000</v>
      </c>
      <c r="I1383" s="526"/>
      <c r="J1383" s="526">
        <f t="shared" si="442"/>
        <v>155000</v>
      </c>
      <c r="K1383" s="132"/>
      <c r="L1383" s="526"/>
      <c r="M1383" s="526"/>
      <c r="N1383" s="526"/>
      <c r="O1383" s="132"/>
      <c r="P1383" s="528">
        <f t="shared" si="466"/>
        <v>155000</v>
      </c>
      <c r="Q1383" s="528">
        <f t="shared" si="467"/>
        <v>0</v>
      </c>
      <c r="R1383" s="528">
        <f t="shared" si="467"/>
        <v>155000</v>
      </c>
    </row>
    <row r="1384" spans="2:18" x14ac:dyDescent="0.2">
      <c r="B1384" s="136">
        <f t="shared" si="444"/>
        <v>51</v>
      </c>
      <c r="C1384" s="130"/>
      <c r="D1384" s="130"/>
      <c r="E1384" s="134"/>
      <c r="F1384" s="157">
        <v>633</v>
      </c>
      <c r="G1384" s="194" t="s">
        <v>247</v>
      </c>
      <c r="H1384" s="526">
        <f>18115+1000</f>
        <v>19115</v>
      </c>
      <c r="I1384" s="526"/>
      <c r="J1384" s="526">
        <f t="shared" si="442"/>
        <v>19115</v>
      </c>
      <c r="K1384" s="132"/>
      <c r="L1384" s="526"/>
      <c r="M1384" s="526"/>
      <c r="N1384" s="526"/>
      <c r="O1384" s="132"/>
      <c r="P1384" s="528">
        <f t="shared" si="466"/>
        <v>19115</v>
      </c>
      <c r="Q1384" s="528">
        <f t="shared" si="467"/>
        <v>0</v>
      </c>
      <c r="R1384" s="528">
        <f t="shared" si="467"/>
        <v>19115</v>
      </c>
    </row>
    <row r="1385" spans="2:18" x14ac:dyDescent="0.2">
      <c r="B1385" s="136">
        <f t="shared" si="444"/>
        <v>52</v>
      </c>
      <c r="C1385" s="130"/>
      <c r="D1385" s="130"/>
      <c r="E1385" s="134"/>
      <c r="F1385" s="157">
        <v>635</v>
      </c>
      <c r="G1385" s="194" t="s">
        <v>261</v>
      </c>
      <c r="H1385" s="526">
        <f>15000+1500+1500</f>
        <v>18000</v>
      </c>
      <c r="I1385" s="526"/>
      <c r="J1385" s="526">
        <f t="shared" si="442"/>
        <v>18000</v>
      </c>
      <c r="K1385" s="132"/>
      <c r="L1385" s="526"/>
      <c r="M1385" s="526"/>
      <c r="N1385" s="526"/>
      <c r="O1385" s="132"/>
      <c r="P1385" s="528">
        <f t="shared" si="466"/>
        <v>18000</v>
      </c>
      <c r="Q1385" s="528">
        <f t="shared" si="467"/>
        <v>0</v>
      </c>
      <c r="R1385" s="528">
        <f t="shared" si="467"/>
        <v>18000</v>
      </c>
    </row>
    <row r="1386" spans="2:18" x14ac:dyDescent="0.2">
      <c r="B1386" s="136">
        <f t="shared" si="444"/>
        <v>53</v>
      </c>
      <c r="C1386" s="130"/>
      <c r="D1386" s="130"/>
      <c r="E1386" s="134"/>
      <c r="F1386" s="157">
        <v>637</v>
      </c>
      <c r="G1386" s="194" t="s">
        <v>248</v>
      </c>
      <c r="H1386" s="526">
        <v>17000</v>
      </c>
      <c r="I1386" s="526"/>
      <c r="J1386" s="526">
        <f t="shared" si="442"/>
        <v>17000</v>
      </c>
      <c r="K1386" s="132"/>
      <c r="L1386" s="526"/>
      <c r="M1386" s="526"/>
      <c r="N1386" s="526"/>
      <c r="O1386" s="132"/>
      <c r="P1386" s="528">
        <f t="shared" si="466"/>
        <v>17000</v>
      </c>
      <c r="Q1386" s="528">
        <f t="shared" si="467"/>
        <v>0</v>
      </c>
      <c r="R1386" s="528">
        <f t="shared" si="467"/>
        <v>17000</v>
      </c>
    </row>
    <row r="1387" spans="2:18" x14ac:dyDescent="0.2">
      <c r="B1387" s="136">
        <f t="shared" si="444"/>
        <v>54</v>
      </c>
      <c r="C1387" s="130"/>
      <c r="D1387" s="130"/>
      <c r="E1387" s="134"/>
      <c r="F1387" s="149">
        <v>640</v>
      </c>
      <c r="G1387" s="199" t="s">
        <v>424</v>
      </c>
      <c r="H1387" s="388">
        <v>100</v>
      </c>
      <c r="I1387" s="388"/>
      <c r="J1387" s="388">
        <f t="shared" si="442"/>
        <v>100</v>
      </c>
      <c r="K1387" s="132"/>
      <c r="L1387" s="526"/>
      <c r="M1387" s="526"/>
      <c r="N1387" s="526"/>
      <c r="O1387" s="132"/>
      <c r="P1387" s="150">
        <f t="shared" si="466"/>
        <v>100</v>
      </c>
      <c r="Q1387" s="150">
        <f t="shared" si="467"/>
        <v>0</v>
      </c>
      <c r="R1387" s="150">
        <f t="shared" si="467"/>
        <v>100</v>
      </c>
    </row>
    <row r="1388" spans="2:18" x14ac:dyDescent="0.2">
      <c r="B1388" s="136">
        <f t="shared" si="444"/>
        <v>55</v>
      </c>
      <c r="C1388" s="130"/>
      <c r="D1388" s="130"/>
      <c r="E1388" s="134"/>
      <c r="F1388" s="157">
        <v>718</v>
      </c>
      <c r="G1388" s="212" t="s">
        <v>645</v>
      </c>
      <c r="H1388" s="526"/>
      <c r="I1388" s="526"/>
      <c r="J1388" s="526"/>
      <c r="K1388" s="132"/>
      <c r="L1388" s="527">
        <v>13000</v>
      </c>
      <c r="M1388" s="527"/>
      <c r="N1388" s="527">
        <f t="shared" si="443"/>
        <v>13000</v>
      </c>
      <c r="O1388" s="132"/>
      <c r="P1388" s="137">
        <f t="shared" si="466"/>
        <v>13000</v>
      </c>
      <c r="Q1388" s="137">
        <f t="shared" si="467"/>
        <v>0</v>
      </c>
      <c r="R1388" s="137">
        <f t="shared" si="467"/>
        <v>13000</v>
      </c>
    </row>
    <row r="1389" spans="2:18" x14ac:dyDescent="0.2">
      <c r="B1389" s="136">
        <f t="shared" si="444"/>
        <v>56</v>
      </c>
      <c r="C1389" s="130"/>
      <c r="D1389" s="130"/>
      <c r="E1389" s="134"/>
      <c r="F1389" s="157"/>
      <c r="G1389" s="212"/>
      <c r="H1389" s="526"/>
      <c r="I1389" s="526"/>
      <c r="J1389" s="526"/>
      <c r="K1389" s="132"/>
      <c r="L1389" s="527"/>
      <c r="M1389" s="527"/>
      <c r="N1389" s="527"/>
      <c r="O1389" s="132"/>
      <c r="P1389" s="137"/>
      <c r="Q1389" s="137"/>
      <c r="R1389" s="137"/>
    </row>
    <row r="1390" spans="2:18" x14ac:dyDescent="0.2">
      <c r="B1390" s="136">
        <f t="shared" si="444"/>
        <v>57</v>
      </c>
      <c r="C1390" s="130"/>
      <c r="D1390" s="130"/>
      <c r="E1390" s="134" t="s">
        <v>263</v>
      </c>
      <c r="F1390" s="224" t="s">
        <v>541</v>
      </c>
      <c r="G1390" s="224"/>
      <c r="H1390" s="394">
        <f>100000-85000-9000-3000</f>
        <v>3000</v>
      </c>
      <c r="I1390" s="394"/>
      <c r="J1390" s="394">
        <f t="shared" si="442"/>
        <v>3000</v>
      </c>
      <c r="K1390" s="132"/>
      <c r="L1390" s="526"/>
      <c r="M1390" s="526"/>
      <c r="N1390" s="526"/>
      <c r="O1390" s="132"/>
      <c r="P1390" s="269">
        <f>H1390+L1390</f>
        <v>3000</v>
      </c>
      <c r="Q1390" s="269">
        <f t="shared" ref="Q1390:R1391" si="470">I1390+M1390</f>
        <v>0</v>
      </c>
      <c r="R1390" s="269">
        <f t="shared" si="470"/>
        <v>3000</v>
      </c>
    </row>
    <row r="1391" spans="2:18" x14ac:dyDescent="0.2">
      <c r="B1391" s="136">
        <f t="shared" si="444"/>
        <v>58</v>
      </c>
      <c r="C1391" s="130"/>
      <c r="D1391" s="130"/>
      <c r="E1391" s="161"/>
      <c r="F1391" s="134">
        <v>717</v>
      </c>
      <c r="G1391" s="212" t="s">
        <v>431</v>
      </c>
      <c r="H1391" s="526"/>
      <c r="I1391" s="526"/>
      <c r="J1391" s="526">
        <f t="shared" si="442"/>
        <v>0</v>
      </c>
      <c r="K1391" s="132"/>
      <c r="L1391" s="527">
        <f>1400+1200</f>
        <v>2600</v>
      </c>
      <c r="M1391" s="527"/>
      <c r="N1391" s="527">
        <f t="shared" si="443"/>
        <v>2600</v>
      </c>
      <c r="O1391" s="132"/>
      <c r="P1391" s="528">
        <f>H1391+L1391</f>
        <v>2600</v>
      </c>
      <c r="Q1391" s="528">
        <f t="shared" si="470"/>
        <v>0</v>
      </c>
      <c r="R1391" s="528">
        <f t="shared" si="470"/>
        <v>2600</v>
      </c>
    </row>
    <row r="1392" spans="2:18" x14ac:dyDescent="0.2">
      <c r="B1392" s="136">
        <f t="shared" si="444"/>
        <v>59</v>
      </c>
      <c r="C1392" s="130"/>
      <c r="D1392" s="130"/>
      <c r="E1392" s="161"/>
      <c r="F1392" s="157"/>
      <c r="G1392" s="212"/>
      <c r="H1392" s="526"/>
      <c r="I1392" s="526"/>
      <c r="J1392" s="526"/>
      <c r="K1392" s="132"/>
      <c r="L1392" s="526"/>
      <c r="M1392" s="526"/>
      <c r="N1392" s="526"/>
      <c r="O1392" s="132"/>
      <c r="P1392" s="137"/>
      <c r="Q1392" s="137"/>
      <c r="R1392" s="137"/>
    </row>
    <row r="1393" spans="2:18" x14ac:dyDescent="0.2">
      <c r="B1393" s="136">
        <f t="shared" si="444"/>
        <v>60</v>
      </c>
      <c r="C1393" s="130"/>
      <c r="D1393" s="198" t="s">
        <v>8</v>
      </c>
      <c r="E1393" s="215" t="s">
        <v>263</v>
      </c>
      <c r="F1393" s="216" t="s">
        <v>304</v>
      </c>
      <c r="G1393" s="217"/>
      <c r="H1393" s="377"/>
      <c r="I1393" s="377"/>
      <c r="J1393" s="377">
        <f t="shared" si="442"/>
        <v>0</v>
      </c>
      <c r="K1393" s="20"/>
      <c r="L1393" s="535">
        <v>0</v>
      </c>
      <c r="M1393" s="535"/>
      <c r="N1393" s="535">
        <f t="shared" si="443"/>
        <v>0</v>
      </c>
      <c r="O1393" s="20"/>
      <c r="P1393" s="208">
        <f>H1393+L1393</f>
        <v>0</v>
      </c>
      <c r="Q1393" s="208">
        <f t="shared" ref="Q1393:R1393" si="471">I1393+M1393</f>
        <v>0</v>
      </c>
      <c r="R1393" s="208">
        <f t="shared" si="471"/>
        <v>0</v>
      </c>
    </row>
    <row r="1394" spans="2:18" x14ac:dyDescent="0.2">
      <c r="B1394" s="136">
        <f t="shared" si="444"/>
        <v>61</v>
      </c>
      <c r="C1394" s="130"/>
      <c r="D1394" s="130"/>
      <c r="E1394" s="161"/>
      <c r="F1394" s="157"/>
      <c r="G1394" s="212"/>
      <c r="H1394" s="526"/>
      <c r="I1394" s="526"/>
      <c r="J1394" s="526"/>
      <c r="K1394" s="132"/>
      <c r="L1394" s="526"/>
      <c r="M1394" s="526"/>
      <c r="N1394" s="526"/>
      <c r="O1394" s="132"/>
      <c r="P1394" s="137"/>
      <c r="Q1394" s="137"/>
      <c r="R1394" s="137"/>
    </row>
    <row r="1395" spans="2:18" ht="15.75" x14ac:dyDescent="0.25">
      <c r="B1395" s="136">
        <f t="shared" si="444"/>
        <v>62</v>
      </c>
      <c r="C1395" s="23">
        <v>4</v>
      </c>
      <c r="D1395" s="127" t="s">
        <v>467</v>
      </c>
      <c r="E1395" s="24"/>
      <c r="F1395" s="24"/>
      <c r="G1395" s="193"/>
      <c r="H1395" s="414">
        <f>H1396</f>
        <v>60000</v>
      </c>
      <c r="I1395" s="414">
        <f t="shared" ref="I1395" si="472">I1396</f>
        <v>0</v>
      </c>
      <c r="J1395" s="414">
        <f t="shared" si="442"/>
        <v>60000</v>
      </c>
      <c r="K1395" s="88"/>
      <c r="L1395" s="379">
        <f>L1407+L1406</f>
        <v>8000</v>
      </c>
      <c r="M1395" s="379">
        <f t="shared" ref="M1395" si="473">M1407+M1406</f>
        <v>0</v>
      </c>
      <c r="N1395" s="379">
        <f t="shared" si="443"/>
        <v>8000</v>
      </c>
      <c r="O1395" s="88"/>
      <c r="P1395" s="374">
        <f t="shared" ref="P1395:P1404" si="474">H1395+L1395</f>
        <v>68000</v>
      </c>
      <c r="Q1395" s="374">
        <f t="shared" ref="Q1395:R1404" si="475">I1395+M1395</f>
        <v>0</v>
      </c>
      <c r="R1395" s="374">
        <f t="shared" si="475"/>
        <v>68000</v>
      </c>
    </row>
    <row r="1396" spans="2:18" x14ac:dyDescent="0.2">
      <c r="B1396" s="136">
        <f t="shared" si="444"/>
        <v>63</v>
      </c>
      <c r="C1396" s="135"/>
      <c r="D1396" s="135"/>
      <c r="E1396" s="157" t="s">
        <v>263</v>
      </c>
      <c r="F1396" s="224" t="s">
        <v>472</v>
      </c>
      <c r="G1396" s="224"/>
      <c r="H1396" s="394">
        <f>H1397+H1398+H1399</f>
        <v>60000</v>
      </c>
      <c r="I1396" s="394">
        <f t="shared" ref="I1396" si="476">I1397+I1398+I1399</f>
        <v>0</v>
      </c>
      <c r="J1396" s="394">
        <f t="shared" si="442"/>
        <v>60000</v>
      </c>
      <c r="K1396" s="132"/>
      <c r="L1396" s="526"/>
      <c r="M1396" s="526"/>
      <c r="N1396" s="526"/>
      <c r="O1396" s="132"/>
      <c r="P1396" s="269">
        <f t="shared" si="474"/>
        <v>60000</v>
      </c>
      <c r="Q1396" s="269">
        <f t="shared" si="475"/>
        <v>0</v>
      </c>
      <c r="R1396" s="269">
        <f t="shared" si="475"/>
        <v>60000</v>
      </c>
    </row>
    <row r="1397" spans="2:18" x14ac:dyDescent="0.2">
      <c r="B1397" s="136">
        <f t="shared" si="444"/>
        <v>64</v>
      </c>
      <c r="C1397" s="143"/>
      <c r="D1397" s="143"/>
      <c r="E1397" s="149"/>
      <c r="F1397" s="149">
        <v>610</v>
      </c>
      <c r="G1397" s="199" t="s">
        <v>257</v>
      </c>
      <c r="H1397" s="388">
        <v>7000</v>
      </c>
      <c r="I1397" s="388"/>
      <c r="J1397" s="388">
        <f t="shared" si="442"/>
        <v>7000</v>
      </c>
      <c r="K1397" s="145"/>
      <c r="L1397" s="388"/>
      <c r="M1397" s="388"/>
      <c r="N1397" s="388"/>
      <c r="O1397" s="145"/>
      <c r="P1397" s="150">
        <f t="shared" si="474"/>
        <v>7000</v>
      </c>
      <c r="Q1397" s="150">
        <f t="shared" si="475"/>
        <v>0</v>
      </c>
      <c r="R1397" s="150">
        <f t="shared" si="475"/>
        <v>7000</v>
      </c>
    </row>
    <row r="1398" spans="2:18" x14ac:dyDescent="0.2">
      <c r="B1398" s="136">
        <f t="shared" si="444"/>
        <v>65</v>
      </c>
      <c r="C1398" s="130"/>
      <c r="D1398" s="130"/>
      <c r="E1398" s="134"/>
      <c r="F1398" s="149">
        <v>620</v>
      </c>
      <c r="G1398" s="199" t="s">
        <v>259</v>
      </c>
      <c r="H1398" s="388">
        <v>2930</v>
      </c>
      <c r="I1398" s="388"/>
      <c r="J1398" s="388">
        <f t="shared" si="442"/>
        <v>2930</v>
      </c>
      <c r="K1398" s="132"/>
      <c r="L1398" s="526"/>
      <c r="M1398" s="526"/>
      <c r="N1398" s="526"/>
      <c r="O1398" s="132"/>
      <c r="P1398" s="150">
        <f t="shared" si="474"/>
        <v>2930</v>
      </c>
      <c r="Q1398" s="150">
        <f t="shared" si="475"/>
        <v>0</v>
      </c>
      <c r="R1398" s="150">
        <f t="shared" si="475"/>
        <v>2930</v>
      </c>
    </row>
    <row r="1399" spans="2:18" x14ac:dyDescent="0.2">
      <c r="B1399" s="136">
        <f t="shared" si="444"/>
        <v>66</v>
      </c>
      <c r="C1399" s="130"/>
      <c r="D1399" s="130"/>
      <c r="E1399" s="134"/>
      <c r="F1399" s="149">
        <v>630</v>
      </c>
      <c r="G1399" s="199" t="s">
        <v>249</v>
      </c>
      <c r="H1399" s="388">
        <f>SUM(H1400:H1404)</f>
        <v>50070</v>
      </c>
      <c r="I1399" s="388"/>
      <c r="J1399" s="388">
        <f t="shared" si="442"/>
        <v>50070</v>
      </c>
      <c r="K1399" s="132"/>
      <c r="L1399" s="526"/>
      <c r="M1399" s="526"/>
      <c r="N1399" s="526"/>
      <c r="O1399" s="132"/>
      <c r="P1399" s="150">
        <f t="shared" si="474"/>
        <v>50070</v>
      </c>
      <c r="Q1399" s="150">
        <f t="shared" si="475"/>
        <v>0</v>
      </c>
      <c r="R1399" s="150">
        <f t="shared" si="475"/>
        <v>50070</v>
      </c>
    </row>
    <row r="1400" spans="2:18" x14ac:dyDescent="0.2">
      <c r="B1400" s="136">
        <f t="shared" si="444"/>
        <v>67</v>
      </c>
      <c r="C1400" s="130"/>
      <c r="D1400" s="130"/>
      <c r="E1400" s="134"/>
      <c r="F1400" s="134">
        <v>633</v>
      </c>
      <c r="G1400" s="194" t="s">
        <v>247</v>
      </c>
      <c r="H1400" s="526">
        <v>45900</v>
      </c>
      <c r="I1400" s="526"/>
      <c r="J1400" s="526">
        <f t="shared" si="442"/>
        <v>45900</v>
      </c>
      <c r="K1400" s="132"/>
      <c r="L1400" s="526"/>
      <c r="M1400" s="526"/>
      <c r="N1400" s="526"/>
      <c r="O1400" s="132"/>
      <c r="P1400" s="528">
        <f t="shared" si="474"/>
        <v>45900</v>
      </c>
      <c r="Q1400" s="528">
        <f t="shared" si="475"/>
        <v>0</v>
      </c>
      <c r="R1400" s="528">
        <f t="shared" si="475"/>
        <v>45900</v>
      </c>
    </row>
    <row r="1401" spans="2:18" x14ac:dyDescent="0.2">
      <c r="B1401" s="136">
        <f t="shared" si="444"/>
        <v>68</v>
      </c>
      <c r="C1401" s="130"/>
      <c r="D1401" s="130"/>
      <c r="E1401" s="134"/>
      <c r="F1401" s="134">
        <v>634</v>
      </c>
      <c r="G1401" s="194" t="s">
        <v>260</v>
      </c>
      <c r="H1401" s="526">
        <v>900</v>
      </c>
      <c r="I1401" s="526"/>
      <c r="J1401" s="526">
        <f t="shared" ref="J1401:J1407" si="477">H1401+I1401</f>
        <v>900</v>
      </c>
      <c r="K1401" s="132"/>
      <c r="L1401" s="526"/>
      <c r="M1401" s="526"/>
      <c r="N1401" s="526"/>
      <c r="O1401" s="132"/>
      <c r="P1401" s="528">
        <f t="shared" si="474"/>
        <v>900</v>
      </c>
      <c r="Q1401" s="528">
        <f t="shared" si="475"/>
        <v>0</v>
      </c>
      <c r="R1401" s="528">
        <f t="shared" si="475"/>
        <v>900</v>
      </c>
    </row>
    <row r="1402" spans="2:18" x14ac:dyDescent="0.2">
      <c r="B1402" s="136">
        <f t="shared" ref="B1402:B1404" si="478">B1401+1</f>
        <v>69</v>
      </c>
      <c r="C1402" s="130"/>
      <c r="D1402" s="130"/>
      <c r="E1402" s="134"/>
      <c r="F1402" s="134">
        <v>635</v>
      </c>
      <c r="G1402" s="194" t="s">
        <v>261</v>
      </c>
      <c r="H1402" s="526">
        <v>1000</v>
      </c>
      <c r="I1402" s="526"/>
      <c r="J1402" s="526">
        <f t="shared" si="477"/>
        <v>1000</v>
      </c>
      <c r="K1402" s="132"/>
      <c r="L1402" s="526"/>
      <c r="M1402" s="526"/>
      <c r="N1402" s="526"/>
      <c r="O1402" s="132"/>
      <c r="P1402" s="528">
        <f t="shared" si="474"/>
        <v>1000</v>
      </c>
      <c r="Q1402" s="528">
        <f t="shared" si="475"/>
        <v>0</v>
      </c>
      <c r="R1402" s="528">
        <f t="shared" si="475"/>
        <v>1000</v>
      </c>
    </row>
    <row r="1403" spans="2:18" x14ac:dyDescent="0.2">
      <c r="B1403" s="136">
        <f t="shared" si="478"/>
        <v>70</v>
      </c>
      <c r="C1403" s="130"/>
      <c r="D1403" s="130"/>
      <c r="E1403" s="134"/>
      <c r="F1403" s="134">
        <v>636</v>
      </c>
      <c r="G1403" s="194" t="s">
        <v>346</v>
      </c>
      <c r="H1403" s="526">
        <v>50</v>
      </c>
      <c r="I1403" s="526"/>
      <c r="J1403" s="526">
        <f t="shared" si="477"/>
        <v>50</v>
      </c>
      <c r="K1403" s="132"/>
      <c r="L1403" s="526"/>
      <c r="M1403" s="526"/>
      <c r="N1403" s="526"/>
      <c r="O1403" s="132"/>
      <c r="P1403" s="528">
        <f t="shared" si="474"/>
        <v>50</v>
      </c>
      <c r="Q1403" s="528">
        <f t="shared" si="475"/>
        <v>0</v>
      </c>
      <c r="R1403" s="528">
        <f t="shared" si="475"/>
        <v>50</v>
      </c>
    </row>
    <row r="1404" spans="2:18" x14ac:dyDescent="0.2">
      <c r="B1404" s="136">
        <f t="shared" si="478"/>
        <v>71</v>
      </c>
      <c r="C1404" s="130"/>
      <c r="D1404" s="130"/>
      <c r="E1404" s="134"/>
      <c r="F1404" s="134">
        <v>637</v>
      </c>
      <c r="G1404" s="194" t="s">
        <v>248</v>
      </c>
      <c r="H1404" s="526">
        <v>2220</v>
      </c>
      <c r="I1404" s="526"/>
      <c r="J1404" s="526">
        <f t="shared" si="477"/>
        <v>2220</v>
      </c>
      <c r="K1404" s="132"/>
      <c r="L1404" s="526"/>
      <c r="M1404" s="526"/>
      <c r="N1404" s="526"/>
      <c r="O1404" s="132"/>
      <c r="P1404" s="528">
        <f t="shared" si="474"/>
        <v>2220</v>
      </c>
      <c r="Q1404" s="528">
        <f t="shared" si="475"/>
        <v>0</v>
      </c>
      <c r="R1404" s="528">
        <f t="shared" si="475"/>
        <v>2220</v>
      </c>
    </row>
    <row r="1405" spans="2:18" x14ac:dyDescent="0.2">
      <c r="B1405" s="654">
        <f>B1404+1</f>
        <v>72</v>
      </c>
      <c r="C1405" s="179"/>
      <c r="D1405" s="179"/>
      <c r="E1405" s="180"/>
      <c r="F1405" s="180"/>
      <c r="G1405" s="761"/>
      <c r="H1405" s="527"/>
      <c r="I1405" s="527"/>
      <c r="J1405" s="527"/>
      <c r="K1405" s="132"/>
      <c r="L1405" s="527"/>
      <c r="M1405" s="527"/>
      <c r="N1405" s="527"/>
      <c r="O1405" s="132"/>
      <c r="P1405" s="137"/>
      <c r="Q1405" s="137"/>
      <c r="R1405" s="137"/>
    </row>
    <row r="1406" spans="2:18" x14ac:dyDescent="0.2">
      <c r="B1406" s="640">
        <f t="shared" ref="B1406:B1407" si="479">B1405+1</f>
        <v>73</v>
      </c>
      <c r="C1406" s="524"/>
      <c r="D1406" s="524"/>
      <c r="E1406" s="524"/>
      <c r="F1406" s="766">
        <v>716</v>
      </c>
      <c r="G1406" s="767" t="s">
        <v>801</v>
      </c>
      <c r="H1406" s="713"/>
      <c r="I1406" s="713"/>
      <c r="J1406" s="713">
        <f t="shared" si="477"/>
        <v>0</v>
      </c>
      <c r="K1406" s="768"/>
      <c r="L1406" s="713">
        <v>3000</v>
      </c>
      <c r="M1406" s="713"/>
      <c r="N1406" s="713">
        <f t="shared" ref="N1406:N1407" si="480">L1406+M1406</f>
        <v>3000</v>
      </c>
      <c r="O1406" s="768"/>
      <c r="P1406" s="769">
        <f>H1406+L1406</f>
        <v>3000</v>
      </c>
      <c r="Q1406" s="769">
        <f t="shared" ref="Q1406:R1407" si="481">I1406+M1406</f>
        <v>0</v>
      </c>
      <c r="R1406" s="769">
        <f t="shared" si="481"/>
        <v>3000</v>
      </c>
    </row>
    <row r="1407" spans="2:18" ht="13.5" thickBot="1" x14ac:dyDescent="0.25">
      <c r="B1407" s="640">
        <f t="shared" si="479"/>
        <v>74</v>
      </c>
      <c r="C1407" s="211"/>
      <c r="D1407" s="211"/>
      <c r="E1407" s="211"/>
      <c r="F1407" s="762">
        <v>717</v>
      </c>
      <c r="G1407" s="763" t="s">
        <v>828</v>
      </c>
      <c r="H1407" s="738"/>
      <c r="I1407" s="738"/>
      <c r="J1407" s="738">
        <f t="shared" si="477"/>
        <v>0</v>
      </c>
      <c r="K1407" s="764"/>
      <c r="L1407" s="738">
        <v>5000</v>
      </c>
      <c r="M1407" s="738"/>
      <c r="N1407" s="738">
        <f t="shared" si="480"/>
        <v>5000</v>
      </c>
      <c r="O1407" s="764"/>
      <c r="P1407" s="765">
        <f>H1407+L1407</f>
        <v>5000</v>
      </c>
      <c r="Q1407" s="765">
        <f t="shared" si="481"/>
        <v>0</v>
      </c>
      <c r="R1407" s="765">
        <f t="shared" si="481"/>
        <v>5000</v>
      </c>
    </row>
    <row r="1446" spans="1:18" ht="27.75" thickBot="1" x14ac:dyDescent="0.4">
      <c r="B1446" s="246" t="s">
        <v>164</v>
      </c>
      <c r="C1446" s="246"/>
      <c r="D1446" s="246"/>
      <c r="E1446" s="246"/>
      <c r="F1446" s="246"/>
      <c r="G1446" s="246"/>
      <c r="H1446" s="246"/>
      <c r="I1446" s="246"/>
      <c r="J1446" s="246"/>
      <c r="K1446" s="246"/>
      <c r="L1446" s="246"/>
      <c r="M1446" s="246"/>
      <c r="N1446" s="246"/>
      <c r="O1446" s="246"/>
      <c r="P1446" s="246"/>
      <c r="Q1446" s="246"/>
      <c r="R1446" s="246"/>
    </row>
    <row r="1447" spans="1:18" ht="13.5" customHeight="1" thickBot="1" x14ac:dyDescent="0.25">
      <c r="B1447" s="913" t="s">
        <v>631</v>
      </c>
      <c r="C1447" s="914"/>
      <c r="D1447" s="914"/>
      <c r="E1447" s="914"/>
      <c r="F1447" s="914"/>
      <c r="G1447" s="914"/>
      <c r="H1447" s="914"/>
      <c r="I1447" s="914"/>
      <c r="J1447" s="914"/>
      <c r="K1447" s="914"/>
      <c r="L1447" s="914"/>
      <c r="M1447" s="914"/>
      <c r="N1447" s="915"/>
      <c r="O1447" s="120"/>
      <c r="P1447" s="903" t="s">
        <v>721</v>
      </c>
      <c r="Q1447" s="903" t="s">
        <v>860</v>
      </c>
      <c r="R1447" s="903" t="s">
        <v>721</v>
      </c>
    </row>
    <row r="1448" spans="1:18" ht="13.5" customHeight="1" thickTop="1" x14ac:dyDescent="0.2">
      <c r="B1448" s="505"/>
      <c r="C1448" s="906" t="s">
        <v>477</v>
      </c>
      <c r="D1448" s="906" t="s">
        <v>476</v>
      </c>
      <c r="E1448" s="906" t="s">
        <v>474</v>
      </c>
      <c r="F1448" s="906" t="s">
        <v>475</v>
      </c>
      <c r="G1448" s="507" t="s">
        <v>3</v>
      </c>
      <c r="H1448" s="908" t="s">
        <v>722</v>
      </c>
      <c r="I1448" s="912" t="s">
        <v>860</v>
      </c>
      <c r="J1448" s="912" t="s">
        <v>722</v>
      </c>
      <c r="L1448" s="910" t="s">
        <v>723</v>
      </c>
      <c r="M1448" s="910" t="s">
        <v>860</v>
      </c>
      <c r="N1448" s="910" t="s">
        <v>723</v>
      </c>
      <c r="P1448" s="904"/>
      <c r="Q1448" s="904"/>
      <c r="R1448" s="904"/>
    </row>
    <row r="1449" spans="1:18" ht="45" customHeight="1" thickBot="1" x14ac:dyDescent="0.25">
      <c r="B1449" s="509"/>
      <c r="C1449" s="907"/>
      <c r="D1449" s="907"/>
      <c r="E1449" s="907"/>
      <c r="F1449" s="907"/>
      <c r="G1449" s="508"/>
      <c r="H1449" s="909"/>
      <c r="I1449" s="909"/>
      <c r="J1449" s="909"/>
      <c r="L1449" s="911"/>
      <c r="M1449" s="911"/>
      <c r="N1449" s="911"/>
      <c r="P1449" s="905"/>
      <c r="Q1449" s="905"/>
      <c r="R1449" s="905"/>
    </row>
    <row r="1450" spans="1:18" ht="19.5" thickTop="1" thickBot="1" x14ac:dyDescent="0.25">
      <c r="B1450" s="631">
        <v>1</v>
      </c>
      <c r="C1450" s="125" t="s">
        <v>224</v>
      </c>
      <c r="D1450" s="111"/>
      <c r="E1450" s="111"/>
      <c r="F1450" s="111"/>
      <c r="G1450" s="192"/>
      <c r="H1450" s="409">
        <f>H1451+H1466+H1481+H1495</f>
        <v>320400</v>
      </c>
      <c r="I1450" s="409">
        <f t="shared" ref="I1450" si="482">I1451+I1466+I1481+I1495</f>
        <v>0</v>
      </c>
      <c r="J1450" s="409">
        <f>H1450+I1450</f>
        <v>320400</v>
      </c>
      <c r="K1450" s="113"/>
      <c r="L1450" s="405">
        <f>L1451+L1481+L1466+L1495</f>
        <v>21520</v>
      </c>
      <c r="M1450" s="405">
        <f t="shared" ref="M1450" si="483">M1451+M1481+M1466+M1495</f>
        <v>0</v>
      </c>
      <c r="N1450" s="405">
        <f>L1450+M1450</f>
        <v>21520</v>
      </c>
      <c r="O1450" s="113"/>
      <c r="P1450" s="372">
        <f t="shared" ref="P1450:P1486" si="484">H1450+L1450</f>
        <v>341920</v>
      </c>
      <c r="Q1450" s="372">
        <f t="shared" ref="Q1450:R1466" si="485">I1450+M1450</f>
        <v>0</v>
      </c>
      <c r="R1450" s="372">
        <f t="shared" si="485"/>
        <v>341920</v>
      </c>
    </row>
    <row r="1451" spans="1:18" ht="16.5" thickTop="1" x14ac:dyDescent="0.25">
      <c r="B1451" s="136">
        <f>B1450+1</f>
        <v>2</v>
      </c>
      <c r="C1451" s="23">
        <v>1</v>
      </c>
      <c r="D1451" s="127" t="s">
        <v>314</v>
      </c>
      <c r="E1451" s="24"/>
      <c r="F1451" s="24"/>
      <c r="G1451" s="193"/>
      <c r="H1451" s="410">
        <f>H1452+H1453</f>
        <v>78500</v>
      </c>
      <c r="I1451" s="410">
        <f t="shared" ref="I1451" si="486">I1452+I1453</f>
        <v>0</v>
      </c>
      <c r="J1451" s="410">
        <f t="shared" ref="J1451:J1495" si="487">H1451+I1451</f>
        <v>78500</v>
      </c>
      <c r="K1451" s="88"/>
      <c r="L1451" s="395">
        <f>L1452+L1453</f>
        <v>0</v>
      </c>
      <c r="M1451" s="395">
        <f t="shared" ref="M1451" si="488">M1452+M1453</f>
        <v>0</v>
      </c>
      <c r="N1451" s="395">
        <f t="shared" ref="N1451:N1495" si="489">L1451+M1451</f>
        <v>0</v>
      </c>
      <c r="O1451" s="88"/>
      <c r="P1451" s="373">
        <f t="shared" si="484"/>
        <v>78500</v>
      </c>
      <c r="Q1451" s="373">
        <f t="shared" si="485"/>
        <v>0</v>
      </c>
      <c r="R1451" s="373">
        <f t="shared" si="485"/>
        <v>78500</v>
      </c>
    </row>
    <row r="1452" spans="1:18" x14ac:dyDescent="0.2">
      <c r="B1452" s="136">
        <f t="shared" ref="B1452:B1495" si="490">B1451+1</f>
        <v>3</v>
      </c>
      <c r="C1452" s="130"/>
      <c r="D1452" s="131"/>
      <c r="E1452" s="131" t="s">
        <v>670</v>
      </c>
      <c r="F1452" s="131" t="s">
        <v>217</v>
      </c>
      <c r="G1452" s="194" t="s">
        <v>283</v>
      </c>
      <c r="H1452" s="526">
        <v>25000</v>
      </c>
      <c r="I1452" s="526"/>
      <c r="J1452" s="526">
        <f t="shared" si="487"/>
        <v>25000</v>
      </c>
      <c r="K1452" s="132"/>
      <c r="L1452" s="527"/>
      <c r="M1452" s="527"/>
      <c r="N1452" s="527"/>
      <c r="O1452" s="132"/>
      <c r="P1452" s="137">
        <f t="shared" si="484"/>
        <v>25000</v>
      </c>
      <c r="Q1452" s="137">
        <f t="shared" si="485"/>
        <v>0</v>
      </c>
      <c r="R1452" s="137">
        <f t="shared" si="485"/>
        <v>25000</v>
      </c>
    </row>
    <row r="1453" spans="1:18" s="832" customFormat="1" ht="22.5" x14ac:dyDescent="0.2">
      <c r="A1453" s="829"/>
      <c r="B1453" s="752">
        <f t="shared" si="490"/>
        <v>4</v>
      </c>
      <c r="C1453" s="454"/>
      <c r="D1453" s="830"/>
      <c r="E1453" s="830" t="s">
        <v>670</v>
      </c>
      <c r="F1453" s="632" t="s">
        <v>217</v>
      </c>
      <c r="G1453" s="633" t="s">
        <v>435</v>
      </c>
      <c r="H1453" s="532">
        <f>SUM(H1454:H1465)</f>
        <v>53500</v>
      </c>
      <c r="I1453" s="532">
        <f t="shared" ref="I1453" si="491">SUM(I1454:I1464)</f>
        <v>0</v>
      </c>
      <c r="J1453" s="532">
        <f t="shared" si="487"/>
        <v>53500</v>
      </c>
      <c r="K1453" s="448"/>
      <c r="L1453" s="532"/>
      <c r="M1453" s="532"/>
      <c r="N1453" s="532"/>
      <c r="O1453" s="448"/>
      <c r="P1453" s="831">
        <f t="shared" si="484"/>
        <v>53500</v>
      </c>
      <c r="Q1453" s="831">
        <f t="shared" si="485"/>
        <v>0</v>
      </c>
      <c r="R1453" s="831">
        <f t="shared" si="485"/>
        <v>53500</v>
      </c>
    </row>
    <row r="1454" spans="1:18" x14ac:dyDescent="0.2">
      <c r="B1454" s="136">
        <f t="shared" si="490"/>
        <v>5</v>
      </c>
      <c r="C1454" s="130"/>
      <c r="D1454" s="290"/>
      <c r="E1454" s="290"/>
      <c r="F1454" s="634"/>
      <c r="G1454" s="635" t="s">
        <v>573</v>
      </c>
      <c r="H1454" s="637">
        <v>15000</v>
      </c>
      <c r="I1454" s="637"/>
      <c r="J1454" s="637">
        <f t="shared" si="487"/>
        <v>15000</v>
      </c>
      <c r="K1454" s="636"/>
      <c r="L1454" s="637"/>
      <c r="M1454" s="637"/>
      <c r="N1454" s="637"/>
      <c r="O1454" s="636"/>
      <c r="P1454" s="455">
        <f t="shared" si="484"/>
        <v>15000</v>
      </c>
      <c r="Q1454" s="455">
        <f t="shared" si="485"/>
        <v>0</v>
      </c>
      <c r="R1454" s="455">
        <f t="shared" si="485"/>
        <v>15000</v>
      </c>
    </row>
    <row r="1455" spans="1:18" x14ac:dyDescent="0.2">
      <c r="B1455" s="136">
        <f t="shared" si="490"/>
        <v>6</v>
      </c>
      <c r="C1455" s="130"/>
      <c r="D1455" s="290"/>
      <c r="E1455" s="290"/>
      <c r="F1455" s="634"/>
      <c r="G1455" s="635" t="s">
        <v>574</v>
      </c>
      <c r="H1455" s="637">
        <f>10000+2500</f>
        <v>12500</v>
      </c>
      <c r="I1455" s="637"/>
      <c r="J1455" s="637">
        <f t="shared" si="487"/>
        <v>12500</v>
      </c>
      <c r="K1455" s="636"/>
      <c r="L1455" s="637"/>
      <c r="M1455" s="637"/>
      <c r="N1455" s="637"/>
      <c r="O1455" s="636"/>
      <c r="P1455" s="455">
        <f t="shared" si="484"/>
        <v>12500</v>
      </c>
      <c r="Q1455" s="455">
        <f t="shared" si="485"/>
        <v>0</v>
      </c>
      <c r="R1455" s="455">
        <f t="shared" si="485"/>
        <v>12500</v>
      </c>
    </row>
    <row r="1456" spans="1:18" x14ac:dyDescent="0.2">
      <c r="B1456" s="136">
        <f t="shared" si="490"/>
        <v>7</v>
      </c>
      <c r="C1456" s="130"/>
      <c r="D1456" s="290"/>
      <c r="E1456" s="290"/>
      <c r="F1456" s="634"/>
      <c r="G1456" s="635" t="s">
        <v>835</v>
      </c>
      <c r="H1456" s="639">
        <v>12000</v>
      </c>
      <c r="I1456" s="639"/>
      <c r="J1456" s="639">
        <f t="shared" si="487"/>
        <v>12000</v>
      </c>
      <c r="K1456" s="636"/>
      <c r="L1456" s="637"/>
      <c r="M1456" s="637"/>
      <c r="N1456" s="637"/>
      <c r="O1456" s="636"/>
      <c r="P1456" s="455">
        <f t="shared" si="484"/>
        <v>12000</v>
      </c>
      <c r="Q1456" s="455">
        <f t="shared" si="485"/>
        <v>0</v>
      </c>
      <c r="R1456" s="455">
        <f t="shared" si="485"/>
        <v>12000</v>
      </c>
    </row>
    <row r="1457" spans="2:18" x14ac:dyDescent="0.2">
      <c r="B1457" s="136">
        <f t="shared" si="490"/>
        <v>8</v>
      </c>
      <c r="C1457" s="130"/>
      <c r="D1457" s="653"/>
      <c r="E1457" s="290"/>
      <c r="F1457" s="634"/>
      <c r="G1457" s="635" t="s">
        <v>750</v>
      </c>
      <c r="H1457" s="637">
        <v>2000</v>
      </c>
      <c r="I1457" s="637"/>
      <c r="J1457" s="637">
        <f t="shared" si="487"/>
        <v>2000</v>
      </c>
      <c r="K1457" s="181"/>
      <c r="L1457" s="526"/>
      <c r="M1457" s="526"/>
      <c r="N1457" s="526"/>
      <c r="O1457" s="181"/>
      <c r="P1457" s="528">
        <f t="shared" si="484"/>
        <v>2000</v>
      </c>
      <c r="Q1457" s="528">
        <f t="shared" si="485"/>
        <v>0</v>
      </c>
      <c r="R1457" s="528">
        <f t="shared" si="485"/>
        <v>2000</v>
      </c>
    </row>
    <row r="1458" spans="2:18" x14ac:dyDescent="0.2">
      <c r="B1458" s="136">
        <f t="shared" si="490"/>
        <v>9</v>
      </c>
      <c r="C1458" s="130"/>
      <c r="D1458" s="653"/>
      <c r="E1458" s="290"/>
      <c r="F1458" s="634"/>
      <c r="G1458" s="635" t="s">
        <v>751</v>
      </c>
      <c r="H1458" s="637">
        <v>900</v>
      </c>
      <c r="I1458" s="637"/>
      <c r="J1458" s="637">
        <f t="shared" si="487"/>
        <v>900</v>
      </c>
      <c r="K1458" s="181"/>
      <c r="L1458" s="526"/>
      <c r="M1458" s="526"/>
      <c r="N1458" s="526"/>
      <c r="O1458" s="181"/>
      <c r="P1458" s="528">
        <f t="shared" si="484"/>
        <v>900</v>
      </c>
      <c r="Q1458" s="528">
        <f t="shared" si="485"/>
        <v>0</v>
      </c>
      <c r="R1458" s="528">
        <f t="shared" si="485"/>
        <v>900</v>
      </c>
    </row>
    <row r="1459" spans="2:18" x14ac:dyDescent="0.2">
      <c r="B1459" s="136">
        <f t="shared" si="490"/>
        <v>10</v>
      </c>
      <c r="C1459" s="130"/>
      <c r="D1459" s="653"/>
      <c r="E1459" s="290"/>
      <c r="F1459" s="634"/>
      <c r="G1459" s="635" t="s">
        <v>752</v>
      </c>
      <c r="H1459" s="637">
        <v>1200</v>
      </c>
      <c r="I1459" s="637"/>
      <c r="J1459" s="637">
        <f t="shared" si="487"/>
        <v>1200</v>
      </c>
      <c r="K1459" s="181"/>
      <c r="L1459" s="526"/>
      <c r="M1459" s="526"/>
      <c r="N1459" s="526"/>
      <c r="O1459" s="181"/>
      <c r="P1459" s="528">
        <f t="shared" si="484"/>
        <v>1200</v>
      </c>
      <c r="Q1459" s="528">
        <f t="shared" si="485"/>
        <v>0</v>
      </c>
      <c r="R1459" s="528">
        <f t="shared" si="485"/>
        <v>1200</v>
      </c>
    </row>
    <row r="1460" spans="2:18" x14ac:dyDescent="0.2">
      <c r="B1460" s="136">
        <f t="shared" si="490"/>
        <v>11</v>
      </c>
      <c r="C1460" s="130"/>
      <c r="D1460" s="653"/>
      <c r="E1460" s="290"/>
      <c r="F1460" s="634"/>
      <c r="G1460" s="635" t="s">
        <v>753</v>
      </c>
      <c r="H1460" s="637">
        <v>3000</v>
      </c>
      <c r="I1460" s="637"/>
      <c r="J1460" s="637">
        <f t="shared" si="487"/>
        <v>3000</v>
      </c>
      <c r="K1460" s="181"/>
      <c r="L1460" s="526"/>
      <c r="M1460" s="526"/>
      <c r="N1460" s="526"/>
      <c r="O1460" s="181"/>
      <c r="P1460" s="528">
        <f t="shared" si="484"/>
        <v>3000</v>
      </c>
      <c r="Q1460" s="528">
        <f t="shared" si="485"/>
        <v>0</v>
      </c>
      <c r="R1460" s="528">
        <f t="shared" si="485"/>
        <v>3000</v>
      </c>
    </row>
    <row r="1461" spans="2:18" x14ac:dyDescent="0.2">
      <c r="B1461" s="136">
        <f t="shared" si="490"/>
        <v>12</v>
      </c>
      <c r="C1461" s="130"/>
      <c r="D1461" s="653"/>
      <c r="E1461" s="290"/>
      <c r="F1461" s="634"/>
      <c r="G1461" s="635" t="s">
        <v>754</v>
      </c>
      <c r="H1461" s="637">
        <v>1500</v>
      </c>
      <c r="I1461" s="637"/>
      <c r="J1461" s="637">
        <f t="shared" si="487"/>
        <v>1500</v>
      </c>
      <c r="K1461" s="181"/>
      <c r="L1461" s="526"/>
      <c r="M1461" s="526"/>
      <c r="N1461" s="526"/>
      <c r="O1461" s="181"/>
      <c r="P1461" s="528">
        <f t="shared" si="484"/>
        <v>1500</v>
      </c>
      <c r="Q1461" s="528">
        <f t="shared" si="485"/>
        <v>0</v>
      </c>
      <c r="R1461" s="528">
        <f t="shared" si="485"/>
        <v>1500</v>
      </c>
    </row>
    <row r="1462" spans="2:18" x14ac:dyDescent="0.2">
      <c r="B1462" s="136">
        <f t="shared" si="490"/>
        <v>13</v>
      </c>
      <c r="C1462" s="130"/>
      <c r="D1462" s="653"/>
      <c r="E1462" s="290"/>
      <c r="F1462" s="634"/>
      <c r="G1462" s="635" t="s">
        <v>755</v>
      </c>
      <c r="H1462" s="637">
        <v>1600</v>
      </c>
      <c r="I1462" s="637"/>
      <c r="J1462" s="637">
        <f t="shared" si="487"/>
        <v>1600</v>
      </c>
      <c r="K1462" s="181"/>
      <c r="L1462" s="526"/>
      <c r="M1462" s="526"/>
      <c r="N1462" s="526"/>
      <c r="O1462" s="181"/>
      <c r="P1462" s="528">
        <f t="shared" si="484"/>
        <v>1600</v>
      </c>
      <c r="Q1462" s="528">
        <f t="shared" si="485"/>
        <v>0</v>
      </c>
      <c r="R1462" s="528">
        <f t="shared" si="485"/>
        <v>1600</v>
      </c>
    </row>
    <row r="1463" spans="2:18" ht="22.5" x14ac:dyDescent="0.2">
      <c r="B1463" s="136">
        <f t="shared" si="490"/>
        <v>14</v>
      </c>
      <c r="C1463" s="130"/>
      <c r="D1463" s="653"/>
      <c r="E1463" s="290"/>
      <c r="F1463" s="634"/>
      <c r="G1463" s="635" t="s">
        <v>756</v>
      </c>
      <c r="H1463" s="637">
        <f>1700-1700</f>
        <v>0</v>
      </c>
      <c r="I1463" s="637"/>
      <c r="J1463" s="637">
        <f t="shared" si="487"/>
        <v>0</v>
      </c>
      <c r="K1463" s="181"/>
      <c r="L1463" s="526"/>
      <c r="M1463" s="526"/>
      <c r="N1463" s="526"/>
      <c r="O1463" s="181"/>
      <c r="P1463" s="455">
        <f t="shared" si="484"/>
        <v>0</v>
      </c>
      <c r="Q1463" s="455">
        <f t="shared" si="485"/>
        <v>0</v>
      </c>
      <c r="R1463" s="455">
        <f t="shared" si="485"/>
        <v>0</v>
      </c>
    </row>
    <row r="1464" spans="2:18" ht="22.5" x14ac:dyDescent="0.2">
      <c r="B1464" s="136">
        <f t="shared" si="490"/>
        <v>15</v>
      </c>
      <c r="C1464" s="130"/>
      <c r="D1464" s="653"/>
      <c r="E1464" s="290"/>
      <c r="F1464" s="634"/>
      <c r="G1464" s="635" t="s">
        <v>757</v>
      </c>
      <c r="H1464" s="637">
        <v>2100</v>
      </c>
      <c r="I1464" s="637"/>
      <c r="J1464" s="637">
        <f t="shared" si="487"/>
        <v>2100</v>
      </c>
      <c r="K1464" s="181"/>
      <c r="L1464" s="526"/>
      <c r="M1464" s="526"/>
      <c r="N1464" s="526"/>
      <c r="O1464" s="181"/>
      <c r="P1464" s="455">
        <f t="shared" si="484"/>
        <v>2100</v>
      </c>
      <c r="Q1464" s="455">
        <f t="shared" si="485"/>
        <v>0</v>
      </c>
      <c r="R1464" s="455">
        <f t="shared" si="485"/>
        <v>2100</v>
      </c>
    </row>
    <row r="1465" spans="2:18" ht="22.5" x14ac:dyDescent="0.2">
      <c r="B1465" s="136">
        <f t="shared" si="490"/>
        <v>16</v>
      </c>
      <c r="C1465" s="130"/>
      <c r="D1465" s="653"/>
      <c r="E1465" s="290"/>
      <c r="F1465" s="634"/>
      <c r="G1465" s="635" t="s">
        <v>879</v>
      </c>
      <c r="H1465" s="637">
        <v>1700</v>
      </c>
      <c r="I1465" s="637"/>
      <c r="J1465" s="637">
        <f t="shared" ref="J1465" si="492">H1465+I1465</f>
        <v>1700</v>
      </c>
      <c r="K1465" s="181"/>
      <c r="L1465" s="526"/>
      <c r="M1465" s="526"/>
      <c r="N1465" s="526"/>
      <c r="O1465" s="181"/>
      <c r="P1465" s="455">
        <f t="shared" ref="P1465" si="493">H1465+L1465</f>
        <v>1700</v>
      </c>
      <c r="Q1465" s="455">
        <f t="shared" ref="Q1465" si="494">I1465+M1465</f>
        <v>0</v>
      </c>
      <c r="R1465" s="455">
        <f t="shared" ref="R1465" si="495">J1465+N1465</f>
        <v>1700</v>
      </c>
    </row>
    <row r="1466" spans="2:18" ht="15.75" x14ac:dyDescent="0.25">
      <c r="B1466" s="136">
        <f t="shared" si="490"/>
        <v>17</v>
      </c>
      <c r="C1466" s="23">
        <v>2</v>
      </c>
      <c r="D1466" s="638" t="s">
        <v>313</v>
      </c>
      <c r="E1466" s="22"/>
      <c r="F1466" s="22"/>
      <c r="G1466" s="195"/>
      <c r="H1466" s="411">
        <f>H1467+H1479+H1480</f>
        <v>78300</v>
      </c>
      <c r="I1466" s="411">
        <f t="shared" ref="I1466" si="496">I1467+I1479+I1480</f>
        <v>0</v>
      </c>
      <c r="J1466" s="411">
        <f t="shared" si="487"/>
        <v>78300</v>
      </c>
      <c r="K1466" s="245"/>
      <c r="L1466" s="381">
        <v>0</v>
      </c>
      <c r="M1466" s="381"/>
      <c r="N1466" s="381"/>
      <c r="O1466" s="245"/>
      <c r="P1466" s="374">
        <f t="shared" si="484"/>
        <v>78300</v>
      </c>
      <c r="Q1466" s="374">
        <f t="shared" si="485"/>
        <v>0</v>
      </c>
      <c r="R1466" s="374">
        <f t="shared" si="485"/>
        <v>78300</v>
      </c>
    </row>
    <row r="1467" spans="2:18" x14ac:dyDescent="0.2">
      <c r="B1467" s="136">
        <f t="shared" si="490"/>
        <v>18</v>
      </c>
      <c r="C1467" s="130"/>
      <c r="D1467" s="130"/>
      <c r="E1467" s="131" t="s">
        <v>670</v>
      </c>
      <c r="F1467" s="144" t="s">
        <v>216</v>
      </c>
      <c r="G1467" s="199" t="s">
        <v>308</v>
      </c>
      <c r="H1467" s="432">
        <f>SUM(H1468:H1478)</f>
        <v>72440</v>
      </c>
      <c r="I1467" s="432">
        <f t="shared" ref="I1467" si="497">SUM(I1468:I1478)</f>
        <v>0</v>
      </c>
      <c r="J1467" s="432">
        <f t="shared" si="487"/>
        <v>72440</v>
      </c>
      <c r="K1467" s="132"/>
      <c r="L1467" s="382"/>
      <c r="M1467" s="382"/>
      <c r="N1467" s="382"/>
      <c r="O1467" s="132"/>
      <c r="P1467" s="160">
        <f t="shared" si="484"/>
        <v>72440</v>
      </c>
      <c r="Q1467" s="160">
        <f t="shared" ref="Q1467:R1482" si="498">I1467+M1467</f>
        <v>0</v>
      </c>
      <c r="R1467" s="160">
        <f t="shared" si="498"/>
        <v>72440</v>
      </c>
    </row>
    <row r="1468" spans="2:18" x14ac:dyDescent="0.2">
      <c r="B1468" s="136">
        <f t="shared" si="490"/>
        <v>19</v>
      </c>
      <c r="C1468" s="130"/>
      <c r="D1468" s="131"/>
      <c r="E1468" s="131"/>
      <c r="F1468" s="131"/>
      <c r="G1468" s="194" t="s">
        <v>309</v>
      </c>
      <c r="H1468" s="526">
        <f>9000-840</f>
        <v>8160</v>
      </c>
      <c r="I1468" s="526"/>
      <c r="J1468" s="526">
        <f t="shared" si="487"/>
        <v>8160</v>
      </c>
      <c r="K1468" s="132"/>
      <c r="L1468" s="527"/>
      <c r="M1468" s="527"/>
      <c r="N1468" s="527"/>
      <c r="O1468" s="132"/>
      <c r="P1468" s="137">
        <f t="shared" si="484"/>
        <v>8160</v>
      </c>
      <c r="Q1468" s="137">
        <f t="shared" si="498"/>
        <v>0</v>
      </c>
      <c r="R1468" s="137">
        <f t="shared" si="498"/>
        <v>8160</v>
      </c>
    </row>
    <row r="1469" spans="2:18" x14ac:dyDescent="0.2">
      <c r="B1469" s="136">
        <f t="shared" si="490"/>
        <v>20</v>
      </c>
      <c r="C1469" s="130"/>
      <c r="D1469" s="131"/>
      <c r="E1469" s="131"/>
      <c r="F1469" s="131"/>
      <c r="G1469" s="194" t="s">
        <v>310</v>
      </c>
      <c r="H1469" s="526">
        <f>4500-1500+6240</f>
        <v>9240</v>
      </c>
      <c r="I1469" s="526"/>
      <c r="J1469" s="526">
        <f t="shared" si="487"/>
        <v>9240</v>
      </c>
      <c r="K1469" s="132"/>
      <c r="L1469" s="527"/>
      <c r="M1469" s="527"/>
      <c r="N1469" s="527"/>
      <c r="O1469" s="132"/>
      <c r="P1469" s="137">
        <f t="shared" si="484"/>
        <v>9240</v>
      </c>
      <c r="Q1469" s="137">
        <f t="shared" si="498"/>
        <v>0</v>
      </c>
      <c r="R1469" s="137">
        <f t="shared" si="498"/>
        <v>9240</v>
      </c>
    </row>
    <row r="1470" spans="2:18" x14ac:dyDescent="0.2">
      <c r="B1470" s="136">
        <f t="shared" si="490"/>
        <v>21</v>
      </c>
      <c r="C1470" s="130"/>
      <c r="D1470" s="131"/>
      <c r="E1470" s="131"/>
      <c r="F1470" s="131"/>
      <c r="G1470" s="194" t="s">
        <v>311</v>
      </c>
      <c r="H1470" s="526">
        <f>9800+2000+500-360</f>
        <v>11940</v>
      </c>
      <c r="I1470" s="526"/>
      <c r="J1470" s="526">
        <f t="shared" si="487"/>
        <v>11940</v>
      </c>
      <c r="K1470" s="132"/>
      <c r="L1470" s="527"/>
      <c r="M1470" s="527"/>
      <c r="N1470" s="527"/>
      <c r="O1470" s="132"/>
      <c r="P1470" s="137">
        <f t="shared" si="484"/>
        <v>11940</v>
      </c>
      <c r="Q1470" s="137">
        <f t="shared" si="498"/>
        <v>0</v>
      </c>
      <c r="R1470" s="137">
        <f t="shared" si="498"/>
        <v>11940</v>
      </c>
    </row>
    <row r="1471" spans="2:18" x14ac:dyDescent="0.2">
      <c r="B1471" s="136">
        <f t="shared" si="490"/>
        <v>22</v>
      </c>
      <c r="C1471" s="130"/>
      <c r="D1471" s="131"/>
      <c r="E1471" s="131"/>
      <c r="F1471" s="131"/>
      <c r="G1471" s="194" t="s">
        <v>646</v>
      </c>
      <c r="H1471" s="526">
        <f>10000-5000</f>
        <v>5000</v>
      </c>
      <c r="I1471" s="526"/>
      <c r="J1471" s="526">
        <f t="shared" si="487"/>
        <v>5000</v>
      </c>
      <c r="K1471" s="132"/>
      <c r="L1471" s="527"/>
      <c r="M1471" s="527"/>
      <c r="N1471" s="527"/>
      <c r="O1471" s="132"/>
      <c r="P1471" s="137">
        <f t="shared" si="484"/>
        <v>5000</v>
      </c>
      <c r="Q1471" s="137">
        <f t="shared" si="498"/>
        <v>0</v>
      </c>
      <c r="R1471" s="137">
        <f t="shared" si="498"/>
        <v>5000</v>
      </c>
    </row>
    <row r="1472" spans="2:18" x14ac:dyDescent="0.2">
      <c r="B1472" s="136">
        <f t="shared" si="490"/>
        <v>23</v>
      </c>
      <c r="C1472" s="130"/>
      <c r="D1472" s="131"/>
      <c r="E1472" s="131"/>
      <c r="F1472" s="131"/>
      <c r="G1472" s="194" t="s">
        <v>648</v>
      </c>
      <c r="H1472" s="526">
        <f>10000-1600</f>
        <v>8400</v>
      </c>
      <c r="I1472" s="526"/>
      <c r="J1472" s="526">
        <f t="shared" si="487"/>
        <v>8400</v>
      </c>
      <c r="K1472" s="132"/>
      <c r="L1472" s="527"/>
      <c r="M1472" s="527"/>
      <c r="N1472" s="527"/>
      <c r="O1472" s="132"/>
      <c r="P1472" s="137">
        <f t="shared" si="484"/>
        <v>8400</v>
      </c>
      <c r="Q1472" s="137">
        <f t="shared" si="498"/>
        <v>0</v>
      </c>
      <c r="R1472" s="137">
        <f t="shared" si="498"/>
        <v>8400</v>
      </c>
    </row>
    <row r="1473" spans="2:18" x14ac:dyDescent="0.2">
      <c r="B1473" s="136">
        <f t="shared" si="490"/>
        <v>24</v>
      </c>
      <c r="C1473" s="130"/>
      <c r="D1473" s="131"/>
      <c r="E1473" s="131"/>
      <c r="F1473" s="131"/>
      <c r="G1473" s="194" t="s">
        <v>589</v>
      </c>
      <c r="H1473" s="526">
        <v>2000</v>
      </c>
      <c r="I1473" s="526"/>
      <c r="J1473" s="526">
        <f t="shared" si="487"/>
        <v>2000</v>
      </c>
      <c r="K1473" s="132"/>
      <c r="L1473" s="527"/>
      <c r="M1473" s="527"/>
      <c r="N1473" s="527"/>
      <c r="O1473" s="132"/>
      <c r="P1473" s="137">
        <f t="shared" si="484"/>
        <v>2000</v>
      </c>
      <c r="Q1473" s="137">
        <f t="shared" si="498"/>
        <v>0</v>
      </c>
      <c r="R1473" s="137">
        <f t="shared" si="498"/>
        <v>2000</v>
      </c>
    </row>
    <row r="1474" spans="2:18" x14ac:dyDescent="0.2">
      <c r="B1474" s="136">
        <f t="shared" si="490"/>
        <v>25</v>
      </c>
      <c r="C1474" s="130"/>
      <c r="D1474" s="131"/>
      <c r="E1474" s="131"/>
      <c r="F1474" s="131"/>
      <c r="G1474" s="194" t="s">
        <v>526</v>
      </c>
      <c r="H1474" s="526">
        <f>2000+600-1025</f>
        <v>1575</v>
      </c>
      <c r="I1474" s="526"/>
      <c r="J1474" s="526">
        <f t="shared" si="487"/>
        <v>1575</v>
      </c>
      <c r="K1474" s="132"/>
      <c r="L1474" s="527"/>
      <c r="M1474" s="527"/>
      <c r="N1474" s="527"/>
      <c r="O1474" s="132"/>
      <c r="P1474" s="137">
        <f t="shared" si="484"/>
        <v>1575</v>
      </c>
      <c r="Q1474" s="137">
        <f t="shared" si="498"/>
        <v>0</v>
      </c>
      <c r="R1474" s="137">
        <f t="shared" si="498"/>
        <v>1575</v>
      </c>
    </row>
    <row r="1475" spans="2:18" x14ac:dyDescent="0.2">
      <c r="B1475" s="136">
        <f t="shared" si="490"/>
        <v>26</v>
      </c>
      <c r="C1475" s="130"/>
      <c r="D1475" s="131"/>
      <c r="E1475" s="131"/>
      <c r="F1475" s="131"/>
      <c r="G1475" s="194" t="s">
        <v>527</v>
      </c>
      <c r="H1475" s="526">
        <f>12000+5625</f>
        <v>17625</v>
      </c>
      <c r="I1475" s="526"/>
      <c r="J1475" s="526">
        <f t="shared" si="487"/>
        <v>17625</v>
      </c>
      <c r="K1475" s="132"/>
      <c r="L1475" s="527"/>
      <c r="M1475" s="527"/>
      <c r="N1475" s="527"/>
      <c r="O1475" s="132"/>
      <c r="P1475" s="137">
        <f t="shared" si="484"/>
        <v>17625</v>
      </c>
      <c r="Q1475" s="137">
        <f t="shared" si="498"/>
        <v>0</v>
      </c>
      <c r="R1475" s="137">
        <f t="shared" si="498"/>
        <v>17625</v>
      </c>
    </row>
    <row r="1476" spans="2:18" x14ac:dyDescent="0.2">
      <c r="B1476" s="136">
        <f t="shared" si="490"/>
        <v>27</v>
      </c>
      <c r="C1476" s="130"/>
      <c r="D1476" s="131"/>
      <c r="E1476" s="131"/>
      <c r="F1476" s="131"/>
      <c r="G1476" s="194" t="s">
        <v>312</v>
      </c>
      <c r="H1476" s="526">
        <v>6000</v>
      </c>
      <c r="I1476" s="526"/>
      <c r="J1476" s="526">
        <f t="shared" si="487"/>
        <v>6000</v>
      </c>
      <c r="K1476" s="132"/>
      <c r="L1476" s="527"/>
      <c r="M1476" s="527"/>
      <c r="N1476" s="527"/>
      <c r="O1476" s="132"/>
      <c r="P1476" s="137">
        <f t="shared" si="484"/>
        <v>6000</v>
      </c>
      <c r="Q1476" s="137">
        <f t="shared" si="498"/>
        <v>0</v>
      </c>
      <c r="R1476" s="137">
        <f t="shared" si="498"/>
        <v>6000</v>
      </c>
    </row>
    <row r="1477" spans="2:18" x14ac:dyDescent="0.2">
      <c r="B1477" s="136">
        <f t="shared" si="490"/>
        <v>28</v>
      </c>
      <c r="C1477" s="130"/>
      <c r="D1477" s="131"/>
      <c r="E1477" s="131"/>
      <c r="F1477" s="131"/>
      <c r="G1477" s="194" t="s">
        <v>647</v>
      </c>
      <c r="H1477" s="526">
        <v>1500</v>
      </c>
      <c r="I1477" s="526"/>
      <c r="J1477" s="526">
        <f t="shared" si="487"/>
        <v>1500</v>
      </c>
      <c r="K1477" s="132"/>
      <c r="L1477" s="527"/>
      <c r="M1477" s="527"/>
      <c r="N1477" s="527"/>
      <c r="O1477" s="132"/>
      <c r="P1477" s="137">
        <f t="shared" si="484"/>
        <v>1500</v>
      </c>
      <c r="Q1477" s="137">
        <f t="shared" si="498"/>
        <v>0</v>
      </c>
      <c r="R1477" s="137">
        <f t="shared" si="498"/>
        <v>1500</v>
      </c>
    </row>
    <row r="1478" spans="2:18" x14ac:dyDescent="0.2">
      <c r="B1478" s="136">
        <f t="shared" si="490"/>
        <v>29</v>
      </c>
      <c r="C1478" s="130"/>
      <c r="D1478" s="131"/>
      <c r="E1478" s="131"/>
      <c r="F1478" s="131"/>
      <c r="G1478" s="194" t="s">
        <v>608</v>
      </c>
      <c r="H1478" s="526">
        <f>500+500</f>
        <v>1000</v>
      </c>
      <c r="I1478" s="526"/>
      <c r="J1478" s="526">
        <f t="shared" si="487"/>
        <v>1000</v>
      </c>
      <c r="K1478" s="132"/>
      <c r="L1478" s="527"/>
      <c r="M1478" s="527"/>
      <c r="N1478" s="527"/>
      <c r="O1478" s="132"/>
      <c r="P1478" s="137">
        <f t="shared" si="484"/>
        <v>1000</v>
      </c>
      <c r="Q1478" s="137">
        <f t="shared" si="498"/>
        <v>0</v>
      </c>
      <c r="R1478" s="137">
        <f t="shared" si="498"/>
        <v>1000</v>
      </c>
    </row>
    <row r="1479" spans="2:18" x14ac:dyDescent="0.2">
      <c r="B1479" s="136">
        <f t="shared" si="490"/>
        <v>30</v>
      </c>
      <c r="C1479" s="130"/>
      <c r="D1479" s="131"/>
      <c r="E1479" s="131" t="s">
        <v>670</v>
      </c>
      <c r="F1479" s="144" t="s">
        <v>200</v>
      </c>
      <c r="G1479" s="199" t="s">
        <v>590</v>
      </c>
      <c r="H1479" s="526">
        <v>3600</v>
      </c>
      <c r="I1479" s="526"/>
      <c r="J1479" s="526">
        <f t="shared" si="487"/>
        <v>3600</v>
      </c>
      <c r="K1479" s="132"/>
      <c r="L1479" s="527"/>
      <c r="M1479" s="527"/>
      <c r="N1479" s="527"/>
      <c r="O1479" s="132"/>
      <c r="P1479" s="137">
        <f t="shared" si="484"/>
        <v>3600</v>
      </c>
      <c r="Q1479" s="137">
        <f t="shared" si="498"/>
        <v>0</v>
      </c>
      <c r="R1479" s="137">
        <f t="shared" si="498"/>
        <v>3600</v>
      </c>
    </row>
    <row r="1480" spans="2:18" x14ac:dyDescent="0.2">
      <c r="B1480" s="136">
        <f t="shared" si="490"/>
        <v>31</v>
      </c>
      <c r="C1480" s="130"/>
      <c r="D1480" s="178"/>
      <c r="E1480" s="290" t="s">
        <v>670</v>
      </c>
      <c r="F1480" s="284" t="s">
        <v>200</v>
      </c>
      <c r="G1480" s="199" t="s">
        <v>815</v>
      </c>
      <c r="H1480" s="526">
        <f>1500+760</f>
        <v>2260</v>
      </c>
      <c r="I1480" s="526"/>
      <c r="J1480" s="526">
        <f t="shared" si="487"/>
        <v>2260</v>
      </c>
      <c r="K1480" s="132"/>
      <c r="L1480" s="526"/>
      <c r="M1480" s="526"/>
      <c r="N1480" s="526"/>
      <c r="O1480" s="181"/>
      <c r="P1480" s="528">
        <f t="shared" si="484"/>
        <v>2260</v>
      </c>
      <c r="Q1480" s="528">
        <f t="shared" si="498"/>
        <v>0</v>
      </c>
      <c r="R1480" s="528">
        <f t="shared" si="498"/>
        <v>2260</v>
      </c>
    </row>
    <row r="1481" spans="2:18" ht="15.75" x14ac:dyDescent="0.25">
      <c r="B1481" s="136">
        <f t="shared" si="490"/>
        <v>32</v>
      </c>
      <c r="C1481" s="21">
        <v>3</v>
      </c>
      <c r="D1481" s="126" t="s">
        <v>109</v>
      </c>
      <c r="E1481" s="22"/>
      <c r="F1481" s="22"/>
      <c r="G1481" s="195"/>
      <c r="H1481" s="411">
        <f>H1482+H1488+H1489+H1490+H1492+H1493+H1491</f>
        <v>163600</v>
      </c>
      <c r="I1481" s="411">
        <f t="shared" ref="I1481" si="499">I1482+I1488+I1489+I1490+I1492+I1493+I1491</f>
        <v>0</v>
      </c>
      <c r="J1481" s="411">
        <f t="shared" si="487"/>
        <v>163600</v>
      </c>
      <c r="K1481" s="112"/>
      <c r="L1481" s="379">
        <f>SUM(L1482:L1494)</f>
        <v>3200</v>
      </c>
      <c r="M1481" s="379">
        <f>M1494</f>
        <v>0</v>
      </c>
      <c r="N1481" s="379">
        <f>M1481+L1481</f>
        <v>3200</v>
      </c>
      <c r="O1481" s="112"/>
      <c r="P1481" s="373">
        <f t="shared" si="484"/>
        <v>166800</v>
      </c>
      <c r="Q1481" s="373">
        <f t="shared" si="498"/>
        <v>0</v>
      </c>
      <c r="R1481" s="373">
        <f t="shared" si="498"/>
        <v>166800</v>
      </c>
    </row>
    <row r="1482" spans="2:18" x14ac:dyDescent="0.2">
      <c r="B1482" s="136">
        <f t="shared" si="490"/>
        <v>33</v>
      </c>
      <c r="C1482" s="130"/>
      <c r="D1482" s="130"/>
      <c r="E1482" s="131" t="s">
        <v>670</v>
      </c>
      <c r="F1482" s="224" t="s">
        <v>472</v>
      </c>
      <c r="G1482" s="224"/>
      <c r="H1482" s="387">
        <f>SUM(H1483:H1486)</f>
        <v>130000</v>
      </c>
      <c r="I1482" s="387">
        <f t="shared" ref="I1482" si="500">SUM(I1483:I1486)</f>
        <v>0</v>
      </c>
      <c r="J1482" s="387">
        <f t="shared" si="487"/>
        <v>130000</v>
      </c>
      <c r="K1482" s="132"/>
      <c r="L1482" s="526"/>
      <c r="M1482" s="526"/>
      <c r="N1482" s="526"/>
      <c r="O1482" s="132"/>
      <c r="P1482" s="269">
        <f t="shared" si="484"/>
        <v>130000</v>
      </c>
      <c r="Q1482" s="269">
        <f t="shared" si="498"/>
        <v>0</v>
      </c>
      <c r="R1482" s="269">
        <f t="shared" si="498"/>
        <v>130000</v>
      </c>
    </row>
    <row r="1483" spans="2:18" x14ac:dyDescent="0.2">
      <c r="B1483" s="136">
        <f t="shared" si="490"/>
        <v>34</v>
      </c>
      <c r="C1483" s="130"/>
      <c r="D1483" s="130"/>
      <c r="E1483" s="157"/>
      <c r="F1483" s="134">
        <v>632</v>
      </c>
      <c r="G1483" s="194" t="s">
        <v>246</v>
      </c>
      <c r="H1483" s="526">
        <v>114000</v>
      </c>
      <c r="I1483" s="526"/>
      <c r="J1483" s="526">
        <f t="shared" si="487"/>
        <v>114000</v>
      </c>
      <c r="K1483" s="132"/>
      <c r="L1483" s="526"/>
      <c r="M1483" s="526"/>
      <c r="N1483" s="526"/>
      <c r="O1483" s="132"/>
      <c r="P1483" s="528">
        <f t="shared" si="484"/>
        <v>114000</v>
      </c>
      <c r="Q1483" s="528">
        <f t="shared" ref="Q1483:R1486" si="501">I1483+M1483</f>
        <v>0</v>
      </c>
      <c r="R1483" s="528">
        <f t="shared" si="501"/>
        <v>114000</v>
      </c>
    </row>
    <row r="1484" spans="2:18" x14ac:dyDescent="0.2">
      <c r="B1484" s="136">
        <f t="shared" si="490"/>
        <v>35</v>
      </c>
      <c r="C1484" s="130"/>
      <c r="D1484" s="130"/>
      <c r="E1484" s="157"/>
      <c r="F1484" s="134">
        <v>633</v>
      </c>
      <c r="G1484" s="194" t="s">
        <v>247</v>
      </c>
      <c r="H1484" s="526">
        <v>2500</v>
      </c>
      <c r="I1484" s="526"/>
      <c r="J1484" s="526">
        <f t="shared" si="487"/>
        <v>2500</v>
      </c>
      <c r="K1484" s="132"/>
      <c r="L1484" s="526"/>
      <c r="M1484" s="526"/>
      <c r="N1484" s="526"/>
      <c r="O1484" s="132"/>
      <c r="P1484" s="528">
        <f t="shared" si="484"/>
        <v>2500</v>
      </c>
      <c r="Q1484" s="528">
        <f t="shared" si="501"/>
        <v>0</v>
      </c>
      <c r="R1484" s="528">
        <f t="shared" si="501"/>
        <v>2500</v>
      </c>
    </row>
    <row r="1485" spans="2:18" x14ac:dyDescent="0.2">
      <c r="B1485" s="136">
        <f t="shared" si="490"/>
        <v>36</v>
      </c>
      <c r="C1485" s="130"/>
      <c r="D1485" s="130"/>
      <c r="E1485" s="157"/>
      <c r="F1485" s="134">
        <v>635</v>
      </c>
      <c r="G1485" s="194" t="s">
        <v>261</v>
      </c>
      <c r="H1485" s="526">
        <f>13500-3000</f>
        <v>10500</v>
      </c>
      <c r="I1485" s="526"/>
      <c r="J1485" s="526">
        <f t="shared" si="487"/>
        <v>10500</v>
      </c>
      <c r="K1485" s="132"/>
      <c r="L1485" s="526"/>
      <c r="M1485" s="526"/>
      <c r="N1485" s="526"/>
      <c r="O1485" s="132"/>
      <c r="P1485" s="528">
        <f t="shared" si="484"/>
        <v>10500</v>
      </c>
      <c r="Q1485" s="528">
        <f t="shared" si="501"/>
        <v>0</v>
      </c>
      <c r="R1485" s="528">
        <f t="shared" si="501"/>
        <v>10500</v>
      </c>
    </row>
    <row r="1486" spans="2:18" x14ac:dyDescent="0.2">
      <c r="B1486" s="136">
        <f t="shared" si="490"/>
        <v>37</v>
      </c>
      <c r="C1486" s="130"/>
      <c r="D1486" s="130"/>
      <c r="E1486" s="157"/>
      <c r="F1486" s="134">
        <v>637</v>
      </c>
      <c r="G1486" s="194" t="s">
        <v>248</v>
      </c>
      <c r="H1486" s="526">
        <v>3000</v>
      </c>
      <c r="I1486" s="526"/>
      <c r="J1486" s="526">
        <f t="shared" si="487"/>
        <v>3000</v>
      </c>
      <c r="K1486" s="132"/>
      <c r="L1486" s="526"/>
      <c r="M1486" s="526"/>
      <c r="N1486" s="526"/>
      <c r="O1486" s="132"/>
      <c r="P1486" s="528">
        <f t="shared" si="484"/>
        <v>3000</v>
      </c>
      <c r="Q1486" s="528">
        <f t="shared" si="501"/>
        <v>0</v>
      </c>
      <c r="R1486" s="528">
        <f t="shared" si="501"/>
        <v>3000</v>
      </c>
    </row>
    <row r="1487" spans="2:18" x14ac:dyDescent="0.2">
      <c r="B1487" s="136">
        <f t="shared" si="490"/>
        <v>38</v>
      </c>
      <c r="C1487" s="130"/>
      <c r="D1487" s="130"/>
      <c r="E1487" s="157"/>
      <c r="F1487" s="134"/>
      <c r="G1487" s="194"/>
      <c r="H1487" s="526"/>
      <c r="I1487" s="526"/>
      <c r="J1487" s="526"/>
      <c r="K1487" s="132"/>
      <c r="L1487" s="526"/>
      <c r="M1487" s="526"/>
      <c r="N1487" s="526"/>
      <c r="O1487" s="132"/>
      <c r="P1487" s="528"/>
      <c r="Q1487" s="528"/>
      <c r="R1487" s="528"/>
    </row>
    <row r="1488" spans="2:18" x14ac:dyDescent="0.2">
      <c r="B1488" s="136">
        <f t="shared" si="490"/>
        <v>39</v>
      </c>
      <c r="C1488" s="130"/>
      <c r="D1488" s="130"/>
      <c r="E1488" s="131" t="s">
        <v>670</v>
      </c>
      <c r="F1488" s="134">
        <v>637</v>
      </c>
      <c r="G1488" s="194" t="s">
        <v>303</v>
      </c>
      <c r="H1488" s="526">
        <v>1100</v>
      </c>
      <c r="I1488" s="526"/>
      <c r="J1488" s="526">
        <f t="shared" si="487"/>
        <v>1100</v>
      </c>
      <c r="K1488" s="132"/>
      <c r="L1488" s="526"/>
      <c r="M1488" s="526"/>
      <c r="N1488" s="526"/>
      <c r="O1488" s="132"/>
      <c r="P1488" s="528">
        <f t="shared" ref="P1488:P1495" si="502">H1488+L1488</f>
        <v>1100</v>
      </c>
      <c r="Q1488" s="528">
        <f t="shared" ref="Q1488:R1495" si="503">I1488+M1488</f>
        <v>0</v>
      </c>
      <c r="R1488" s="528">
        <f t="shared" si="503"/>
        <v>1100</v>
      </c>
    </row>
    <row r="1489" spans="2:18" x14ac:dyDescent="0.2">
      <c r="B1489" s="136">
        <f t="shared" si="490"/>
        <v>40</v>
      </c>
      <c r="C1489" s="130"/>
      <c r="D1489" s="130"/>
      <c r="E1489" s="131" t="s">
        <v>670</v>
      </c>
      <c r="F1489" s="134">
        <v>620</v>
      </c>
      <c r="G1489" s="366" t="s">
        <v>528</v>
      </c>
      <c r="H1489" s="526">
        <v>2400</v>
      </c>
      <c r="I1489" s="526"/>
      <c r="J1489" s="526">
        <f t="shared" si="487"/>
        <v>2400</v>
      </c>
      <c r="K1489" s="132"/>
      <c r="L1489" s="526"/>
      <c r="M1489" s="526"/>
      <c r="N1489" s="526"/>
      <c r="O1489" s="132"/>
      <c r="P1489" s="528">
        <f t="shared" si="502"/>
        <v>2400</v>
      </c>
      <c r="Q1489" s="528">
        <f t="shared" si="503"/>
        <v>0</v>
      </c>
      <c r="R1489" s="528">
        <f t="shared" si="503"/>
        <v>2400</v>
      </c>
    </row>
    <row r="1490" spans="2:18" x14ac:dyDescent="0.2">
      <c r="B1490" s="136">
        <f t="shared" si="490"/>
        <v>41</v>
      </c>
      <c r="C1490" s="130"/>
      <c r="D1490" s="130"/>
      <c r="E1490" s="131" t="s">
        <v>670</v>
      </c>
      <c r="F1490" s="364">
        <v>637</v>
      </c>
      <c r="G1490" s="366" t="s">
        <v>528</v>
      </c>
      <c r="H1490" s="526">
        <v>8900</v>
      </c>
      <c r="I1490" s="526"/>
      <c r="J1490" s="526">
        <f t="shared" si="487"/>
        <v>8900</v>
      </c>
      <c r="K1490" s="20"/>
      <c r="L1490" s="398"/>
      <c r="M1490" s="398"/>
      <c r="N1490" s="398"/>
      <c r="O1490" s="20"/>
      <c r="P1490" s="365">
        <f t="shared" si="502"/>
        <v>8900</v>
      </c>
      <c r="Q1490" s="365">
        <f t="shared" si="503"/>
        <v>0</v>
      </c>
      <c r="R1490" s="365">
        <f t="shared" si="503"/>
        <v>8900</v>
      </c>
    </row>
    <row r="1491" spans="2:18" x14ac:dyDescent="0.2">
      <c r="B1491" s="136">
        <f t="shared" si="490"/>
        <v>42</v>
      </c>
      <c r="C1491" s="130"/>
      <c r="D1491" s="130"/>
      <c r="E1491" s="131" t="s">
        <v>670</v>
      </c>
      <c r="F1491" s="364">
        <v>633</v>
      </c>
      <c r="G1491" s="366" t="s">
        <v>600</v>
      </c>
      <c r="H1491" s="526">
        <v>5000</v>
      </c>
      <c r="I1491" s="526"/>
      <c r="J1491" s="526">
        <f t="shared" si="487"/>
        <v>5000</v>
      </c>
      <c r="K1491" s="20"/>
      <c r="L1491" s="398"/>
      <c r="M1491" s="398"/>
      <c r="N1491" s="398"/>
      <c r="O1491" s="20"/>
      <c r="P1491" s="365">
        <f t="shared" si="502"/>
        <v>5000</v>
      </c>
      <c r="Q1491" s="365">
        <f t="shared" si="503"/>
        <v>0</v>
      </c>
      <c r="R1491" s="365">
        <f t="shared" si="503"/>
        <v>5000</v>
      </c>
    </row>
    <row r="1492" spans="2:18" x14ac:dyDescent="0.2">
      <c r="B1492" s="136">
        <f t="shared" si="490"/>
        <v>43</v>
      </c>
      <c r="C1492" s="130"/>
      <c r="D1492" s="130"/>
      <c r="E1492" s="131" t="s">
        <v>670</v>
      </c>
      <c r="F1492" s="364">
        <v>630</v>
      </c>
      <c r="G1492" s="366" t="s">
        <v>448</v>
      </c>
      <c r="H1492" s="526">
        <v>14200</v>
      </c>
      <c r="I1492" s="526"/>
      <c r="J1492" s="526">
        <f t="shared" si="487"/>
        <v>14200</v>
      </c>
      <c r="K1492" s="20"/>
      <c r="L1492" s="398"/>
      <c r="M1492" s="398"/>
      <c r="N1492" s="398"/>
      <c r="O1492" s="20"/>
      <c r="P1492" s="365">
        <f t="shared" si="502"/>
        <v>14200</v>
      </c>
      <c r="Q1492" s="365">
        <f t="shared" si="503"/>
        <v>0</v>
      </c>
      <c r="R1492" s="365">
        <f t="shared" si="503"/>
        <v>14200</v>
      </c>
    </row>
    <row r="1493" spans="2:18" x14ac:dyDescent="0.2">
      <c r="B1493" s="136">
        <f t="shared" si="490"/>
        <v>44</v>
      </c>
      <c r="C1493" s="179"/>
      <c r="D1493" s="179"/>
      <c r="E1493" s="306" t="s">
        <v>670</v>
      </c>
      <c r="F1493" s="838">
        <v>630</v>
      </c>
      <c r="G1493" s="837" t="s">
        <v>693</v>
      </c>
      <c r="H1493" s="527">
        <v>2000</v>
      </c>
      <c r="I1493" s="527"/>
      <c r="J1493" s="527">
        <f t="shared" si="487"/>
        <v>2000</v>
      </c>
      <c r="K1493" s="20"/>
      <c r="L1493" s="839"/>
      <c r="M1493" s="839"/>
      <c r="N1493" s="839"/>
      <c r="O1493" s="20"/>
      <c r="P1493" s="365">
        <f t="shared" si="502"/>
        <v>2000</v>
      </c>
      <c r="Q1493" s="365">
        <f t="shared" si="503"/>
        <v>0</v>
      </c>
      <c r="R1493" s="365">
        <f t="shared" si="503"/>
        <v>2000</v>
      </c>
    </row>
    <row r="1494" spans="2:18" x14ac:dyDescent="0.2">
      <c r="B1494" s="136">
        <f t="shared" si="490"/>
        <v>45</v>
      </c>
      <c r="C1494" s="524"/>
      <c r="D1494" s="524"/>
      <c r="E1494" s="290" t="s">
        <v>670</v>
      </c>
      <c r="F1494" s="540">
        <v>712</v>
      </c>
      <c r="G1494" s="840" t="s">
        <v>864</v>
      </c>
      <c r="H1494" s="526"/>
      <c r="I1494" s="526"/>
      <c r="J1494" s="526"/>
      <c r="K1494" s="841"/>
      <c r="L1494" s="398">
        <v>3200</v>
      </c>
      <c r="M1494" s="398"/>
      <c r="N1494" s="398">
        <f>M1494+L1494</f>
        <v>3200</v>
      </c>
      <c r="O1494" s="20"/>
      <c r="P1494" s="365">
        <f t="shared" ref="P1494" si="504">H1494+L1494</f>
        <v>3200</v>
      </c>
      <c r="Q1494" s="365">
        <f t="shared" ref="Q1494" si="505">I1494+M1494</f>
        <v>0</v>
      </c>
      <c r="R1494" s="365">
        <f t="shared" ref="R1494" si="506">J1494+N1494</f>
        <v>3200</v>
      </c>
    </row>
    <row r="1495" spans="2:18" ht="16.5" thickBot="1" x14ac:dyDescent="0.3">
      <c r="B1495" s="136">
        <f t="shared" si="490"/>
        <v>46</v>
      </c>
      <c r="C1495" s="27">
        <v>4</v>
      </c>
      <c r="D1495" s="197" t="s">
        <v>225</v>
      </c>
      <c r="E1495" s="28"/>
      <c r="F1495" s="28"/>
      <c r="G1495" s="196"/>
      <c r="H1495" s="412">
        <v>0</v>
      </c>
      <c r="I1495" s="412">
        <v>0</v>
      </c>
      <c r="J1495" s="412">
        <f t="shared" si="487"/>
        <v>0</v>
      </c>
      <c r="K1495" s="121"/>
      <c r="L1495" s="438">
        <v>18320</v>
      </c>
      <c r="M1495" s="438"/>
      <c r="N1495" s="438">
        <f t="shared" si="489"/>
        <v>18320</v>
      </c>
      <c r="O1495" s="121"/>
      <c r="P1495" s="439">
        <f t="shared" si="502"/>
        <v>18320</v>
      </c>
      <c r="Q1495" s="439">
        <f t="shared" si="503"/>
        <v>0</v>
      </c>
      <c r="R1495" s="439">
        <f t="shared" si="503"/>
        <v>18320</v>
      </c>
    </row>
    <row r="1501" spans="2:18" ht="27.75" thickBot="1" x14ac:dyDescent="0.4">
      <c r="B1501" s="246" t="s">
        <v>226</v>
      </c>
      <c r="C1501" s="246"/>
      <c r="D1501" s="246"/>
      <c r="E1501" s="246"/>
      <c r="F1501" s="246"/>
      <c r="G1501" s="246"/>
      <c r="H1501" s="246"/>
      <c r="I1501" s="246"/>
      <c r="J1501" s="246"/>
      <c r="K1501" s="246"/>
      <c r="L1501" s="246"/>
      <c r="M1501" s="246"/>
      <c r="N1501" s="246"/>
      <c r="O1501" s="246"/>
      <c r="P1501" s="246"/>
      <c r="Q1501" s="246"/>
      <c r="R1501" s="246"/>
    </row>
    <row r="1502" spans="2:18" ht="13.5" customHeight="1" thickBot="1" x14ac:dyDescent="0.25">
      <c r="B1502" s="913" t="s">
        <v>631</v>
      </c>
      <c r="C1502" s="914"/>
      <c r="D1502" s="914"/>
      <c r="E1502" s="914"/>
      <c r="F1502" s="914"/>
      <c r="G1502" s="914"/>
      <c r="H1502" s="914"/>
      <c r="I1502" s="914"/>
      <c r="J1502" s="914"/>
      <c r="K1502" s="914"/>
      <c r="L1502" s="914"/>
      <c r="M1502" s="914"/>
      <c r="N1502" s="915"/>
      <c r="O1502" s="120"/>
      <c r="P1502" s="903" t="s">
        <v>721</v>
      </c>
      <c r="Q1502" s="903" t="s">
        <v>860</v>
      </c>
      <c r="R1502" s="903" t="s">
        <v>721</v>
      </c>
    </row>
    <row r="1503" spans="2:18" ht="13.5" customHeight="1" thickTop="1" x14ac:dyDescent="0.2">
      <c r="B1503" s="505"/>
      <c r="C1503" s="906" t="s">
        <v>477</v>
      </c>
      <c r="D1503" s="906" t="s">
        <v>476</v>
      </c>
      <c r="E1503" s="906" t="s">
        <v>474</v>
      </c>
      <c r="F1503" s="906" t="s">
        <v>475</v>
      </c>
      <c r="G1503" s="507" t="s">
        <v>3</v>
      </c>
      <c r="H1503" s="908" t="s">
        <v>722</v>
      </c>
      <c r="I1503" s="912" t="s">
        <v>860</v>
      </c>
      <c r="J1503" s="912" t="s">
        <v>722</v>
      </c>
      <c r="L1503" s="910" t="s">
        <v>723</v>
      </c>
      <c r="M1503" s="910" t="s">
        <v>860</v>
      </c>
      <c r="N1503" s="910" t="s">
        <v>723</v>
      </c>
      <c r="P1503" s="904"/>
      <c r="Q1503" s="904"/>
      <c r="R1503" s="904"/>
    </row>
    <row r="1504" spans="2:18" ht="46.5" customHeight="1" thickBot="1" x14ac:dyDescent="0.25">
      <c r="B1504" s="509"/>
      <c r="C1504" s="907"/>
      <c r="D1504" s="907"/>
      <c r="E1504" s="907"/>
      <c r="F1504" s="907"/>
      <c r="G1504" s="508"/>
      <c r="H1504" s="909"/>
      <c r="I1504" s="909"/>
      <c r="J1504" s="909"/>
      <c r="L1504" s="911"/>
      <c r="M1504" s="911"/>
      <c r="N1504" s="911"/>
      <c r="P1504" s="905"/>
      <c r="Q1504" s="905"/>
      <c r="R1504" s="905"/>
    </row>
    <row r="1505" spans="2:18" ht="19.5" thickTop="1" thickBot="1" x14ac:dyDescent="0.25">
      <c r="B1505" s="171">
        <v>1</v>
      </c>
      <c r="C1505" s="125" t="s">
        <v>227</v>
      </c>
      <c r="D1505" s="111"/>
      <c r="E1505" s="111"/>
      <c r="F1505" s="111"/>
      <c r="G1505" s="201"/>
      <c r="H1505" s="409">
        <f>H1506+H1541+H1552+H1559+H1561+H1569</f>
        <v>3780596</v>
      </c>
      <c r="I1505" s="409">
        <f t="shared" ref="I1505" si="507">I1506+I1541+I1552+I1559+I1561+I1569</f>
        <v>0</v>
      </c>
      <c r="J1505" s="409">
        <f>H1505+I1505</f>
        <v>3780596</v>
      </c>
      <c r="K1505" s="113"/>
      <c r="L1505" s="405">
        <f>L1506+L1541+L1552+L1559+L1561+L1569</f>
        <v>164685</v>
      </c>
      <c r="M1505" s="405">
        <f t="shared" ref="M1505" si="508">M1506+M1541+M1552+M1559+M1561+M1569</f>
        <v>0</v>
      </c>
      <c r="N1505" s="405">
        <f>L1505+M1505</f>
        <v>164685</v>
      </c>
      <c r="O1505" s="113"/>
      <c r="P1505" s="372">
        <f t="shared" ref="P1505:P1535" si="509">H1505+L1505</f>
        <v>3945281</v>
      </c>
      <c r="Q1505" s="372">
        <f t="shared" ref="Q1505:R1520" si="510">I1505+M1505</f>
        <v>0</v>
      </c>
      <c r="R1505" s="372">
        <f t="shared" si="510"/>
        <v>3945281</v>
      </c>
    </row>
    <row r="1506" spans="2:18" ht="16.5" thickTop="1" x14ac:dyDescent="0.25">
      <c r="B1506" s="171">
        <f>B1505+1</f>
        <v>2</v>
      </c>
      <c r="C1506" s="23">
        <v>1</v>
      </c>
      <c r="D1506" s="127" t="s">
        <v>0</v>
      </c>
      <c r="E1506" s="24"/>
      <c r="F1506" s="24"/>
      <c r="G1506" s="193"/>
      <c r="H1506" s="410">
        <f>H1507+H1526+H1518+H1538</f>
        <v>486700</v>
      </c>
      <c r="I1506" s="410">
        <f t="shared" ref="I1506" si="511">I1507+I1526+I1518+I1538</f>
        <v>0</v>
      </c>
      <c r="J1506" s="410">
        <f t="shared" ref="J1506:J1570" si="512">H1506+I1506</f>
        <v>486700</v>
      </c>
      <c r="K1506" s="88"/>
      <c r="L1506" s="395">
        <f>SUM(L1510:L1540)</f>
        <v>75500</v>
      </c>
      <c r="M1506" s="395">
        <f t="shared" ref="M1506" si="513">SUM(M1510:M1540)</f>
        <v>0</v>
      </c>
      <c r="N1506" s="395">
        <f t="shared" ref="N1506:N1569" si="514">L1506+M1506</f>
        <v>75500</v>
      </c>
      <c r="O1506" s="88"/>
      <c r="P1506" s="373">
        <f t="shared" si="509"/>
        <v>562200</v>
      </c>
      <c r="Q1506" s="373">
        <f t="shared" si="510"/>
        <v>0</v>
      </c>
      <c r="R1506" s="373">
        <f t="shared" si="510"/>
        <v>562200</v>
      </c>
    </row>
    <row r="1507" spans="2:18" x14ac:dyDescent="0.2">
      <c r="B1507" s="171">
        <f t="shared" ref="B1507:B1571" si="515">B1506+1</f>
        <v>3</v>
      </c>
      <c r="C1507" s="143"/>
      <c r="D1507" s="155"/>
      <c r="E1507" s="156" t="s">
        <v>266</v>
      </c>
      <c r="F1507" s="224" t="s">
        <v>604</v>
      </c>
      <c r="G1507" s="224"/>
      <c r="H1507" s="387">
        <f>H1508+H1509+H1510+H1517</f>
        <v>44500</v>
      </c>
      <c r="I1507" s="387">
        <f t="shared" ref="I1507" si="516">I1508+I1509+I1510+I1517</f>
        <v>-50</v>
      </c>
      <c r="J1507" s="387">
        <f t="shared" si="512"/>
        <v>44450</v>
      </c>
      <c r="K1507" s="145"/>
      <c r="L1507" s="396"/>
      <c r="M1507" s="396"/>
      <c r="N1507" s="396"/>
      <c r="O1507" s="145"/>
      <c r="P1507" s="166">
        <f t="shared" si="509"/>
        <v>44500</v>
      </c>
      <c r="Q1507" s="166">
        <f t="shared" si="510"/>
        <v>-50</v>
      </c>
      <c r="R1507" s="166">
        <f t="shared" si="510"/>
        <v>44450</v>
      </c>
    </row>
    <row r="1508" spans="2:18" x14ac:dyDescent="0.2">
      <c r="B1508" s="171">
        <f t="shared" si="515"/>
        <v>4</v>
      </c>
      <c r="C1508" s="143"/>
      <c r="D1508" s="144"/>
      <c r="E1508" s="149"/>
      <c r="F1508" s="149">
        <v>610</v>
      </c>
      <c r="G1508" s="199" t="s">
        <v>257</v>
      </c>
      <c r="H1508" s="388">
        <v>23125</v>
      </c>
      <c r="I1508" s="388"/>
      <c r="J1508" s="388">
        <f t="shared" si="512"/>
        <v>23125</v>
      </c>
      <c r="K1508" s="145"/>
      <c r="L1508" s="396"/>
      <c r="M1508" s="396"/>
      <c r="N1508" s="396"/>
      <c r="O1508" s="145"/>
      <c r="P1508" s="166">
        <f t="shared" si="509"/>
        <v>23125</v>
      </c>
      <c r="Q1508" s="166">
        <f t="shared" si="510"/>
        <v>0</v>
      </c>
      <c r="R1508" s="166">
        <f t="shared" si="510"/>
        <v>23125</v>
      </c>
    </row>
    <row r="1509" spans="2:18" x14ac:dyDescent="0.2">
      <c r="B1509" s="171">
        <f t="shared" si="515"/>
        <v>5</v>
      </c>
      <c r="C1509" s="143"/>
      <c r="D1509" s="144"/>
      <c r="E1509" s="134"/>
      <c r="F1509" s="149">
        <v>620</v>
      </c>
      <c r="G1509" s="199" t="s">
        <v>259</v>
      </c>
      <c r="H1509" s="388">
        <v>8090</v>
      </c>
      <c r="I1509" s="388"/>
      <c r="J1509" s="388">
        <f t="shared" si="512"/>
        <v>8090</v>
      </c>
      <c r="K1509" s="145"/>
      <c r="L1509" s="396"/>
      <c r="M1509" s="396"/>
      <c r="N1509" s="396"/>
      <c r="O1509" s="145"/>
      <c r="P1509" s="166">
        <f t="shared" si="509"/>
        <v>8090</v>
      </c>
      <c r="Q1509" s="166">
        <f t="shared" si="510"/>
        <v>0</v>
      </c>
      <c r="R1509" s="166">
        <f t="shared" si="510"/>
        <v>8090</v>
      </c>
    </row>
    <row r="1510" spans="2:18" x14ac:dyDescent="0.2">
      <c r="B1510" s="171">
        <f t="shared" si="515"/>
        <v>6</v>
      </c>
      <c r="C1510" s="143"/>
      <c r="D1510" s="144"/>
      <c r="E1510" s="134"/>
      <c r="F1510" s="149">
        <v>630</v>
      </c>
      <c r="G1510" s="199" t="s">
        <v>249</v>
      </c>
      <c r="H1510" s="388">
        <f>SUM(H1511:H1516)</f>
        <v>12985</v>
      </c>
      <c r="I1510" s="388">
        <f t="shared" ref="I1510" si="517">SUM(I1511:I1516)</f>
        <v>-50</v>
      </c>
      <c r="J1510" s="388">
        <f t="shared" si="512"/>
        <v>12935</v>
      </c>
      <c r="K1510" s="145"/>
      <c r="L1510" s="396"/>
      <c r="M1510" s="396"/>
      <c r="N1510" s="396"/>
      <c r="O1510" s="145"/>
      <c r="P1510" s="166">
        <f t="shared" si="509"/>
        <v>12985</v>
      </c>
      <c r="Q1510" s="166">
        <f t="shared" si="510"/>
        <v>-50</v>
      </c>
      <c r="R1510" s="166">
        <f t="shared" si="510"/>
        <v>12935</v>
      </c>
    </row>
    <row r="1511" spans="2:18" x14ac:dyDescent="0.2">
      <c r="B1511" s="171">
        <f t="shared" si="515"/>
        <v>7</v>
      </c>
      <c r="C1511" s="143"/>
      <c r="D1511" s="144"/>
      <c r="E1511" s="134"/>
      <c r="F1511" s="134">
        <v>631</v>
      </c>
      <c r="G1511" s="194" t="s">
        <v>519</v>
      </c>
      <c r="H1511" s="526">
        <v>50</v>
      </c>
      <c r="I1511" s="526"/>
      <c r="J1511" s="526">
        <f t="shared" si="512"/>
        <v>50</v>
      </c>
      <c r="K1511" s="145"/>
      <c r="L1511" s="396"/>
      <c r="M1511" s="396"/>
      <c r="N1511" s="396"/>
      <c r="O1511" s="145"/>
      <c r="P1511" s="167">
        <f t="shared" si="509"/>
        <v>50</v>
      </c>
      <c r="Q1511" s="167">
        <f t="shared" si="510"/>
        <v>0</v>
      </c>
      <c r="R1511" s="167">
        <f t="shared" si="510"/>
        <v>50</v>
      </c>
    </row>
    <row r="1512" spans="2:18" x14ac:dyDescent="0.2">
      <c r="B1512" s="171">
        <f t="shared" si="515"/>
        <v>8</v>
      </c>
      <c r="C1512" s="143"/>
      <c r="D1512" s="144"/>
      <c r="E1512" s="134"/>
      <c r="F1512" s="134">
        <v>632</v>
      </c>
      <c r="G1512" s="194" t="s">
        <v>246</v>
      </c>
      <c r="H1512" s="526">
        <v>1825</v>
      </c>
      <c r="I1512" s="526">
        <v>-50</v>
      </c>
      <c r="J1512" s="526">
        <f t="shared" si="512"/>
        <v>1775</v>
      </c>
      <c r="K1512" s="145"/>
      <c r="L1512" s="396"/>
      <c r="M1512" s="396"/>
      <c r="N1512" s="396"/>
      <c r="O1512" s="145"/>
      <c r="P1512" s="167">
        <f t="shared" si="509"/>
        <v>1825</v>
      </c>
      <c r="Q1512" s="167">
        <f t="shared" si="510"/>
        <v>-50</v>
      </c>
      <c r="R1512" s="167">
        <f t="shared" si="510"/>
        <v>1775</v>
      </c>
    </row>
    <row r="1513" spans="2:18" x14ac:dyDescent="0.2">
      <c r="B1513" s="171">
        <f t="shared" si="515"/>
        <v>9</v>
      </c>
      <c r="C1513" s="143"/>
      <c r="D1513" s="144"/>
      <c r="E1513" s="134"/>
      <c r="F1513" s="134">
        <v>633</v>
      </c>
      <c r="G1513" s="194" t="s">
        <v>247</v>
      </c>
      <c r="H1513" s="526">
        <f>4600-110-2500</f>
        <v>1990</v>
      </c>
      <c r="I1513" s="526"/>
      <c r="J1513" s="526">
        <f t="shared" si="512"/>
        <v>1990</v>
      </c>
      <c r="K1513" s="145"/>
      <c r="L1513" s="396"/>
      <c r="M1513" s="396"/>
      <c r="N1513" s="396"/>
      <c r="O1513" s="145"/>
      <c r="P1513" s="167">
        <f t="shared" si="509"/>
        <v>1990</v>
      </c>
      <c r="Q1513" s="167">
        <f t="shared" si="510"/>
        <v>0</v>
      </c>
      <c r="R1513" s="167">
        <f t="shared" si="510"/>
        <v>1990</v>
      </c>
    </row>
    <row r="1514" spans="2:18" x14ac:dyDescent="0.2">
      <c r="B1514" s="171">
        <f t="shared" si="515"/>
        <v>10</v>
      </c>
      <c r="C1514" s="143"/>
      <c r="D1514" s="144"/>
      <c r="E1514" s="134"/>
      <c r="F1514" s="134">
        <v>634</v>
      </c>
      <c r="G1514" s="194" t="s">
        <v>260</v>
      </c>
      <c r="H1514" s="526">
        <v>2470</v>
      </c>
      <c r="I1514" s="526"/>
      <c r="J1514" s="526">
        <f t="shared" si="512"/>
        <v>2470</v>
      </c>
      <c r="K1514" s="145"/>
      <c r="L1514" s="396"/>
      <c r="M1514" s="396"/>
      <c r="N1514" s="396"/>
      <c r="O1514" s="145"/>
      <c r="P1514" s="167">
        <f t="shared" si="509"/>
        <v>2470</v>
      </c>
      <c r="Q1514" s="167">
        <f t="shared" si="510"/>
        <v>0</v>
      </c>
      <c r="R1514" s="167">
        <f t="shared" si="510"/>
        <v>2470</v>
      </c>
    </row>
    <row r="1515" spans="2:18" x14ac:dyDescent="0.2">
      <c r="B1515" s="171">
        <f t="shared" si="515"/>
        <v>11</v>
      </c>
      <c r="C1515" s="143"/>
      <c r="D1515" s="144"/>
      <c r="E1515" s="144"/>
      <c r="F1515" s="134">
        <v>635</v>
      </c>
      <c r="G1515" s="194" t="s">
        <v>261</v>
      </c>
      <c r="H1515" s="526">
        <v>800</v>
      </c>
      <c r="I1515" s="526"/>
      <c r="J1515" s="526">
        <f t="shared" si="512"/>
        <v>800</v>
      </c>
      <c r="K1515" s="145"/>
      <c r="L1515" s="396"/>
      <c r="M1515" s="396"/>
      <c r="N1515" s="396"/>
      <c r="O1515" s="145"/>
      <c r="P1515" s="167">
        <f t="shared" si="509"/>
        <v>800</v>
      </c>
      <c r="Q1515" s="167">
        <f t="shared" si="510"/>
        <v>0</v>
      </c>
      <c r="R1515" s="167">
        <f t="shared" si="510"/>
        <v>800</v>
      </c>
    </row>
    <row r="1516" spans="2:18" x14ac:dyDescent="0.2">
      <c r="B1516" s="171">
        <f t="shared" si="515"/>
        <v>12</v>
      </c>
      <c r="C1516" s="143"/>
      <c r="D1516" s="144"/>
      <c r="E1516" s="144"/>
      <c r="F1516" s="134">
        <v>637</v>
      </c>
      <c r="G1516" s="194" t="s">
        <v>248</v>
      </c>
      <c r="H1516" s="398">
        <f>6850-500-500</f>
        <v>5850</v>
      </c>
      <c r="I1516" s="398"/>
      <c r="J1516" s="398">
        <f t="shared" si="512"/>
        <v>5850</v>
      </c>
      <c r="K1516" s="145"/>
      <c r="L1516" s="396"/>
      <c r="M1516" s="396"/>
      <c r="N1516" s="396"/>
      <c r="O1516" s="145"/>
      <c r="P1516" s="167">
        <f t="shared" si="509"/>
        <v>5850</v>
      </c>
      <c r="Q1516" s="167">
        <f t="shared" si="510"/>
        <v>0</v>
      </c>
      <c r="R1516" s="167">
        <f t="shared" si="510"/>
        <v>5850</v>
      </c>
    </row>
    <row r="1517" spans="2:18" x14ac:dyDescent="0.2">
      <c r="B1517" s="171">
        <f t="shared" si="515"/>
        <v>13</v>
      </c>
      <c r="C1517" s="143"/>
      <c r="D1517" s="144"/>
      <c r="E1517" s="144"/>
      <c r="F1517" s="154">
        <v>640</v>
      </c>
      <c r="G1517" s="199" t="s">
        <v>424</v>
      </c>
      <c r="H1517" s="493">
        <f>190+110</f>
        <v>300</v>
      </c>
      <c r="I1517" s="493"/>
      <c r="J1517" s="493">
        <f t="shared" si="512"/>
        <v>300</v>
      </c>
      <c r="K1517" s="132"/>
      <c r="L1517" s="396"/>
      <c r="M1517" s="396"/>
      <c r="N1517" s="396"/>
      <c r="O1517" s="145"/>
      <c r="P1517" s="166">
        <f t="shared" si="509"/>
        <v>300</v>
      </c>
      <c r="Q1517" s="166">
        <f t="shared" si="510"/>
        <v>0</v>
      </c>
      <c r="R1517" s="166">
        <f t="shared" si="510"/>
        <v>300</v>
      </c>
    </row>
    <row r="1518" spans="2:18" x14ac:dyDescent="0.2">
      <c r="B1518" s="171">
        <f t="shared" si="515"/>
        <v>14</v>
      </c>
      <c r="C1518" s="143"/>
      <c r="D1518" s="155"/>
      <c r="E1518" s="156" t="s">
        <v>266</v>
      </c>
      <c r="F1518" s="224" t="s">
        <v>630</v>
      </c>
      <c r="G1518" s="224"/>
      <c r="H1518" s="387">
        <f>SUM(H1519:H1520)</f>
        <v>26500</v>
      </c>
      <c r="I1518" s="387">
        <f t="shared" ref="I1518" si="518">SUM(I1519:I1520)</f>
        <v>50</v>
      </c>
      <c r="J1518" s="387">
        <f t="shared" si="512"/>
        <v>26550</v>
      </c>
      <c r="K1518" s="145"/>
      <c r="L1518" s="396"/>
      <c r="M1518" s="396"/>
      <c r="N1518" s="396"/>
      <c r="O1518" s="145"/>
      <c r="P1518" s="166">
        <f t="shared" si="509"/>
        <v>26500</v>
      </c>
      <c r="Q1518" s="166">
        <f t="shared" si="510"/>
        <v>50</v>
      </c>
      <c r="R1518" s="166">
        <f t="shared" si="510"/>
        <v>26550</v>
      </c>
    </row>
    <row r="1519" spans="2:18" x14ac:dyDescent="0.2">
      <c r="B1519" s="171">
        <f t="shared" si="515"/>
        <v>15</v>
      </c>
      <c r="C1519" s="143"/>
      <c r="D1519" s="176"/>
      <c r="E1519" s="364"/>
      <c r="F1519" s="149">
        <v>620</v>
      </c>
      <c r="G1519" s="199" t="s">
        <v>259</v>
      </c>
      <c r="H1519" s="493">
        <v>575</v>
      </c>
      <c r="I1519" s="493"/>
      <c r="J1519" s="493">
        <f t="shared" si="512"/>
        <v>575</v>
      </c>
      <c r="K1519" s="145"/>
      <c r="L1519" s="396"/>
      <c r="M1519" s="396"/>
      <c r="N1519" s="396"/>
      <c r="O1519" s="145"/>
      <c r="P1519" s="166">
        <f t="shared" si="509"/>
        <v>575</v>
      </c>
      <c r="Q1519" s="166">
        <f t="shared" si="510"/>
        <v>0</v>
      </c>
      <c r="R1519" s="166">
        <f t="shared" si="510"/>
        <v>575</v>
      </c>
    </row>
    <row r="1520" spans="2:18" x14ac:dyDescent="0.2">
      <c r="B1520" s="171">
        <f t="shared" si="515"/>
        <v>16</v>
      </c>
      <c r="C1520" s="143"/>
      <c r="D1520" s="144"/>
      <c r="E1520" s="144"/>
      <c r="F1520" s="149">
        <v>630</v>
      </c>
      <c r="G1520" s="199" t="s">
        <v>249</v>
      </c>
      <c r="H1520" s="493">
        <f>SUM(H1521:H1525)</f>
        <v>25925</v>
      </c>
      <c r="I1520" s="493">
        <f>I1521+I1522+I1523+I1524+I1525</f>
        <v>50</v>
      </c>
      <c r="J1520" s="493">
        <f t="shared" si="512"/>
        <v>25975</v>
      </c>
      <c r="K1520" s="145"/>
      <c r="L1520" s="396"/>
      <c r="M1520" s="396"/>
      <c r="N1520" s="396"/>
      <c r="O1520" s="145"/>
      <c r="P1520" s="166">
        <f t="shared" si="509"/>
        <v>25925</v>
      </c>
      <c r="Q1520" s="166">
        <f t="shared" si="510"/>
        <v>50</v>
      </c>
      <c r="R1520" s="166">
        <f t="shared" si="510"/>
        <v>25975</v>
      </c>
    </row>
    <row r="1521" spans="2:18" x14ac:dyDescent="0.2">
      <c r="B1521" s="171">
        <f t="shared" si="515"/>
        <v>17</v>
      </c>
      <c r="C1521" s="143"/>
      <c r="D1521" s="144"/>
      <c r="E1521" s="144"/>
      <c r="F1521" s="134">
        <v>632</v>
      </c>
      <c r="G1521" s="194" t="s">
        <v>246</v>
      </c>
      <c r="H1521" s="398">
        <v>1525</v>
      </c>
      <c r="I1521" s="398">
        <v>50</v>
      </c>
      <c r="J1521" s="398">
        <f t="shared" si="512"/>
        <v>1575</v>
      </c>
      <c r="K1521" s="145"/>
      <c r="L1521" s="396"/>
      <c r="M1521" s="396"/>
      <c r="N1521" s="396"/>
      <c r="O1521" s="145"/>
      <c r="P1521" s="167">
        <f t="shared" si="509"/>
        <v>1525</v>
      </c>
      <c r="Q1521" s="167">
        <f t="shared" ref="Q1521:R1535" si="519">I1521+M1521</f>
        <v>50</v>
      </c>
      <c r="R1521" s="167">
        <f t="shared" si="519"/>
        <v>1575</v>
      </c>
    </row>
    <row r="1522" spans="2:18" x14ac:dyDescent="0.2">
      <c r="B1522" s="171">
        <f t="shared" si="515"/>
        <v>18</v>
      </c>
      <c r="C1522" s="143"/>
      <c r="D1522" s="144"/>
      <c r="E1522" s="144"/>
      <c r="F1522" s="134">
        <v>633</v>
      </c>
      <c r="G1522" s="194" t="s">
        <v>247</v>
      </c>
      <c r="H1522" s="398">
        <v>3000</v>
      </c>
      <c r="I1522" s="398"/>
      <c r="J1522" s="398">
        <f t="shared" si="512"/>
        <v>3000</v>
      </c>
      <c r="K1522" s="145"/>
      <c r="L1522" s="396"/>
      <c r="M1522" s="396"/>
      <c r="N1522" s="396"/>
      <c r="O1522" s="145"/>
      <c r="P1522" s="167">
        <f t="shared" si="509"/>
        <v>3000</v>
      </c>
      <c r="Q1522" s="167">
        <f t="shared" si="519"/>
        <v>0</v>
      </c>
      <c r="R1522" s="167">
        <f t="shared" si="519"/>
        <v>3000</v>
      </c>
    </row>
    <row r="1523" spans="2:18" x14ac:dyDescent="0.2">
      <c r="B1523" s="171">
        <f t="shared" si="515"/>
        <v>19</v>
      </c>
      <c r="C1523" s="143"/>
      <c r="D1523" s="144"/>
      <c r="E1523" s="144"/>
      <c r="F1523" s="134">
        <v>634</v>
      </c>
      <c r="G1523" s="194" t="s">
        <v>260</v>
      </c>
      <c r="H1523" s="398">
        <v>200</v>
      </c>
      <c r="I1523" s="398"/>
      <c r="J1523" s="398">
        <f t="shared" si="512"/>
        <v>200</v>
      </c>
      <c r="K1523" s="145"/>
      <c r="L1523" s="396"/>
      <c r="M1523" s="396"/>
      <c r="N1523" s="396"/>
      <c r="O1523" s="145"/>
      <c r="P1523" s="167">
        <f t="shared" si="509"/>
        <v>200</v>
      </c>
      <c r="Q1523" s="167">
        <f t="shared" si="519"/>
        <v>0</v>
      </c>
      <c r="R1523" s="167">
        <f t="shared" si="519"/>
        <v>200</v>
      </c>
    </row>
    <row r="1524" spans="2:18" x14ac:dyDescent="0.2">
      <c r="B1524" s="171">
        <f t="shared" si="515"/>
        <v>20</v>
      </c>
      <c r="C1524" s="143"/>
      <c r="D1524" s="144"/>
      <c r="E1524" s="144"/>
      <c r="F1524" s="134">
        <v>635</v>
      </c>
      <c r="G1524" s="194" t="s">
        <v>261</v>
      </c>
      <c r="H1524" s="398">
        <f>200+16500+3000</f>
        <v>19700</v>
      </c>
      <c r="I1524" s="398"/>
      <c r="J1524" s="398">
        <f t="shared" si="512"/>
        <v>19700</v>
      </c>
      <c r="K1524" s="145"/>
      <c r="L1524" s="396"/>
      <c r="M1524" s="396"/>
      <c r="N1524" s="396"/>
      <c r="O1524" s="145"/>
      <c r="P1524" s="167">
        <f t="shared" si="509"/>
        <v>19700</v>
      </c>
      <c r="Q1524" s="167">
        <f t="shared" si="519"/>
        <v>0</v>
      </c>
      <c r="R1524" s="167">
        <f t="shared" si="519"/>
        <v>19700</v>
      </c>
    </row>
    <row r="1525" spans="2:18" x14ac:dyDescent="0.2">
      <c r="B1525" s="171">
        <f t="shared" si="515"/>
        <v>21</v>
      </c>
      <c r="C1525" s="143"/>
      <c r="D1525" s="144"/>
      <c r="E1525" s="144"/>
      <c r="F1525" s="134">
        <v>637</v>
      </c>
      <c r="G1525" s="194" t="s">
        <v>248</v>
      </c>
      <c r="H1525" s="398">
        <f>2000-500</f>
        <v>1500</v>
      </c>
      <c r="I1525" s="398"/>
      <c r="J1525" s="398">
        <f t="shared" si="512"/>
        <v>1500</v>
      </c>
      <c r="K1525" s="145"/>
      <c r="L1525" s="396"/>
      <c r="M1525" s="396"/>
      <c r="N1525" s="396"/>
      <c r="O1525" s="145"/>
      <c r="P1525" s="167">
        <f t="shared" si="509"/>
        <v>1500</v>
      </c>
      <c r="Q1525" s="167">
        <f t="shared" si="519"/>
        <v>0</v>
      </c>
      <c r="R1525" s="167">
        <f t="shared" si="519"/>
        <v>1500</v>
      </c>
    </row>
    <row r="1526" spans="2:18" x14ac:dyDescent="0.2">
      <c r="B1526" s="171">
        <f t="shared" si="515"/>
        <v>22</v>
      </c>
      <c r="C1526" s="143"/>
      <c r="D1526" s="155"/>
      <c r="E1526" s="156" t="s">
        <v>241</v>
      </c>
      <c r="F1526" s="156"/>
      <c r="G1526" s="224" t="s">
        <v>449</v>
      </c>
      <c r="H1526" s="387">
        <f>H1527+H1528+H1529+H1535</f>
        <v>414200</v>
      </c>
      <c r="I1526" s="387">
        <f t="shared" ref="I1526" si="520">I1527+I1528+I1529+I1535</f>
        <v>0</v>
      </c>
      <c r="J1526" s="387">
        <f t="shared" si="512"/>
        <v>414200</v>
      </c>
      <c r="K1526" s="145"/>
      <c r="L1526" s="396"/>
      <c r="M1526" s="396"/>
      <c r="N1526" s="396"/>
      <c r="O1526" s="145"/>
      <c r="P1526" s="166">
        <f t="shared" si="509"/>
        <v>414200</v>
      </c>
      <c r="Q1526" s="166">
        <f t="shared" si="519"/>
        <v>0</v>
      </c>
      <c r="R1526" s="166">
        <f t="shared" si="519"/>
        <v>414200</v>
      </c>
    </row>
    <row r="1527" spans="2:18" x14ac:dyDescent="0.2">
      <c r="B1527" s="171">
        <f t="shared" si="515"/>
        <v>23</v>
      </c>
      <c r="C1527" s="143"/>
      <c r="D1527" s="144"/>
      <c r="E1527" s="144"/>
      <c r="F1527" s="149">
        <v>610</v>
      </c>
      <c r="G1527" s="199" t="s">
        <v>257</v>
      </c>
      <c r="H1527" s="493">
        <f>95000-36700</f>
        <v>58300</v>
      </c>
      <c r="I1527" s="493"/>
      <c r="J1527" s="493">
        <f t="shared" si="512"/>
        <v>58300</v>
      </c>
      <c r="K1527" s="145"/>
      <c r="L1527" s="396"/>
      <c r="M1527" s="396"/>
      <c r="N1527" s="396"/>
      <c r="O1527" s="145"/>
      <c r="P1527" s="166">
        <f t="shared" si="509"/>
        <v>58300</v>
      </c>
      <c r="Q1527" s="166">
        <f t="shared" si="519"/>
        <v>0</v>
      </c>
      <c r="R1527" s="166">
        <f t="shared" si="519"/>
        <v>58300</v>
      </c>
    </row>
    <row r="1528" spans="2:18" x14ac:dyDescent="0.2">
      <c r="B1528" s="171">
        <f t="shared" si="515"/>
        <v>24</v>
      </c>
      <c r="C1528" s="143"/>
      <c r="D1528" s="144"/>
      <c r="E1528" s="144"/>
      <c r="F1528" s="149">
        <v>620</v>
      </c>
      <c r="G1528" s="199" t="s">
        <v>259</v>
      </c>
      <c r="H1528" s="388">
        <f>60000+10100+21660</f>
        <v>91760</v>
      </c>
      <c r="I1528" s="388"/>
      <c r="J1528" s="388">
        <f t="shared" si="512"/>
        <v>91760</v>
      </c>
      <c r="K1528" s="145"/>
      <c r="L1528" s="396"/>
      <c r="M1528" s="396"/>
      <c r="N1528" s="396"/>
      <c r="O1528" s="145"/>
      <c r="P1528" s="166">
        <f t="shared" si="509"/>
        <v>91760</v>
      </c>
      <c r="Q1528" s="166">
        <f t="shared" si="519"/>
        <v>0</v>
      </c>
      <c r="R1528" s="166">
        <f t="shared" si="519"/>
        <v>91760</v>
      </c>
    </row>
    <row r="1529" spans="2:18" x14ac:dyDescent="0.2">
      <c r="B1529" s="171">
        <f t="shared" si="515"/>
        <v>25</v>
      </c>
      <c r="C1529" s="143"/>
      <c r="D1529" s="144"/>
      <c r="E1529" s="144"/>
      <c r="F1529" s="149">
        <v>630</v>
      </c>
      <c r="G1529" s="199" t="s">
        <v>249</v>
      </c>
      <c r="H1529" s="388">
        <f>SUM(H1530:H1534)</f>
        <v>263840</v>
      </c>
      <c r="I1529" s="388">
        <f>SUM(I1530:I1534)</f>
        <v>0</v>
      </c>
      <c r="J1529" s="388">
        <f t="shared" si="512"/>
        <v>263840</v>
      </c>
      <c r="K1529" s="145"/>
      <c r="L1529" s="396"/>
      <c r="M1529" s="396"/>
      <c r="N1529" s="396"/>
      <c r="O1529" s="145"/>
      <c r="P1529" s="166">
        <f t="shared" si="509"/>
        <v>263840</v>
      </c>
      <c r="Q1529" s="166">
        <f t="shared" si="519"/>
        <v>0</v>
      </c>
      <c r="R1529" s="166">
        <f t="shared" si="519"/>
        <v>263840</v>
      </c>
    </row>
    <row r="1530" spans="2:18" x14ac:dyDescent="0.2">
      <c r="B1530" s="171">
        <f t="shared" si="515"/>
        <v>26</v>
      </c>
      <c r="C1530" s="143"/>
      <c r="D1530" s="144"/>
      <c r="E1530" s="144"/>
      <c r="F1530" s="134">
        <v>633</v>
      </c>
      <c r="G1530" s="194" t="s">
        <v>247</v>
      </c>
      <c r="H1530" s="526">
        <f>29550-2800-2000</f>
        <v>24750</v>
      </c>
      <c r="I1530" s="526"/>
      <c r="J1530" s="526">
        <f t="shared" si="512"/>
        <v>24750</v>
      </c>
      <c r="K1530" s="145"/>
      <c r="L1530" s="396"/>
      <c r="M1530" s="396"/>
      <c r="N1530" s="396"/>
      <c r="O1530" s="145"/>
      <c r="P1530" s="167">
        <f t="shared" si="509"/>
        <v>24750</v>
      </c>
      <c r="Q1530" s="167">
        <f t="shared" si="519"/>
        <v>0</v>
      </c>
      <c r="R1530" s="167">
        <f t="shared" si="519"/>
        <v>24750</v>
      </c>
    </row>
    <row r="1531" spans="2:18" x14ac:dyDescent="0.2">
      <c r="B1531" s="171">
        <f t="shared" si="515"/>
        <v>27</v>
      </c>
      <c r="C1531" s="143"/>
      <c r="D1531" s="144"/>
      <c r="E1531" s="144"/>
      <c r="F1531" s="134">
        <v>634</v>
      </c>
      <c r="G1531" s="194" t="s">
        <v>260</v>
      </c>
      <c r="H1531" s="526">
        <f>30000-9700-3500</f>
        <v>16800</v>
      </c>
      <c r="I1531" s="526"/>
      <c r="J1531" s="526">
        <f t="shared" si="512"/>
        <v>16800</v>
      </c>
      <c r="K1531" s="145"/>
      <c r="L1531" s="396"/>
      <c r="M1531" s="396"/>
      <c r="N1531" s="396"/>
      <c r="O1531" s="145"/>
      <c r="P1531" s="167">
        <f t="shared" si="509"/>
        <v>16800</v>
      </c>
      <c r="Q1531" s="167">
        <f t="shared" si="519"/>
        <v>0</v>
      </c>
      <c r="R1531" s="167">
        <f t="shared" si="519"/>
        <v>16800</v>
      </c>
    </row>
    <row r="1532" spans="2:18" x14ac:dyDescent="0.2">
      <c r="B1532" s="171">
        <f t="shared" si="515"/>
        <v>28</v>
      </c>
      <c r="C1532" s="143"/>
      <c r="D1532" s="144"/>
      <c r="E1532" s="144"/>
      <c r="F1532" s="134">
        <v>635</v>
      </c>
      <c r="G1532" s="194" t="s">
        <v>261</v>
      </c>
      <c r="H1532" s="526">
        <f>50000-16500-20500-5000</f>
        <v>8000</v>
      </c>
      <c r="I1532" s="526"/>
      <c r="J1532" s="526">
        <f t="shared" si="512"/>
        <v>8000</v>
      </c>
      <c r="K1532" s="145"/>
      <c r="L1532" s="396"/>
      <c r="M1532" s="396"/>
      <c r="N1532" s="396"/>
      <c r="O1532" s="145"/>
      <c r="P1532" s="167">
        <f t="shared" si="509"/>
        <v>8000</v>
      </c>
      <c r="Q1532" s="167">
        <f t="shared" si="519"/>
        <v>0</v>
      </c>
      <c r="R1532" s="167">
        <f t="shared" si="519"/>
        <v>8000</v>
      </c>
    </row>
    <row r="1533" spans="2:18" x14ac:dyDescent="0.2">
      <c r="B1533" s="171">
        <f t="shared" si="515"/>
        <v>29</v>
      </c>
      <c r="C1533" s="143"/>
      <c r="D1533" s="144"/>
      <c r="E1533" s="144"/>
      <c r="F1533" s="134">
        <v>636</v>
      </c>
      <c r="G1533" s="194" t="s">
        <v>346</v>
      </c>
      <c r="H1533" s="526">
        <v>150</v>
      </c>
      <c r="I1533" s="526"/>
      <c r="J1533" s="526">
        <f t="shared" si="512"/>
        <v>150</v>
      </c>
      <c r="K1533" s="145"/>
      <c r="L1533" s="396"/>
      <c r="M1533" s="396"/>
      <c r="N1533" s="396"/>
      <c r="O1533" s="145"/>
      <c r="P1533" s="167">
        <f t="shared" si="509"/>
        <v>150</v>
      </c>
      <c r="Q1533" s="167">
        <f t="shared" si="519"/>
        <v>0</v>
      </c>
      <c r="R1533" s="167">
        <f t="shared" si="519"/>
        <v>150</v>
      </c>
    </row>
    <row r="1534" spans="2:18" x14ac:dyDescent="0.2">
      <c r="B1534" s="171">
        <f t="shared" si="515"/>
        <v>30</v>
      </c>
      <c r="C1534" s="143"/>
      <c r="D1534" s="144"/>
      <c r="E1534" s="144"/>
      <c r="F1534" s="134">
        <v>637</v>
      </c>
      <c r="G1534" s="194" t="s">
        <v>248</v>
      </c>
      <c r="H1534" s="526">
        <f>90000+59600+66040-1500</f>
        <v>214140</v>
      </c>
      <c r="I1534" s="526"/>
      <c r="J1534" s="526">
        <f t="shared" si="512"/>
        <v>214140</v>
      </c>
      <c r="K1534" s="145"/>
      <c r="L1534" s="396"/>
      <c r="M1534" s="396"/>
      <c r="N1534" s="396"/>
      <c r="O1534" s="145"/>
      <c r="P1534" s="167">
        <f t="shared" si="509"/>
        <v>214140</v>
      </c>
      <c r="Q1534" s="167">
        <f t="shared" si="519"/>
        <v>0</v>
      </c>
      <c r="R1534" s="167">
        <f t="shared" si="519"/>
        <v>214140</v>
      </c>
    </row>
    <row r="1535" spans="2:18" x14ac:dyDescent="0.2">
      <c r="B1535" s="171">
        <f t="shared" si="515"/>
        <v>31</v>
      </c>
      <c r="C1535" s="143"/>
      <c r="D1535" s="144"/>
      <c r="E1535" s="144"/>
      <c r="F1535" s="149">
        <v>640</v>
      </c>
      <c r="G1535" s="199" t="s">
        <v>424</v>
      </c>
      <c r="H1535" s="388">
        <v>300</v>
      </c>
      <c r="I1535" s="388"/>
      <c r="J1535" s="388">
        <f t="shared" si="512"/>
        <v>300</v>
      </c>
      <c r="K1535" s="145"/>
      <c r="L1535" s="396"/>
      <c r="M1535" s="396"/>
      <c r="N1535" s="396"/>
      <c r="O1535" s="145"/>
      <c r="P1535" s="166">
        <f t="shared" si="509"/>
        <v>300</v>
      </c>
      <c r="Q1535" s="166">
        <f t="shared" si="519"/>
        <v>0</v>
      </c>
      <c r="R1535" s="166">
        <f t="shared" si="519"/>
        <v>300</v>
      </c>
    </row>
    <row r="1536" spans="2:18" x14ac:dyDescent="0.2">
      <c r="B1536" s="171">
        <f t="shared" si="515"/>
        <v>32</v>
      </c>
      <c r="C1536" s="143"/>
      <c r="D1536" s="144"/>
      <c r="E1536" s="144"/>
      <c r="F1536" s="149">
        <v>714</v>
      </c>
      <c r="G1536" s="199" t="s">
        <v>873</v>
      </c>
      <c r="H1536" s="388"/>
      <c r="I1536" s="388"/>
      <c r="J1536" s="388"/>
      <c r="K1536" s="145"/>
      <c r="L1536" s="396">
        <v>72000</v>
      </c>
      <c r="M1536" s="396"/>
      <c r="N1536" s="396">
        <f>L1536+M1536</f>
        <v>72000</v>
      </c>
      <c r="O1536" s="145"/>
      <c r="P1536" s="166">
        <f t="shared" ref="P1536" si="521">H1536+L1536</f>
        <v>72000</v>
      </c>
      <c r="Q1536" s="166">
        <f t="shared" ref="Q1536" si="522">I1536+M1536</f>
        <v>0</v>
      </c>
      <c r="R1536" s="166">
        <f t="shared" ref="R1536" si="523">J1536+N1536</f>
        <v>72000</v>
      </c>
    </row>
    <row r="1537" spans="2:18" x14ac:dyDescent="0.2">
      <c r="B1537" s="171">
        <f t="shared" si="515"/>
        <v>33</v>
      </c>
      <c r="C1537" s="130"/>
      <c r="D1537" s="131"/>
      <c r="E1537" s="131"/>
      <c r="F1537" s="131"/>
      <c r="G1537" s="194"/>
      <c r="H1537" s="526"/>
      <c r="I1537" s="526"/>
      <c r="J1537" s="526"/>
      <c r="K1537" s="132"/>
      <c r="L1537" s="396"/>
      <c r="M1537" s="396"/>
      <c r="N1537" s="396"/>
      <c r="O1537" s="132"/>
      <c r="P1537" s="167"/>
      <c r="Q1537" s="167"/>
      <c r="R1537" s="167"/>
    </row>
    <row r="1538" spans="2:18" x14ac:dyDescent="0.2">
      <c r="B1538" s="171">
        <f t="shared" si="515"/>
        <v>34</v>
      </c>
      <c r="C1538" s="130"/>
      <c r="D1538" s="131"/>
      <c r="E1538" s="131" t="s">
        <v>241</v>
      </c>
      <c r="F1538" s="131" t="s">
        <v>214</v>
      </c>
      <c r="G1538" s="712" t="s">
        <v>807</v>
      </c>
      <c r="H1538" s="713">
        <v>1500</v>
      </c>
      <c r="I1538" s="713"/>
      <c r="J1538" s="713">
        <f t="shared" si="512"/>
        <v>1500</v>
      </c>
      <c r="K1538" s="714"/>
      <c r="L1538" s="853"/>
      <c r="M1538" s="853"/>
      <c r="N1538" s="853"/>
      <c r="O1538" s="714"/>
      <c r="P1538" s="730">
        <f>H1538</f>
        <v>1500</v>
      </c>
      <c r="Q1538" s="730">
        <f t="shared" ref="Q1538:R1538" si="524">I1538</f>
        <v>0</v>
      </c>
      <c r="R1538" s="730">
        <f t="shared" si="524"/>
        <v>1500</v>
      </c>
    </row>
    <row r="1539" spans="2:18" ht="24" x14ac:dyDescent="0.2">
      <c r="B1539" s="171">
        <f t="shared" si="515"/>
        <v>35</v>
      </c>
      <c r="C1539" s="130"/>
      <c r="D1539" s="131"/>
      <c r="E1539" s="834" t="s">
        <v>241</v>
      </c>
      <c r="F1539" s="834" t="s">
        <v>321</v>
      </c>
      <c r="G1539" s="835" t="s">
        <v>806</v>
      </c>
      <c r="H1539" s="713"/>
      <c r="I1539" s="713"/>
      <c r="J1539" s="833">
        <f t="shared" si="512"/>
        <v>0</v>
      </c>
      <c r="K1539" s="714"/>
      <c r="L1539" s="869">
        <v>3500</v>
      </c>
      <c r="M1539" s="869"/>
      <c r="N1539" s="869">
        <f t="shared" si="514"/>
        <v>3500</v>
      </c>
      <c r="O1539" s="739"/>
      <c r="P1539" s="740">
        <f>L1539</f>
        <v>3500</v>
      </c>
      <c r="Q1539" s="740">
        <f t="shared" ref="Q1539:R1539" si="525">M1539</f>
        <v>0</v>
      </c>
      <c r="R1539" s="740">
        <f t="shared" si="525"/>
        <v>3500</v>
      </c>
    </row>
    <row r="1540" spans="2:18" x14ac:dyDescent="0.2">
      <c r="B1540" s="171">
        <f t="shared" si="515"/>
        <v>36</v>
      </c>
      <c r="C1540" s="130"/>
      <c r="D1540" s="131"/>
      <c r="E1540" s="131"/>
      <c r="F1540" s="131"/>
      <c r="G1540" s="194"/>
      <c r="H1540" s="526"/>
      <c r="I1540" s="526"/>
      <c r="J1540" s="526"/>
      <c r="K1540" s="132"/>
      <c r="L1540" s="396"/>
      <c r="M1540" s="396"/>
      <c r="N1540" s="396"/>
      <c r="O1540" s="132"/>
      <c r="P1540" s="167"/>
      <c r="Q1540" s="167"/>
      <c r="R1540" s="167"/>
    </row>
    <row r="1541" spans="2:18" ht="15.75" x14ac:dyDescent="0.25">
      <c r="B1541" s="171">
        <f t="shared" si="515"/>
        <v>37</v>
      </c>
      <c r="C1541" s="21">
        <v>2</v>
      </c>
      <c r="D1541" s="126" t="s">
        <v>167</v>
      </c>
      <c r="E1541" s="22"/>
      <c r="F1541" s="22"/>
      <c r="G1541" s="195"/>
      <c r="H1541" s="411">
        <f>H1542+H1548</f>
        <v>3059001</v>
      </c>
      <c r="I1541" s="411">
        <f t="shared" ref="I1541" si="526">I1542+I1548</f>
        <v>0</v>
      </c>
      <c r="J1541" s="411">
        <f t="shared" si="512"/>
        <v>3059001</v>
      </c>
      <c r="K1541" s="112"/>
      <c r="L1541" s="397">
        <f>L1542+L1548</f>
        <v>89185</v>
      </c>
      <c r="M1541" s="397">
        <f t="shared" ref="M1541" si="527">M1542+M1548</f>
        <v>0</v>
      </c>
      <c r="N1541" s="397">
        <f t="shared" si="514"/>
        <v>89185</v>
      </c>
      <c r="O1541" s="112"/>
      <c r="P1541" s="374">
        <f t="shared" ref="P1541:P1546" si="528">H1541+L1541</f>
        <v>3148186</v>
      </c>
      <c r="Q1541" s="374">
        <f t="shared" ref="Q1541:R1547" si="529">I1541+M1541</f>
        <v>0</v>
      </c>
      <c r="R1541" s="374">
        <f t="shared" si="529"/>
        <v>3148186</v>
      </c>
    </row>
    <row r="1542" spans="2:18" x14ac:dyDescent="0.2">
      <c r="B1542" s="171">
        <f t="shared" si="515"/>
        <v>38</v>
      </c>
      <c r="C1542" s="76"/>
      <c r="D1542" s="177" t="s">
        <v>4</v>
      </c>
      <c r="E1542" s="230"/>
      <c r="F1542" s="230" t="s">
        <v>162</v>
      </c>
      <c r="G1542" s="231"/>
      <c r="H1542" s="387">
        <f>SUM(H1543:H1546)</f>
        <v>3056701</v>
      </c>
      <c r="I1542" s="387">
        <f t="shared" ref="I1542" si="530">SUM(I1543:I1546)</f>
        <v>0</v>
      </c>
      <c r="J1542" s="387">
        <f t="shared" si="512"/>
        <v>3056701</v>
      </c>
      <c r="K1542" s="20"/>
      <c r="L1542" s="527">
        <f>L1547</f>
        <v>950</v>
      </c>
      <c r="M1542" s="527"/>
      <c r="N1542" s="527">
        <f t="shared" si="514"/>
        <v>950</v>
      </c>
      <c r="O1542" s="20"/>
      <c r="P1542" s="166">
        <f t="shared" si="528"/>
        <v>3057651</v>
      </c>
      <c r="Q1542" s="166">
        <f t="shared" si="529"/>
        <v>0</v>
      </c>
      <c r="R1542" s="166">
        <f t="shared" si="529"/>
        <v>3057651</v>
      </c>
    </row>
    <row r="1543" spans="2:18" x14ac:dyDescent="0.2">
      <c r="B1543" s="171">
        <f t="shared" si="515"/>
        <v>39</v>
      </c>
      <c r="C1543" s="130"/>
      <c r="D1543" s="130"/>
      <c r="E1543" s="134" t="s">
        <v>268</v>
      </c>
      <c r="F1543" s="134">
        <v>637</v>
      </c>
      <c r="G1543" s="194" t="s">
        <v>649</v>
      </c>
      <c r="H1543" s="526">
        <f>540000-46000+11200</f>
        <v>505200</v>
      </c>
      <c r="I1543" s="526"/>
      <c r="J1543" s="526">
        <f t="shared" si="512"/>
        <v>505200</v>
      </c>
      <c r="K1543" s="132"/>
      <c r="L1543" s="526"/>
      <c r="M1543" s="526"/>
      <c r="N1543" s="526"/>
      <c r="O1543" s="132"/>
      <c r="P1543" s="168">
        <f t="shared" si="528"/>
        <v>505200</v>
      </c>
      <c r="Q1543" s="168">
        <f t="shared" si="529"/>
        <v>0</v>
      </c>
      <c r="R1543" s="168">
        <f t="shared" si="529"/>
        <v>505200</v>
      </c>
    </row>
    <row r="1544" spans="2:18" x14ac:dyDescent="0.2">
      <c r="B1544" s="171">
        <f t="shared" si="515"/>
        <v>40</v>
      </c>
      <c r="C1544" s="130"/>
      <c r="D1544" s="130"/>
      <c r="E1544" s="134" t="s">
        <v>268</v>
      </c>
      <c r="F1544" s="134">
        <v>637</v>
      </c>
      <c r="G1544" s="194" t="s">
        <v>839</v>
      </c>
      <c r="H1544" s="398">
        <f>2630000-1500-33717-1150-64432-29200</f>
        <v>2500001</v>
      </c>
      <c r="I1544" s="398"/>
      <c r="J1544" s="398">
        <f t="shared" si="512"/>
        <v>2500001</v>
      </c>
      <c r="K1544" s="132"/>
      <c r="L1544" s="526"/>
      <c r="M1544" s="526"/>
      <c r="N1544" s="526"/>
      <c r="O1544" s="132"/>
      <c r="P1544" s="168">
        <f t="shared" si="528"/>
        <v>2500001</v>
      </c>
      <c r="Q1544" s="168">
        <f t="shared" si="529"/>
        <v>0</v>
      </c>
      <c r="R1544" s="168">
        <f t="shared" si="529"/>
        <v>2500001</v>
      </c>
    </row>
    <row r="1545" spans="2:18" x14ac:dyDescent="0.2">
      <c r="B1545" s="171">
        <f t="shared" si="515"/>
        <v>41</v>
      </c>
      <c r="C1545" s="130"/>
      <c r="D1545" s="130"/>
      <c r="E1545" s="134" t="s">
        <v>268</v>
      </c>
      <c r="F1545" s="134">
        <v>637</v>
      </c>
      <c r="G1545" s="194" t="s">
        <v>650</v>
      </c>
      <c r="H1545" s="526">
        <f>50000-1500</f>
        <v>48500</v>
      </c>
      <c r="I1545" s="526"/>
      <c r="J1545" s="526">
        <f t="shared" si="512"/>
        <v>48500</v>
      </c>
      <c r="K1545" s="132"/>
      <c r="L1545" s="526"/>
      <c r="M1545" s="526"/>
      <c r="N1545" s="526"/>
      <c r="O1545" s="132"/>
      <c r="P1545" s="168">
        <f t="shared" si="528"/>
        <v>48500</v>
      </c>
      <c r="Q1545" s="168">
        <f>I1545+M1545</f>
        <v>0</v>
      </c>
      <c r="R1545" s="168">
        <f t="shared" si="529"/>
        <v>48500</v>
      </c>
    </row>
    <row r="1546" spans="2:18" x14ac:dyDescent="0.2">
      <c r="B1546" s="171">
        <f t="shared" si="515"/>
        <v>42</v>
      </c>
      <c r="C1546" s="130"/>
      <c r="D1546" s="130"/>
      <c r="E1546" s="161" t="s">
        <v>268</v>
      </c>
      <c r="F1546" s="161">
        <v>637</v>
      </c>
      <c r="G1546" s="194" t="s">
        <v>731</v>
      </c>
      <c r="H1546" s="526">
        <f>6000-3000</f>
        <v>3000</v>
      </c>
      <c r="I1546" s="526"/>
      <c r="J1546" s="526">
        <f t="shared" si="512"/>
        <v>3000</v>
      </c>
      <c r="K1546" s="132"/>
      <c r="L1546" s="527"/>
      <c r="M1546" s="527"/>
      <c r="N1546" s="527"/>
      <c r="O1546" s="132"/>
      <c r="P1546" s="168">
        <f t="shared" si="528"/>
        <v>3000</v>
      </c>
      <c r="Q1546" s="168">
        <f t="shared" si="529"/>
        <v>0</v>
      </c>
      <c r="R1546" s="168">
        <f t="shared" si="529"/>
        <v>3000</v>
      </c>
    </row>
    <row r="1547" spans="2:18" x14ac:dyDescent="0.2">
      <c r="B1547" s="171">
        <f t="shared" si="515"/>
        <v>43</v>
      </c>
      <c r="C1547" s="130"/>
      <c r="D1547" s="130"/>
      <c r="E1547" s="161" t="s">
        <v>268</v>
      </c>
      <c r="F1547" s="161">
        <v>717</v>
      </c>
      <c r="G1547" s="194" t="s">
        <v>827</v>
      </c>
      <c r="H1547" s="526"/>
      <c r="I1547" s="526"/>
      <c r="J1547" s="526"/>
      <c r="K1547" s="132"/>
      <c r="L1547" s="527">
        <v>950</v>
      </c>
      <c r="M1547" s="527"/>
      <c r="N1547" s="527">
        <f t="shared" si="514"/>
        <v>950</v>
      </c>
      <c r="O1547" s="132"/>
      <c r="P1547" s="167">
        <v>950</v>
      </c>
      <c r="Q1547" s="168">
        <f t="shared" si="529"/>
        <v>0</v>
      </c>
      <c r="R1547" s="167">
        <v>952</v>
      </c>
    </row>
    <row r="1548" spans="2:18" x14ac:dyDescent="0.2">
      <c r="B1548" s="171">
        <f t="shared" si="515"/>
        <v>44</v>
      </c>
      <c r="C1548" s="76"/>
      <c r="D1548" s="177" t="s">
        <v>5</v>
      </c>
      <c r="E1548" s="230"/>
      <c r="F1548" s="230" t="s">
        <v>105</v>
      </c>
      <c r="G1548" s="231"/>
      <c r="H1548" s="387">
        <f>H1549</f>
        <v>2300</v>
      </c>
      <c r="I1548" s="387">
        <f t="shared" ref="I1548" si="531">I1549</f>
        <v>0</v>
      </c>
      <c r="J1548" s="387">
        <f t="shared" si="512"/>
        <v>2300</v>
      </c>
      <c r="K1548" s="20"/>
      <c r="L1548" s="527">
        <f>SUM(L1549:L1551)</f>
        <v>88235</v>
      </c>
      <c r="M1548" s="527"/>
      <c r="N1548" s="527">
        <f t="shared" si="514"/>
        <v>88235</v>
      </c>
      <c r="O1548" s="20"/>
      <c r="P1548" s="166">
        <f t="shared" ref="P1548:P1580" si="532">H1548+L1548</f>
        <v>90535</v>
      </c>
      <c r="Q1548" s="166">
        <f t="shared" ref="Q1548:R1563" si="533">I1548+M1548</f>
        <v>0</v>
      </c>
      <c r="R1548" s="166">
        <f t="shared" si="533"/>
        <v>90535</v>
      </c>
    </row>
    <row r="1549" spans="2:18" x14ac:dyDescent="0.2">
      <c r="B1549" s="171">
        <f t="shared" si="515"/>
        <v>45</v>
      </c>
      <c r="C1549" s="130"/>
      <c r="D1549" s="130"/>
      <c r="E1549" s="134" t="s">
        <v>268</v>
      </c>
      <c r="F1549" s="134">
        <v>637</v>
      </c>
      <c r="G1549" s="194" t="s">
        <v>269</v>
      </c>
      <c r="H1549" s="526">
        <v>2300</v>
      </c>
      <c r="I1549" s="526"/>
      <c r="J1549" s="526">
        <f t="shared" si="512"/>
        <v>2300</v>
      </c>
      <c r="K1549" s="132"/>
      <c r="L1549" s="526"/>
      <c r="M1549" s="526"/>
      <c r="N1549" s="526"/>
      <c r="O1549" s="132"/>
      <c r="P1549" s="168">
        <f t="shared" si="532"/>
        <v>2300</v>
      </c>
      <c r="Q1549" s="168">
        <f t="shared" si="533"/>
        <v>0</v>
      </c>
      <c r="R1549" s="168">
        <f t="shared" si="533"/>
        <v>2300</v>
      </c>
    </row>
    <row r="1550" spans="2:18" x14ac:dyDescent="0.2">
      <c r="B1550" s="171">
        <f t="shared" si="515"/>
        <v>46</v>
      </c>
      <c r="C1550" s="130"/>
      <c r="D1550" s="159"/>
      <c r="E1550" s="134" t="s">
        <v>268</v>
      </c>
      <c r="F1550" s="134">
        <v>717</v>
      </c>
      <c r="G1550" s="194" t="s">
        <v>433</v>
      </c>
      <c r="H1550" s="382"/>
      <c r="I1550" s="382"/>
      <c r="J1550" s="382">
        <f t="shared" si="512"/>
        <v>0</v>
      </c>
      <c r="K1550" s="132"/>
      <c r="L1550" s="382">
        <v>65060</v>
      </c>
      <c r="M1550" s="382"/>
      <c r="N1550" s="382">
        <f t="shared" si="514"/>
        <v>65060</v>
      </c>
      <c r="O1550" s="132"/>
      <c r="P1550" s="213">
        <f t="shared" si="532"/>
        <v>65060</v>
      </c>
      <c r="Q1550" s="213">
        <f t="shared" si="533"/>
        <v>0</v>
      </c>
      <c r="R1550" s="213">
        <f t="shared" si="533"/>
        <v>65060</v>
      </c>
    </row>
    <row r="1551" spans="2:18" ht="22.5" x14ac:dyDescent="0.2">
      <c r="B1551" s="171">
        <f t="shared" si="515"/>
        <v>47</v>
      </c>
      <c r="C1551" s="454"/>
      <c r="D1551" s="464"/>
      <c r="E1551" s="451" t="s">
        <v>268</v>
      </c>
      <c r="F1551" s="451">
        <v>717</v>
      </c>
      <c r="G1551" s="450" t="s">
        <v>580</v>
      </c>
      <c r="H1551" s="465"/>
      <c r="I1551" s="465"/>
      <c r="J1551" s="465">
        <f t="shared" si="512"/>
        <v>0</v>
      </c>
      <c r="K1551" s="448"/>
      <c r="L1551" s="465">
        <v>23175</v>
      </c>
      <c r="M1551" s="465"/>
      <c r="N1551" s="465">
        <f t="shared" si="514"/>
        <v>23175</v>
      </c>
      <c r="O1551" s="448"/>
      <c r="P1551" s="466">
        <f t="shared" si="532"/>
        <v>23175</v>
      </c>
      <c r="Q1551" s="466">
        <f t="shared" si="533"/>
        <v>0</v>
      </c>
      <c r="R1551" s="466">
        <f t="shared" si="533"/>
        <v>23175</v>
      </c>
    </row>
    <row r="1552" spans="2:18" ht="15.75" x14ac:dyDescent="0.25">
      <c r="B1552" s="171">
        <f t="shared" si="515"/>
        <v>48</v>
      </c>
      <c r="C1552" s="23">
        <v>3</v>
      </c>
      <c r="D1552" s="127" t="s">
        <v>144</v>
      </c>
      <c r="E1552" s="24"/>
      <c r="F1552" s="24"/>
      <c r="G1552" s="193"/>
      <c r="H1552" s="414">
        <f>SUM(H1553:H1558)</f>
        <v>16650</v>
      </c>
      <c r="I1552" s="414">
        <f t="shared" ref="I1552" si="534">SUM(I1553:I1558)</f>
        <v>0</v>
      </c>
      <c r="J1552" s="414">
        <f t="shared" si="512"/>
        <v>16650</v>
      </c>
      <c r="K1552" s="88"/>
      <c r="L1552" s="870">
        <f>SUM(L1553:L1554)</f>
        <v>0</v>
      </c>
      <c r="M1552" s="870">
        <f t="shared" ref="M1552" si="535">SUM(M1553:M1554)</f>
        <v>0</v>
      </c>
      <c r="N1552" s="870">
        <f t="shared" si="514"/>
        <v>0</v>
      </c>
      <c r="O1552" s="88"/>
      <c r="P1552" s="373">
        <f t="shared" si="532"/>
        <v>16650</v>
      </c>
      <c r="Q1552" s="373">
        <f t="shared" si="533"/>
        <v>0</v>
      </c>
      <c r="R1552" s="373">
        <f t="shared" si="533"/>
        <v>16650</v>
      </c>
    </row>
    <row r="1553" spans="2:18" x14ac:dyDescent="0.2">
      <c r="B1553" s="171">
        <f t="shared" si="515"/>
        <v>49</v>
      </c>
      <c r="C1553" s="135"/>
      <c r="D1553" s="135"/>
      <c r="E1553" s="524" t="s">
        <v>270</v>
      </c>
      <c r="F1553" s="524">
        <v>637</v>
      </c>
      <c r="G1553" s="202" t="s">
        <v>271</v>
      </c>
      <c r="H1553" s="526">
        <v>7000</v>
      </c>
      <c r="I1553" s="526"/>
      <c r="J1553" s="526">
        <f t="shared" si="512"/>
        <v>7000</v>
      </c>
      <c r="K1553" s="132"/>
      <c r="L1553" s="526"/>
      <c r="M1553" s="526"/>
      <c r="N1553" s="526"/>
      <c r="O1553" s="132"/>
      <c r="P1553" s="168">
        <f t="shared" si="532"/>
        <v>7000</v>
      </c>
      <c r="Q1553" s="168">
        <f t="shared" si="533"/>
        <v>0</v>
      </c>
      <c r="R1553" s="168">
        <f t="shared" si="533"/>
        <v>7000</v>
      </c>
    </row>
    <row r="1554" spans="2:18" x14ac:dyDescent="0.2">
      <c r="B1554" s="171">
        <f t="shared" si="515"/>
        <v>50</v>
      </c>
      <c r="C1554" s="130"/>
      <c r="D1554" s="130"/>
      <c r="E1554" s="524" t="s">
        <v>270</v>
      </c>
      <c r="F1554" s="134">
        <v>633</v>
      </c>
      <c r="G1554" s="194" t="s">
        <v>500</v>
      </c>
      <c r="H1554" s="526">
        <v>100</v>
      </c>
      <c r="I1554" s="526"/>
      <c r="J1554" s="526">
        <f t="shared" si="512"/>
        <v>100</v>
      </c>
      <c r="K1554" s="132"/>
      <c r="L1554" s="526"/>
      <c r="M1554" s="526"/>
      <c r="N1554" s="526"/>
      <c r="O1554" s="132"/>
      <c r="P1554" s="168">
        <f t="shared" si="532"/>
        <v>100</v>
      </c>
      <c r="Q1554" s="168">
        <f t="shared" si="533"/>
        <v>0</v>
      </c>
      <c r="R1554" s="168">
        <f t="shared" si="533"/>
        <v>100</v>
      </c>
    </row>
    <row r="1555" spans="2:18" x14ac:dyDescent="0.2">
      <c r="B1555" s="171">
        <f t="shared" si="515"/>
        <v>51</v>
      </c>
      <c r="C1555" s="130"/>
      <c r="D1555" s="159"/>
      <c r="E1555" s="524" t="s">
        <v>270</v>
      </c>
      <c r="F1555" s="524">
        <v>637</v>
      </c>
      <c r="G1555" s="194" t="s">
        <v>544</v>
      </c>
      <c r="H1555" s="382">
        <v>900</v>
      </c>
      <c r="I1555" s="382"/>
      <c r="J1555" s="382">
        <f t="shared" si="512"/>
        <v>900</v>
      </c>
      <c r="K1555" s="132"/>
      <c r="L1555" s="382"/>
      <c r="M1555" s="382"/>
      <c r="N1555" s="382"/>
      <c r="O1555" s="132"/>
      <c r="P1555" s="213">
        <f t="shared" si="532"/>
        <v>900</v>
      </c>
      <c r="Q1555" s="213">
        <f t="shared" si="533"/>
        <v>0</v>
      </c>
      <c r="R1555" s="213">
        <f t="shared" si="533"/>
        <v>900</v>
      </c>
    </row>
    <row r="1556" spans="2:18" x14ac:dyDescent="0.2">
      <c r="B1556" s="171">
        <f t="shared" si="515"/>
        <v>52</v>
      </c>
      <c r="C1556" s="130"/>
      <c r="D1556" s="159"/>
      <c r="E1556" s="524" t="s">
        <v>270</v>
      </c>
      <c r="F1556" s="524">
        <v>637</v>
      </c>
      <c r="G1556" s="194" t="s">
        <v>829</v>
      </c>
      <c r="H1556" s="382">
        <v>1150</v>
      </c>
      <c r="I1556" s="382"/>
      <c r="J1556" s="382">
        <f t="shared" si="512"/>
        <v>1150</v>
      </c>
      <c r="K1556" s="132"/>
      <c r="L1556" s="382"/>
      <c r="M1556" s="382"/>
      <c r="N1556" s="382"/>
      <c r="O1556" s="132"/>
      <c r="P1556" s="213">
        <f t="shared" si="532"/>
        <v>1150</v>
      </c>
      <c r="Q1556" s="213">
        <f t="shared" si="533"/>
        <v>0</v>
      </c>
      <c r="R1556" s="213">
        <f t="shared" si="533"/>
        <v>1150</v>
      </c>
    </row>
    <row r="1557" spans="2:18" ht="36" x14ac:dyDescent="0.2">
      <c r="B1557" s="171">
        <f t="shared" si="515"/>
        <v>53</v>
      </c>
      <c r="C1557" s="454"/>
      <c r="D1557" s="464"/>
      <c r="E1557" s="458" t="s">
        <v>276</v>
      </c>
      <c r="F1557" s="458">
        <v>640</v>
      </c>
      <c r="G1557" s="495" t="s">
        <v>843</v>
      </c>
      <c r="H1557" s="465">
        <v>2500</v>
      </c>
      <c r="I1557" s="465"/>
      <c r="J1557" s="465">
        <f t="shared" si="512"/>
        <v>2500</v>
      </c>
      <c r="K1557" s="448"/>
      <c r="L1557" s="465"/>
      <c r="M1557" s="465"/>
      <c r="N1557" s="465"/>
      <c r="O1557" s="448"/>
      <c r="P1557" s="466">
        <f t="shared" si="532"/>
        <v>2500</v>
      </c>
      <c r="Q1557" s="466">
        <f t="shared" si="533"/>
        <v>0</v>
      </c>
      <c r="R1557" s="466">
        <f t="shared" si="533"/>
        <v>2500</v>
      </c>
    </row>
    <row r="1558" spans="2:18" ht="24" x14ac:dyDescent="0.2">
      <c r="B1558" s="171">
        <f t="shared" si="515"/>
        <v>54</v>
      </c>
      <c r="C1558" s="454"/>
      <c r="D1558" s="464"/>
      <c r="E1558" s="458" t="s">
        <v>276</v>
      </c>
      <c r="F1558" s="458">
        <v>640</v>
      </c>
      <c r="G1558" s="495" t="s">
        <v>857</v>
      </c>
      <c r="H1558" s="465">
        <v>5000</v>
      </c>
      <c r="I1558" s="465"/>
      <c r="J1558" s="465">
        <f t="shared" si="512"/>
        <v>5000</v>
      </c>
      <c r="K1558" s="448"/>
      <c r="L1558" s="465"/>
      <c r="M1558" s="465"/>
      <c r="N1558" s="465"/>
      <c r="O1558" s="448"/>
      <c r="P1558" s="466">
        <f t="shared" si="532"/>
        <v>5000</v>
      </c>
      <c r="Q1558" s="466">
        <f t="shared" si="533"/>
        <v>0</v>
      </c>
      <c r="R1558" s="466">
        <f t="shared" si="533"/>
        <v>5000</v>
      </c>
    </row>
    <row r="1559" spans="2:18" ht="15.75" x14ac:dyDescent="0.25">
      <c r="B1559" s="171">
        <f t="shared" si="515"/>
        <v>55</v>
      </c>
      <c r="C1559" s="23">
        <v>4</v>
      </c>
      <c r="D1559" s="127" t="s">
        <v>115</v>
      </c>
      <c r="E1559" s="24"/>
      <c r="F1559" s="24"/>
      <c r="G1559" s="193"/>
      <c r="H1559" s="414">
        <f>H1560</f>
        <v>15000</v>
      </c>
      <c r="I1559" s="414">
        <f t="shared" ref="I1559" si="536">I1560</f>
        <v>0</v>
      </c>
      <c r="J1559" s="414">
        <f t="shared" si="512"/>
        <v>15000</v>
      </c>
      <c r="K1559" s="88"/>
      <c r="L1559" s="870">
        <v>0</v>
      </c>
      <c r="M1559" s="870">
        <v>0</v>
      </c>
      <c r="N1559" s="870">
        <f t="shared" si="514"/>
        <v>0</v>
      </c>
      <c r="O1559" s="88"/>
      <c r="P1559" s="373">
        <f t="shared" si="532"/>
        <v>15000</v>
      </c>
      <c r="Q1559" s="373">
        <f t="shared" si="533"/>
        <v>0</v>
      </c>
      <c r="R1559" s="373">
        <f t="shared" si="533"/>
        <v>15000</v>
      </c>
    </row>
    <row r="1560" spans="2:18" ht="24" x14ac:dyDescent="0.2">
      <c r="B1560" s="171">
        <f t="shared" si="515"/>
        <v>56</v>
      </c>
      <c r="C1560" s="457"/>
      <c r="D1560" s="457"/>
      <c r="E1560" s="458" t="s">
        <v>241</v>
      </c>
      <c r="F1560" s="458">
        <v>640</v>
      </c>
      <c r="G1560" s="602" t="s">
        <v>577</v>
      </c>
      <c r="H1560" s="531">
        <v>15000</v>
      </c>
      <c r="I1560" s="531"/>
      <c r="J1560" s="531">
        <f t="shared" si="512"/>
        <v>15000</v>
      </c>
      <c r="K1560" s="448"/>
      <c r="L1560" s="531"/>
      <c r="M1560" s="531"/>
      <c r="N1560" s="531"/>
      <c r="O1560" s="448"/>
      <c r="P1560" s="459">
        <f t="shared" si="532"/>
        <v>15000</v>
      </c>
      <c r="Q1560" s="459">
        <f t="shared" si="533"/>
        <v>0</v>
      </c>
      <c r="R1560" s="459">
        <f t="shared" si="533"/>
        <v>15000</v>
      </c>
    </row>
    <row r="1561" spans="2:18" ht="15.75" x14ac:dyDescent="0.25">
      <c r="B1561" s="171">
        <f t="shared" si="515"/>
        <v>57</v>
      </c>
      <c r="C1561" s="23">
        <v>5</v>
      </c>
      <c r="D1561" s="127" t="s">
        <v>116</v>
      </c>
      <c r="E1561" s="24"/>
      <c r="F1561" s="24"/>
      <c r="G1561" s="193"/>
      <c r="H1561" s="414">
        <f>H1562</f>
        <v>11645</v>
      </c>
      <c r="I1561" s="414">
        <f t="shared" ref="I1561" si="537">I1562</f>
        <v>-350</v>
      </c>
      <c r="J1561" s="414">
        <f t="shared" si="512"/>
        <v>11295</v>
      </c>
      <c r="K1561" s="88"/>
      <c r="L1561" s="870">
        <v>0</v>
      </c>
      <c r="M1561" s="870">
        <v>0</v>
      </c>
      <c r="N1561" s="870">
        <f t="shared" si="514"/>
        <v>0</v>
      </c>
      <c r="O1561" s="88"/>
      <c r="P1561" s="373">
        <f t="shared" si="532"/>
        <v>11645</v>
      </c>
      <c r="Q1561" s="373">
        <f t="shared" si="533"/>
        <v>-350</v>
      </c>
      <c r="R1561" s="373">
        <f t="shared" si="533"/>
        <v>11295</v>
      </c>
    </row>
    <row r="1562" spans="2:18" x14ac:dyDescent="0.2">
      <c r="B1562" s="171">
        <f t="shared" si="515"/>
        <v>58</v>
      </c>
      <c r="C1562" s="135"/>
      <c r="D1562" s="135"/>
      <c r="E1562" s="156" t="s">
        <v>241</v>
      </c>
      <c r="F1562" s="156"/>
      <c r="G1562" s="224" t="s">
        <v>444</v>
      </c>
      <c r="H1562" s="387">
        <f>H1563+H1564+H1565</f>
        <v>11645</v>
      </c>
      <c r="I1562" s="387">
        <f t="shared" ref="I1562" si="538">I1563+I1564+I1565</f>
        <v>-350</v>
      </c>
      <c r="J1562" s="387">
        <f t="shared" si="512"/>
        <v>11295</v>
      </c>
      <c r="K1562" s="132"/>
      <c r="L1562" s="526"/>
      <c r="M1562" s="526"/>
      <c r="N1562" s="526"/>
      <c r="O1562" s="132"/>
      <c r="P1562" s="530">
        <f t="shared" si="532"/>
        <v>11645</v>
      </c>
      <c r="Q1562" s="530">
        <f t="shared" si="533"/>
        <v>-350</v>
      </c>
      <c r="R1562" s="530">
        <f t="shared" si="533"/>
        <v>11295</v>
      </c>
    </row>
    <row r="1563" spans="2:18" x14ac:dyDescent="0.2">
      <c r="B1563" s="171">
        <f t="shared" si="515"/>
        <v>59</v>
      </c>
      <c r="C1563" s="130"/>
      <c r="D1563" s="130"/>
      <c r="E1563" s="149"/>
      <c r="F1563" s="149">
        <v>610</v>
      </c>
      <c r="G1563" s="199" t="s">
        <v>257</v>
      </c>
      <c r="H1563" s="388">
        <v>1100</v>
      </c>
      <c r="I1563" s="388"/>
      <c r="J1563" s="388">
        <f t="shared" si="512"/>
        <v>1100</v>
      </c>
      <c r="K1563" s="132"/>
      <c r="L1563" s="526"/>
      <c r="M1563" s="526"/>
      <c r="N1563" s="526"/>
      <c r="O1563" s="132"/>
      <c r="P1563" s="530">
        <f t="shared" si="532"/>
        <v>1100</v>
      </c>
      <c r="Q1563" s="530">
        <f t="shared" si="533"/>
        <v>0</v>
      </c>
      <c r="R1563" s="530">
        <f t="shared" si="533"/>
        <v>1100</v>
      </c>
    </row>
    <row r="1564" spans="2:18" x14ac:dyDescent="0.2">
      <c r="B1564" s="171">
        <f t="shared" si="515"/>
        <v>60</v>
      </c>
      <c r="C1564" s="130"/>
      <c r="D1564" s="130"/>
      <c r="E1564" s="134"/>
      <c r="F1564" s="149">
        <v>620</v>
      </c>
      <c r="G1564" s="199" t="s">
        <v>259</v>
      </c>
      <c r="H1564" s="388">
        <v>395</v>
      </c>
      <c r="I1564" s="388"/>
      <c r="J1564" s="388">
        <f t="shared" si="512"/>
        <v>395</v>
      </c>
      <c r="K1564" s="132"/>
      <c r="L1564" s="526"/>
      <c r="M1564" s="526"/>
      <c r="N1564" s="526"/>
      <c r="O1564" s="132"/>
      <c r="P1564" s="530">
        <f t="shared" si="532"/>
        <v>395</v>
      </c>
      <c r="Q1564" s="530">
        <f t="shared" ref="Q1564:R1579" si="539">I1564+M1564</f>
        <v>0</v>
      </c>
      <c r="R1564" s="530">
        <f t="shared" si="539"/>
        <v>395</v>
      </c>
    </row>
    <row r="1565" spans="2:18" x14ac:dyDescent="0.2">
      <c r="B1565" s="171">
        <f t="shared" si="515"/>
        <v>61</v>
      </c>
      <c r="C1565" s="130"/>
      <c r="D1565" s="130"/>
      <c r="E1565" s="134"/>
      <c r="F1565" s="149">
        <v>630</v>
      </c>
      <c r="G1565" s="199" t="s">
        <v>236</v>
      </c>
      <c r="H1565" s="388">
        <f>SUM(H1566:H1568)</f>
        <v>10150</v>
      </c>
      <c r="I1565" s="388">
        <f>SUM(I1566:I1568)</f>
        <v>-350</v>
      </c>
      <c r="J1565" s="388">
        <f t="shared" si="512"/>
        <v>9800</v>
      </c>
      <c r="K1565" s="132"/>
      <c r="L1565" s="526"/>
      <c r="M1565" s="526"/>
      <c r="N1565" s="526"/>
      <c r="O1565" s="132"/>
      <c r="P1565" s="530">
        <f t="shared" si="532"/>
        <v>10150</v>
      </c>
      <c r="Q1565" s="530">
        <f t="shared" si="539"/>
        <v>-350</v>
      </c>
      <c r="R1565" s="530">
        <f t="shared" si="539"/>
        <v>9800</v>
      </c>
    </row>
    <row r="1566" spans="2:18" x14ac:dyDescent="0.2">
      <c r="B1566" s="171">
        <f t="shared" si="515"/>
        <v>62</v>
      </c>
      <c r="C1566" s="130"/>
      <c r="D1566" s="130"/>
      <c r="E1566" s="134"/>
      <c r="F1566" s="134">
        <v>632</v>
      </c>
      <c r="G1566" s="194" t="s">
        <v>246</v>
      </c>
      <c r="H1566" s="526">
        <v>5000</v>
      </c>
      <c r="I1566" s="526">
        <v>-350</v>
      </c>
      <c r="J1566" s="526">
        <f t="shared" si="512"/>
        <v>4650</v>
      </c>
      <c r="K1566" s="132"/>
      <c r="L1566" s="526"/>
      <c r="M1566" s="526"/>
      <c r="N1566" s="526"/>
      <c r="O1566" s="132"/>
      <c r="P1566" s="168">
        <f t="shared" si="532"/>
        <v>5000</v>
      </c>
      <c r="Q1566" s="168">
        <f t="shared" si="539"/>
        <v>-350</v>
      </c>
      <c r="R1566" s="168">
        <f t="shared" si="539"/>
        <v>4650</v>
      </c>
    </row>
    <row r="1567" spans="2:18" x14ac:dyDescent="0.2">
      <c r="B1567" s="171">
        <f t="shared" si="515"/>
        <v>63</v>
      </c>
      <c r="C1567" s="130"/>
      <c r="D1567" s="130"/>
      <c r="E1567" s="134"/>
      <c r="F1567" s="134">
        <v>633</v>
      </c>
      <c r="G1567" s="194" t="s">
        <v>247</v>
      </c>
      <c r="H1567" s="526">
        <f>1250+2000</f>
        <v>3250</v>
      </c>
      <c r="I1567" s="526"/>
      <c r="J1567" s="526">
        <f t="shared" si="512"/>
        <v>3250</v>
      </c>
      <c r="K1567" s="132"/>
      <c r="L1567" s="526"/>
      <c r="M1567" s="526"/>
      <c r="N1567" s="526"/>
      <c r="O1567" s="132"/>
      <c r="P1567" s="168">
        <f t="shared" si="532"/>
        <v>3250</v>
      </c>
      <c r="Q1567" s="168">
        <f t="shared" si="539"/>
        <v>0</v>
      </c>
      <c r="R1567" s="168">
        <f t="shared" si="539"/>
        <v>3250</v>
      </c>
    </row>
    <row r="1568" spans="2:18" x14ac:dyDescent="0.2">
      <c r="B1568" s="171">
        <f t="shared" si="515"/>
        <v>64</v>
      </c>
      <c r="C1568" s="130"/>
      <c r="D1568" s="130"/>
      <c r="E1568" s="134"/>
      <c r="F1568" s="134">
        <v>637</v>
      </c>
      <c r="G1568" s="194" t="s">
        <v>248</v>
      </c>
      <c r="H1568" s="526">
        <v>1900</v>
      </c>
      <c r="I1568" s="526"/>
      <c r="J1568" s="526">
        <f t="shared" si="512"/>
        <v>1900</v>
      </c>
      <c r="K1568" s="132"/>
      <c r="L1568" s="526"/>
      <c r="M1568" s="526"/>
      <c r="N1568" s="526"/>
      <c r="O1568" s="132"/>
      <c r="P1568" s="168">
        <f t="shared" si="532"/>
        <v>1900</v>
      </c>
      <c r="Q1568" s="168">
        <f t="shared" si="539"/>
        <v>0</v>
      </c>
      <c r="R1568" s="168">
        <f t="shared" si="539"/>
        <v>1900</v>
      </c>
    </row>
    <row r="1569" spans="2:18" ht="15.75" x14ac:dyDescent="0.25">
      <c r="B1569" s="171">
        <f t="shared" si="515"/>
        <v>65</v>
      </c>
      <c r="C1569" s="23">
        <v>6</v>
      </c>
      <c r="D1569" s="127" t="s">
        <v>176</v>
      </c>
      <c r="E1569" s="24"/>
      <c r="F1569" s="24"/>
      <c r="G1569" s="193"/>
      <c r="H1569" s="414">
        <f>H1570</f>
        <v>191600</v>
      </c>
      <c r="I1569" s="414">
        <f t="shared" ref="I1569" si="540">I1570</f>
        <v>350</v>
      </c>
      <c r="J1569" s="414">
        <f t="shared" si="512"/>
        <v>191950</v>
      </c>
      <c r="K1569" s="88"/>
      <c r="L1569" s="870">
        <f>SUM(L1570:L1580)</f>
        <v>0</v>
      </c>
      <c r="M1569" s="870">
        <f t="shared" ref="M1569" si="541">SUM(M1570:M1580)</f>
        <v>0</v>
      </c>
      <c r="N1569" s="870">
        <f t="shared" si="514"/>
        <v>0</v>
      </c>
      <c r="O1569" s="88"/>
      <c r="P1569" s="373">
        <f t="shared" si="532"/>
        <v>191600</v>
      </c>
      <c r="Q1569" s="373">
        <f t="shared" si="539"/>
        <v>350</v>
      </c>
      <c r="R1569" s="373">
        <f t="shared" si="539"/>
        <v>191950</v>
      </c>
    </row>
    <row r="1570" spans="2:18" x14ac:dyDescent="0.2">
      <c r="B1570" s="171">
        <f t="shared" si="515"/>
        <v>66</v>
      </c>
      <c r="C1570" s="135"/>
      <c r="D1570" s="135"/>
      <c r="E1570" s="156" t="s">
        <v>241</v>
      </c>
      <c r="F1570" s="156"/>
      <c r="G1570" s="224" t="s">
        <v>444</v>
      </c>
      <c r="H1570" s="387">
        <f>H1571+H1572+H1573+H1580</f>
        <v>191600</v>
      </c>
      <c r="I1570" s="387">
        <f t="shared" ref="I1570" si="542">I1571+I1572+I1573+I1580</f>
        <v>350</v>
      </c>
      <c r="J1570" s="387">
        <f t="shared" si="512"/>
        <v>191950</v>
      </c>
      <c r="K1570" s="132"/>
      <c r="L1570" s="526"/>
      <c r="M1570" s="526"/>
      <c r="N1570" s="526"/>
      <c r="O1570" s="132"/>
      <c r="P1570" s="530">
        <f t="shared" si="532"/>
        <v>191600</v>
      </c>
      <c r="Q1570" s="530">
        <f t="shared" si="539"/>
        <v>350</v>
      </c>
      <c r="R1570" s="530">
        <f t="shared" si="539"/>
        <v>191950</v>
      </c>
    </row>
    <row r="1571" spans="2:18" x14ac:dyDescent="0.2">
      <c r="B1571" s="171">
        <f t="shared" si="515"/>
        <v>67</v>
      </c>
      <c r="C1571" s="130"/>
      <c r="D1571" s="130"/>
      <c r="E1571" s="149"/>
      <c r="F1571" s="149">
        <v>610</v>
      </c>
      <c r="G1571" s="199" t="s">
        <v>257</v>
      </c>
      <c r="H1571" s="388">
        <f>49800+17900+18200</f>
        <v>85900</v>
      </c>
      <c r="I1571" s="388"/>
      <c r="J1571" s="388">
        <f t="shared" ref="J1571:J1580" si="543">H1571+I1571</f>
        <v>85900</v>
      </c>
      <c r="K1571" s="132"/>
      <c r="L1571" s="526"/>
      <c r="M1571" s="526"/>
      <c r="N1571" s="526"/>
      <c r="O1571" s="132"/>
      <c r="P1571" s="530">
        <f t="shared" si="532"/>
        <v>85900</v>
      </c>
      <c r="Q1571" s="530">
        <f t="shared" si="539"/>
        <v>0</v>
      </c>
      <c r="R1571" s="530">
        <f t="shared" si="539"/>
        <v>85900</v>
      </c>
    </row>
    <row r="1572" spans="2:18" x14ac:dyDescent="0.2">
      <c r="B1572" s="171">
        <f t="shared" ref="B1572:B1580" si="544">B1571+1</f>
        <v>68</v>
      </c>
      <c r="C1572" s="130"/>
      <c r="D1572" s="130"/>
      <c r="E1572" s="134"/>
      <c r="F1572" s="149">
        <v>620</v>
      </c>
      <c r="G1572" s="199" t="s">
        <v>259</v>
      </c>
      <c r="H1572" s="388">
        <f>10150+1420+14210+815+3045+1015+4825+1080</f>
        <v>36560</v>
      </c>
      <c r="I1572" s="388"/>
      <c r="J1572" s="388">
        <f t="shared" si="543"/>
        <v>36560</v>
      </c>
      <c r="K1572" s="132"/>
      <c r="L1572" s="526"/>
      <c r="M1572" s="526"/>
      <c r="N1572" s="526"/>
      <c r="O1572" s="132"/>
      <c r="P1572" s="530">
        <f t="shared" si="532"/>
        <v>36560</v>
      </c>
      <c r="Q1572" s="530">
        <f t="shared" si="539"/>
        <v>0</v>
      </c>
      <c r="R1572" s="530">
        <f t="shared" si="539"/>
        <v>36560</v>
      </c>
    </row>
    <row r="1573" spans="2:18" x14ac:dyDescent="0.2">
      <c r="B1573" s="171">
        <f t="shared" si="544"/>
        <v>69</v>
      </c>
      <c r="C1573" s="130"/>
      <c r="D1573" s="130"/>
      <c r="E1573" s="134"/>
      <c r="F1573" s="149">
        <v>630</v>
      </c>
      <c r="G1573" s="199" t="s">
        <v>236</v>
      </c>
      <c r="H1573" s="388">
        <f>SUM(H1574:H1579)</f>
        <v>65790</v>
      </c>
      <c r="I1573" s="388">
        <f>SUM(I1574:I1579)</f>
        <v>350</v>
      </c>
      <c r="J1573" s="388">
        <f t="shared" si="543"/>
        <v>66140</v>
      </c>
      <c r="K1573" s="132"/>
      <c r="L1573" s="526"/>
      <c r="M1573" s="526"/>
      <c r="N1573" s="526"/>
      <c r="O1573" s="132"/>
      <c r="P1573" s="530">
        <f t="shared" si="532"/>
        <v>65790</v>
      </c>
      <c r="Q1573" s="530">
        <f t="shared" si="539"/>
        <v>350</v>
      </c>
      <c r="R1573" s="530">
        <f t="shared" si="539"/>
        <v>66140</v>
      </c>
    </row>
    <row r="1574" spans="2:18" x14ac:dyDescent="0.2">
      <c r="B1574" s="171">
        <f t="shared" si="544"/>
        <v>70</v>
      </c>
      <c r="C1574" s="130"/>
      <c r="D1574" s="130"/>
      <c r="E1574" s="134"/>
      <c r="F1574" s="134">
        <v>631</v>
      </c>
      <c r="G1574" s="194" t="s">
        <v>519</v>
      </c>
      <c r="H1574" s="526">
        <f>100</f>
        <v>100</v>
      </c>
      <c r="I1574" s="526"/>
      <c r="J1574" s="526">
        <f t="shared" si="543"/>
        <v>100</v>
      </c>
      <c r="K1574" s="132"/>
      <c r="L1574" s="526"/>
      <c r="M1574" s="526"/>
      <c r="N1574" s="526"/>
      <c r="O1574" s="132"/>
      <c r="P1574" s="168">
        <f t="shared" si="532"/>
        <v>100</v>
      </c>
      <c r="Q1574" s="168">
        <f t="shared" si="539"/>
        <v>0</v>
      </c>
      <c r="R1574" s="168">
        <f t="shared" si="539"/>
        <v>100</v>
      </c>
    </row>
    <row r="1575" spans="2:18" x14ac:dyDescent="0.2">
      <c r="B1575" s="171">
        <f t="shared" si="544"/>
        <v>71</v>
      </c>
      <c r="C1575" s="130"/>
      <c r="D1575" s="130"/>
      <c r="E1575" s="134"/>
      <c r="F1575" s="134">
        <v>632</v>
      </c>
      <c r="G1575" s="194" t="s">
        <v>246</v>
      </c>
      <c r="H1575" s="526">
        <f>2700+500</f>
        <v>3200</v>
      </c>
      <c r="I1575" s="526">
        <v>350</v>
      </c>
      <c r="J1575" s="526">
        <f t="shared" si="543"/>
        <v>3550</v>
      </c>
      <c r="K1575" s="132"/>
      <c r="L1575" s="526"/>
      <c r="M1575" s="526"/>
      <c r="N1575" s="526"/>
      <c r="O1575" s="132"/>
      <c r="P1575" s="168">
        <f t="shared" si="532"/>
        <v>3200</v>
      </c>
      <c r="Q1575" s="168">
        <f t="shared" si="539"/>
        <v>350</v>
      </c>
      <c r="R1575" s="168">
        <f t="shared" si="539"/>
        <v>3550</v>
      </c>
    </row>
    <row r="1576" spans="2:18" x14ac:dyDescent="0.2">
      <c r="B1576" s="171">
        <f t="shared" si="544"/>
        <v>72</v>
      </c>
      <c r="C1576" s="130"/>
      <c r="D1576" s="130"/>
      <c r="E1576" s="134"/>
      <c r="F1576" s="134">
        <v>633</v>
      </c>
      <c r="G1576" s="194" t="s">
        <v>247</v>
      </c>
      <c r="H1576" s="526">
        <f>1000+1700+200+500+50</f>
        <v>3450</v>
      </c>
      <c r="I1576" s="526"/>
      <c r="J1576" s="526">
        <f t="shared" si="543"/>
        <v>3450</v>
      </c>
      <c r="K1576" s="132"/>
      <c r="L1576" s="526"/>
      <c r="M1576" s="526"/>
      <c r="N1576" s="526"/>
      <c r="O1576" s="132"/>
      <c r="P1576" s="168">
        <f t="shared" si="532"/>
        <v>3450</v>
      </c>
      <c r="Q1576" s="168">
        <f t="shared" si="539"/>
        <v>0</v>
      </c>
      <c r="R1576" s="168">
        <f t="shared" si="539"/>
        <v>3450</v>
      </c>
    </row>
    <row r="1577" spans="2:18" x14ac:dyDescent="0.2">
      <c r="B1577" s="171">
        <f t="shared" si="544"/>
        <v>73</v>
      </c>
      <c r="C1577" s="130"/>
      <c r="D1577" s="130"/>
      <c r="E1577" s="134"/>
      <c r="F1577" s="134">
        <v>634</v>
      </c>
      <c r="G1577" s="194" t="s">
        <v>260</v>
      </c>
      <c r="H1577" s="526">
        <f>3200+2500+4000+400</f>
        <v>10100</v>
      </c>
      <c r="I1577" s="526"/>
      <c r="J1577" s="526">
        <f t="shared" si="543"/>
        <v>10100</v>
      </c>
      <c r="K1577" s="132"/>
      <c r="L1577" s="526"/>
      <c r="M1577" s="526"/>
      <c r="N1577" s="526"/>
      <c r="O1577" s="132"/>
      <c r="P1577" s="168">
        <f t="shared" si="532"/>
        <v>10100</v>
      </c>
      <c r="Q1577" s="168">
        <f t="shared" si="539"/>
        <v>0</v>
      </c>
      <c r="R1577" s="168">
        <f t="shared" si="539"/>
        <v>10100</v>
      </c>
    </row>
    <row r="1578" spans="2:18" x14ac:dyDescent="0.2">
      <c r="B1578" s="171">
        <f t="shared" si="544"/>
        <v>74</v>
      </c>
      <c r="C1578" s="130"/>
      <c r="D1578" s="130"/>
      <c r="E1578" s="134"/>
      <c r="F1578" s="134">
        <v>635</v>
      </c>
      <c r="G1578" s="194" t="s">
        <v>261</v>
      </c>
      <c r="H1578" s="526">
        <f>4000+100</f>
        <v>4100</v>
      </c>
      <c r="I1578" s="526"/>
      <c r="J1578" s="526">
        <f t="shared" si="543"/>
        <v>4100</v>
      </c>
      <c r="K1578" s="132"/>
      <c r="L1578" s="526"/>
      <c r="M1578" s="526"/>
      <c r="N1578" s="526"/>
      <c r="O1578" s="132"/>
      <c r="P1578" s="168">
        <f t="shared" si="532"/>
        <v>4100</v>
      </c>
      <c r="Q1578" s="168">
        <f t="shared" si="539"/>
        <v>0</v>
      </c>
      <c r="R1578" s="168">
        <f t="shared" si="539"/>
        <v>4100</v>
      </c>
    </row>
    <row r="1579" spans="2:18" x14ac:dyDescent="0.2">
      <c r="B1579" s="171">
        <f t="shared" si="544"/>
        <v>75</v>
      </c>
      <c r="C1579" s="130"/>
      <c r="D1579" s="130"/>
      <c r="E1579" s="134"/>
      <c r="F1579" s="134">
        <v>637</v>
      </c>
      <c r="G1579" s="194" t="s">
        <v>248</v>
      </c>
      <c r="H1579" s="526">
        <f>56440-2000-3200-6400</f>
        <v>44840</v>
      </c>
      <c r="I1579" s="526"/>
      <c r="J1579" s="526">
        <f t="shared" si="543"/>
        <v>44840</v>
      </c>
      <c r="K1579" s="148"/>
      <c r="L1579" s="526"/>
      <c r="M1579" s="526"/>
      <c r="N1579" s="526"/>
      <c r="O1579" s="132"/>
      <c r="P1579" s="168">
        <f t="shared" si="532"/>
        <v>44840</v>
      </c>
      <c r="Q1579" s="168">
        <f t="shared" si="539"/>
        <v>0</v>
      </c>
      <c r="R1579" s="168">
        <f t="shared" si="539"/>
        <v>44840</v>
      </c>
    </row>
    <row r="1580" spans="2:18" ht="13.5" thickBot="1" x14ac:dyDescent="0.25">
      <c r="B1580" s="207">
        <f t="shared" si="544"/>
        <v>76</v>
      </c>
      <c r="C1580" s="351"/>
      <c r="D1580" s="351"/>
      <c r="E1580" s="211"/>
      <c r="F1580" s="782">
        <v>640</v>
      </c>
      <c r="G1580" s="783" t="s">
        <v>424</v>
      </c>
      <c r="H1580" s="784">
        <f>150+3200</f>
        <v>3350</v>
      </c>
      <c r="I1580" s="784"/>
      <c r="J1580" s="784">
        <f t="shared" si="543"/>
        <v>3350</v>
      </c>
      <c r="K1580" s="141"/>
      <c r="L1580" s="389"/>
      <c r="M1580" s="389"/>
      <c r="N1580" s="389"/>
      <c r="O1580" s="141"/>
      <c r="P1580" s="785">
        <f t="shared" si="532"/>
        <v>3350</v>
      </c>
      <c r="Q1580" s="785">
        <f t="shared" ref="Q1580:R1580" si="545">I1580+M1580</f>
        <v>0</v>
      </c>
      <c r="R1580" s="785">
        <f t="shared" si="545"/>
        <v>3350</v>
      </c>
    </row>
    <row r="1615" spans="2:18" ht="27.75" thickBot="1" x14ac:dyDescent="0.4">
      <c r="B1615" s="491" t="s">
        <v>165</v>
      </c>
      <c r="C1615" s="491"/>
      <c r="D1615" s="491"/>
      <c r="E1615" s="491"/>
      <c r="F1615" s="491"/>
      <c r="G1615" s="491"/>
      <c r="H1615" s="492"/>
      <c r="I1615" s="492"/>
      <c r="J1615" s="492"/>
      <c r="K1615" s="491"/>
      <c r="L1615" s="491"/>
      <c r="M1615" s="491"/>
      <c r="N1615" s="491"/>
      <c r="O1615" s="491"/>
      <c r="P1615" s="491"/>
      <c r="Q1615" s="491"/>
      <c r="R1615" s="491"/>
    </row>
    <row r="1616" spans="2:18" ht="13.5" customHeight="1" thickBot="1" x14ac:dyDescent="0.25">
      <c r="B1616" s="913" t="s">
        <v>631</v>
      </c>
      <c r="C1616" s="914"/>
      <c r="D1616" s="914"/>
      <c r="E1616" s="914"/>
      <c r="F1616" s="914"/>
      <c r="G1616" s="914"/>
      <c r="H1616" s="914"/>
      <c r="I1616" s="914"/>
      <c r="J1616" s="914"/>
      <c r="K1616" s="914"/>
      <c r="L1616" s="914"/>
      <c r="M1616" s="914"/>
      <c r="N1616" s="915"/>
      <c r="O1616" s="120"/>
      <c r="P1616" s="903" t="s">
        <v>721</v>
      </c>
      <c r="Q1616" s="903" t="s">
        <v>860</v>
      </c>
      <c r="R1616" s="903" t="s">
        <v>721</v>
      </c>
    </row>
    <row r="1617" spans="2:18" ht="13.5" customHeight="1" thickTop="1" x14ac:dyDescent="0.2">
      <c r="B1617" s="505"/>
      <c r="C1617" s="906" t="s">
        <v>477</v>
      </c>
      <c r="D1617" s="906" t="s">
        <v>476</v>
      </c>
      <c r="E1617" s="906" t="s">
        <v>474</v>
      </c>
      <c r="F1617" s="906" t="s">
        <v>475</v>
      </c>
      <c r="G1617" s="507" t="s">
        <v>3</v>
      </c>
      <c r="H1617" s="908" t="s">
        <v>722</v>
      </c>
      <c r="I1617" s="912" t="s">
        <v>860</v>
      </c>
      <c r="J1617" s="912" t="s">
        <v>722</v>
      </c>
      <c r="L1617" s="910" t="s">
        <v>723</v>
      </c>
      <c r="M1617" s="910" t="s">
        <v>860</v>
      </c>
      <c r="N1617" s="910" t="s">
        <v>723</v>
      </c>
      <c r="P1617" s="904"/>
      <c r="Q1617" s="904"/>
      <c r="R1617" s="904"/>
    </row>
    <row r="1618" spans="2:18" ht="58.5" customHeight="1" thickBot="1" x14ac:dyDescent="0.25">
      <c r="B1618" s="509"/>
      <c r="C1618" s="907"/>
      <c r="D1618" s="907"/>
      <c r="E1618" s="907"/>
      <c r="F1618" s="907"/>
      <c r="G1618" s="508"/>
      <c r="H1618" s="909"/>
      <c r="I1618" s="909"/>
      <c r="J1618" s="909"/>
      <c r="L1618" s="911"/>
      <c r="M1618" s="911"/>
      <c r="N1618" s="911"/>
      <c r="P1618" s="905"/>
      <c r="Q1618" s="905"/>
      <c r="R1618" s="905"/>
    </row>
    <row r="1619" spans="2:18" ht="19.5" thickTop="1" thickBot="1" x14ac:dyDescent="0.25">
      <c r="B1619" s="617">
        <v>1</v>
      </c>
      <c r="C1619" s="125" t="s">
        <v>228</v>
      </c>
      <c r="D1619" s="111"/>
      <c r="E1619" s="111"/>
      <c r="F1619" s="111"/>
      <c r="G1619" s="201"/>
      <c r="H1619" s="409">
        <f>H1620+H1630+H1632+H1646+H1655+H1699+H1718+H1729+H1731+H1737+H1746</f>
        <v>2050208</v>
      </c>
      <c r="I1619" s="409">
        <f t="shared" ref="I1619" si="546">I1620+I1630+I1632+I1646+I1655+I1699+I1718+I1729+I1731+I1737+I1746</f>
        <v>0</v>
      </c>
      <c r="J1619" s="409">
        <f>H1619+I1619</f>
        <v>2050208</v>
      </c>
      <c r="K1619" s="113"/>
      <c r="L1619" s="378">
        <f>L1620+L1630+L1632+L1646+L1655+L1699+L1718+L1729+L1731+L1737+L1746</f>
        <v>0</v>
      </c>
      <c r="M1619" s="378">
        <f t="shared" ref="M1619" si="547">M1620+M1630+M1632+M1646+M1655+M1699+M1718+M1729+M1731+M1737+M1746</f>
        <v>0</v>
      </c>
      <c r="N1619" s="378">
        <f>L1619+M1619</f>
        <v>0</v>
      </c>
      <c r="O1619" s="113"/>
      <c r="P1619" s="372">
        <f t="shared" ref="P1619:P1665" si="548">H1619+L1619</f>
        <v>2050208</v>
      </c>
      <c r="Q1619" s="372">
        <f t="shared" ref="Q1619:R1634" si="549">I1619+M1619</f>
        <v>0</v>
      </c>
      <c r="R1619" s="372">
        <f t="shared" si="549"/>
        <v>2050208</v>
      </c>
    </row>
    <row r="1620" spans="2:18" ht="16.5" thickTop="1" x14ac:dyDescent="0.25">
      <c r="B1620" s="171">
        <f>B1619+1</f>
        <v>2</v>
      </c>
      <c r="C1620" s="23">
        <v>1</v>
      </c>
      <c r="D1620" s="127" t="s">
        <v>100</v>
      </c>
      <c r="E1620" s="24"/>
      <c r="F1620" s="24"/>
      <c r="G1620" s="193"/>
      <c r="H1620" s="410">
        <f>H1621</f>
        <v>175050</v>
      </c>
      <c r="I1620" s="410">
        <f t="shared" ref="I1620" si="550">I1621</f>
        <v>0</v>
      </c>
      <c r="J1620" s="410">
        <f t="shared" ref="J1620:J1684" si="551">H1620+I1620</f>
        <v>175050</v>
      </c>
      <c r="K1620" s="88"/>
      <c r="L1620" s="395"/>
      <c r="M1620" s="395"/>
      <c r="N1620" s="395"/>
      <c r="O1620" s="88"/>
      <c r="P1620" s="373">
        <f t="shared" si="548"/>
        <v>175050</v>
      </c>
      <c r="Q1620" s="373">
        <f t="shared" si="549"/>
        <v>0</v>
      </c>
      <c r="R1620" s="373">
        <f t="shared" si="549"/>
        <v>175050</v>
      </c>
    </row>
    <row r="1621" spans="2:18" x14ac:dyDescent="0.2">
      <c r="B1621" s="171">
        <f t="shared" ref="B1621:B1685" si="552">B1620+1</f>
        <v>3</v>
      </c>
      <c r="C1621" s="143"/>
      <c r="D1621" s="144"/>
      <c r="E1621" s="357" t="s">
        <v>675</v>
      </c>
      <c r="F1621" s="357"/>
      <c r="G1621" s="358" t="s">
        <v>450</v>
      </c>
      <c r="H1621" s="404">
        <f>H1622+H1623+H1624+H1629</f>
        <v>175050</v>
      </c>
      <c r="I1621" s="404">
        <f t="shared" ref="I1621" si="553">I1622+I1623+I1624+I1629</f>
        <v>0</v>
      </c>
      <c r="J1621" s="404">
        <f t="shared" si="551"/>
        <v>175050</v>
      </c>
      <c r="K1621" s="359"/>
      <c r="L1621" s="871"/>
      <c r="M1621" s="871"/>
      <c r="N1621" s="871"/>
      <c r="O1621" s="359"/>
      <c r="P1621" s="360">
        <f t="shared" si="548"/>
        <v>175050</v>
      </c>
      <c r="Q1621" s="360">
        <f t="shared" si="549"/>
        <v>0</v>
      </c>
      <c r="R1621" s="360">
        <f t="shared" si="549"/>
        <v>175050</v>
      </c>
    </row>
    <row r="1622" spans="2:18" x14ac:dyDescent="0.2">
      <c r="B1622" s="171">
        <f t="shared" si="552"/>
        <v>4</v>
      </c>
      <c r="C1622" s="143"/>
      <c r="D1622" s="144"/>
      <c r="E1622" s="149"/>
      <c r="F1622" s="149">
        <v>610</v>
      </c>
      <c r="G1622" s="199" t="s">
        <v>257</v>
      </c>
      <c r="H1622" s="388">
        <v>94630</v>
      </c>
      <c r="I1622" s="388"/>
      <c r="J1622" s="388">
        <f t="shared" si="551"/>
        <v>94630</v>
      </c>
      <c r="K1622" s="145"/>
      <c r="L1622" s="396"/>
      <c r="M1622" s="396"/>
      <c r="N1622" s="396"/>
      <c r="O1622" s="145"/>
      <c r="P1622" s="166">
        <f t="shared" si="548"/>
        <v>94630</v>
      </c>
      <c r="Q1622" s="166">
        <f t="shared" si="549"/>
        <v>0</v>
      </c>
      <c r="R1622" s="166">
        <f t="shared" si="549"/>
        <v>94630</v>
      </c>
    </row>
    <row r="1623" spans="2:18" x14ac:dyDescent="0.2">
      <c r="B1623" s="171">
        <f t="shared" si="552"/>
        <v>5</v>
      </c>
      <c r="C1623" s="143"/>
      <c r="D1623" s="144"/>
      <c r="E1623" s="134"/>
      <c r="F1623" s="149">
        <v>620</v>
      </c>
      <c r="G1623" s="199" t="s">
        <v>259</v>
      </c>
      <c r="H1623" s="388">
        <v>32965</v>
      </c>
      <c r="I1623" s="388"/>
      <c r="J1623" s="388">
        <f t="shared" si="551"/>
        <v>32965</v>
      </c>
      <c r="K1623" s="145"/>
      <c r="L1623" s="396"/>
      <c r="M1623" s="396"/>
      <c r="N1623" s="396"/>
      <c r="O1623" s="145"/>
      <c r="P1623" s="166">
        <f t="shared" si="548"/>
        <v>32965</v>
      </c>
      <c r="Q1623" s="166">
        <f t="shared" si="549"/>
        <v>0</v>
      </c>
      <c r="R1623" s="166">
        <f t="shared" si="549"/>
        <v>32965</v>
      </c>
    </row>
    <row r="1624" spans="2:18" x14ac:dyDescent="0.2">
      <c r="B1624" s="171">
        <f t="shared" si="552"/>
        <v>6</v>
      </c>
      <c r="C1624" s="143"/>
      <c r="D1624" s="144"/>
      <c r="E1624" s="134"/>
      <c r="F1624" s="149">
        <v>630</v>
      </c>
      <c r="G1624" s="199" t="s">
        <v>340</v>
      </c>
      <c r="H1624" s="388">
        <f>SUM(H1625:H1628)</f>
        <v>47402</v>
      </c>
      <c r="I1624" s="388">
        <f>SUM(I1625:I1628)</f>
        <v>0</v>
      </c>
      <c r="J1624" s="388">
        <f t="shared" si="551"/>
        <v>47402</v>
      </c>
      <c r="K1624" s="145"/>
      <c r="L1624" s="396"/>
      <c r="M1624" s="396"/>
      <c r="N1624" s="396"/>
      <c r="O1624" s="145"/>
      <c r="P1624" s="166">
        <f t="shared" si="548"/>
        <v>47402</v>
      </c>
      <c r="Q1624" s="166">
        <f t="shared" si="549"/>
        <v>0</v>
      </c>
      <c r="R1624" s="166">
        <f t="shared" si="549"/>
        <v>47402</v>
      </c>
    </row>
    <row r="1625" spans="2:18" x14ac:dyDescent="0.2">
      <c r="B1625" s="171">
        <f t="shared" si="552"/>
        <v>7</v>
      </c>
      <c r="C1625" s="143"/>
      <c r="D1625" s="144"/>
      <c r="E1625" s="134"/>
      <c r="F1625" s="134">
        <v>632</v>
      </c>
      <c r="G1625" s="194" t="s">
        <v>246</v>
      </c>
      <c r="H1625" s="526">
        <f>15880+487</f>
        <v>16367</v>
      </c>
      <c r="I1625" s="526"/>
      <c r="J1625" s="526">
        <f t="shared" si="551"/>
        <v>16367</v>
      </c>
      <c r="K1625" s="145"/>
      <c r="L1625" s="396"/>
      <c r="M1625" s="396"/>
      <c r="N1625" s="396"/>
      <c r="O1625" s="145"/>
      <c r="P1625" s="167">
        <f t="shared" si="548"/>
        <v>16367</v>
      </c>
      <c r="Q1625" s="167">
        <f t="shared" si="549"/>
        <v>0</v>
      </c>
      <c r="R1625" s="167">
        <f t="shared" si="549"/>
        <v>16367</v>
      </c>
    </row>
    <row r="1626" spans="2:18" x14ac:dyDescent="0.2">
      <c r="B1626" s="171">
        <f t="shared" si="552"/>
        <v>8</v>
      </c>
      <c r="C1626" s="143"/>
      <c r="D1626" s="144"/>
      <c r="E1626" s="134"/>
      <c r="F1626" s="134">
        <v>633</v>
      </c>
      <c r="G1626" s="194" t="s">
        <v>247</v>
      </c>
      <c r="H1626" s="526">
        <v>23750</v>
      </c>
      <c r="I1626" s="526"/>
      <c r="J1626" s="526">
        <f t="shared" si="551"/>
        <v>23750</v>
      </c>
      <c r="K1626" s="145"/>
      <c r="L1626" s="396"/>
      <c r="M1626" s="396"/>
      <c r="N1626" s="396"/>
      <c r="O1626" s="145"/>
      <c r="P1626" s="167">
        <f t="shared" si="548"/>
        <v>23750</v>
      </c>
      <c r="Q1626" s="167">
        <f t="shared" si="549"/>
        <v>0</v>
      </c>
      <c r="R1626" s="167">
        <f t="shared" si="549"/>
        <v>23750</v>
      </c>
    </row>
    <row r="1627" spans="2:18" x14ac:dyDescent="0.2">
      <c r="B1627" s="171">
        <f t="shared" si="552"/>
        <v>9</v>
      </c>
      <c r="C1627" s="143"/>
      <c r="D1627" s="144"/>
      <c r="E1627" s="134"/>
      <c r="F1627" s="134">
        <v>635</v>
      </c>
      <c r="G1627" s="194" t="s">
        <v>261</v>
      </c>
      <c r="H1627" s="526">
        <v>3310</v>
      </c>
      <c r="I1627" s="526"/>
      <c r="J1627" s="526">
        <f t="shared" si="551"/>
        <v>3310</v>
      </c>
      <c r="K1627" s="145"/>
      <c r="L1627" s="396"/>
      <c r="M1627" s="396"/>
      <c r="N1627" s="396"/>
      <c r="O1627" s="145"/>
      <c r="P1627" s="167">
        <f t="shared" si="548"/>
        <v>3310</v>
      </c>
      <c r="Q1627" s="167">
        <f t="shared" si="549"/>
        <v>0</v>
      </c>
      <c r="R1627" s="167">
        <f t="shared" si="549"/>
        <v>3310</v>
      </c>
    </row>
    <row r="1628" spans="2:18" x14ac:dyDescent="0.2">
      <c r="B1628" s="171">
        <f t="shared" si="552"/>
        <v>10</v>
      </c>
      <c r="C1628" s="143"/>
      <c r="D1628" s="144"/>
      <c r="E1628" s="134"/>
      <c r="F1628" s="134">
        <v>637</v>
      </c>
      <c r="G1628" s="194" t="s">
        <v>248</v>
      </c>
      <c r="H1628" s="526">
        <f>4515-540</f>
        <v>3975</v>
      </c>
      <c r="I1628" s="526"/>
      <c r="J1628" s="526">
        <f t="shared" si="551"/>
        <v>3975</v>
      </c>
      <c r="K1628" s="145"/>
      <c r="L1628" s="396"/>
      <c r="M1628" s="396"/>
      <c r="N1628" s="396"/>
      <c r="O1628" s="145"/>
      <c r="P1628" s="167">
        <f t="shared" si="548"/>
        <v>3975</v>
      </c>
      <c r="Q1628" s="167">
        <f t="shared" si="549"/>
        <v>0</v>
      </c>
      <c r="R1628" s="167">
        <f t="shared" si="549"/>
        <v>3975</v>
      </c>
    </row>
    <row r="1629" spans="2:18" x14ac:dyDescent="0.2">
      <c r="B1629" s="171">
        <f t="shared" si="552"/>
        <v>11</v>
      </c>
      <c r="C1629" s="143"/>
      <c r="D1629" s="144"/>
      <c r="E1629" s="144"/>
      <c r="F1629" s="149">
        <v>640</v>
      </c>
      <c r="G1629" s="199" t="s">
        <v>296</v>
      </c>
      <c r="H1629" s="388">
        <f>300-247</f>
        <v>53</v>
      </c>
      <c r="I1629" s="388"/>
      <c r="J1629" s="388">
        <f t="shared" si="551"/>
        <v>53</v>
      </c>
      <c r="K1629" s="243"/>
      <c r="L1629" s="388"/>
      <c r="M1629" s="388"/>
      <c r="N1629" s="388"/>
      <c r="O1629" s="243"/>
      <c r="P1629" s="168">
        <f t="shared" si="548"/>
        <v>53</v>
      </c>
      <c r="Q1629" s="168">
        <f t="shared" si="549"/>
        <v>0</v>
      </c>
      <c r="R1629" s="168">
        <f t="shared" si="549"/>
        <v>53</v>
      </c>
    </row>
    <row r="1630" spans="2:18" ht="15.75" x14ac:dyDescent="0.25">
      <c r="B1630" s="171">
        <f t="shared" si="552"/>
        <v>12</v>
      </c>
      <c r="C1630" s="21">
        <v>2</v>
      </c>
      <c r="D1630" s="126" t="s">
        <v>229</v>
      </c>
      <c r="E1630" s="22"/>
      <c r="F1630" s="22"/>
      <c r="G1630" s="195"/>
      <c r="H1630" s="411">
        <f>H1631</f>
        <v>1000</v>
      </c>
      <c r="I1630" s="411">
        <f t="shared" ref="I1630" si="554">I1631</f>
        <v>0</v>
      </c>
      <c r="J1630" s="411">
        <f t="shared" si="551"/>
        <v>1000</v>
      </c>
      <c r="K1630" s="244"/>
      <c r="L1630" s="872"/>
      <c r="M1630" s="872"/>
      <c r="N1630" s="872"/>
      <c r="O1630" s="244"/>
      <c r="P1630" s="374">
        <f t="shared" si="548"/>
        <v>1000</v>
      </c>
      <c r="Q1630" s="374">
        <f t="shared" si="549"/>
        <v>0</v>
      </c>
      <c r="R1630" s="374">
        <f t="shared" si="549"/>
        <v>1000</v>
      </c>
    </row>
    <row r="1631" spans="2:18" x14ac:dyDescent="0.2">
      <c r="B1631" s="171">
        <f t="shared" si="552"/>
        <v>13</v>
      </c>
      <c r="C1631" s="130"/>
      <c r="D1631" s="130"/>
      <c r="E1631" s="134" t="s">
        <v>671</v>
      </c>
      <c r="F1631" s="134">
        <v>640</v>
      </c>
      <c r="G1631" s="194" t="s">
        <v>282</v>
      </c>
      <c r="H1631" s="526">
        <v>1000</v>
      </c>
      <c r="I1631" s="526"/>
      <c r="J1631" s="526">
        <f t="shared" si="551"/>
        <v>1000</v>
      </c>
      <c r="K1631" s="181"/>
      <c r="L1631" s="526"/>
      <c r="M1631" s="526"/>
      <c r="N1631" s="526"/>
      <c r="O1631" s="181"/>
      <c r="P1631" s="168">
        <f t="shared" si="548"/>
        <v>1000</v>
      </c>
      <c r="Q1631" s="168">
        <f t="shared" si="549"/>
        <v>0</v>
      </c>
      <c r="R1631" s="168">
        <f t="shared" si="549"/>
        <v>1000</v>
      </c>
    </row>
    <row r="1632" spans="2:18" ht="15.75" x14ac:dyDescent="0.25">
      <c r="B1632" s="171">
        <f t="shared" si="552"/>
        <v>14</v>
      </c>
      <c r="C1632" s="23">
        <v>3</v>
      </c>
      <c r="D1632" s="127" t="s">
        <v>2</v>
      </c>
      <c r="E1632" s="24"/>
      <c r="F1632" s="24"/>
      <c r="G1632" s="193"/>
      <c r="H1632" s="417">
        <f>H1633+H1634+H1635+H1636+H1644+H1645</f>
        <v>21965</v>
      </c>
      <c r="I1632" s="417">
        <f t="shared" ref="I1632" si="555">I1633+I1634+I1635+I1636+I1644</f>
        <v>0</v>
      </c>
      <c r="J1632" s="417">
        <f t="shared" si="551"/>
        <v>21965</v>
      </c>
      <c r="K1632" s="245"/>
      <c r="L1632" s="872"/>
      <c r="M1632" s="872"/>
      <c r="N1632" s="872"/>
      <c r="O1632" s="245"/>
      <c r="P1632" s="374">
        <f t="shared" si="548"/>
        <v>21965</v>
      </c>
      <c r="Q1632" s="374">
        <f t="shared" si="549"/>
        <v>0</v>
      </c>
      <c r="R1632" s="374">
        <f t="shared" si="549"/>
        <v>21965</v>
      </c>
    </row>
    <row r="1633" spans="2:18" x14ac:dyDescent="0.2">
      <c r="B1633" s="171">
        <f t="shared" si="552"/>
        <v>15</v>
      </c>
      <c r="C1633" s="130"/>
      <c r="D1633" s="159"/>
      <c r="E1633" s="452" t="s">
        <v>672</v>
      </c>
      <c r="F1633" s="158">
        <v>640</v>
      </c>
      <c r="G1633" s="194" t="s">
        <v>283</v>
      </c>
      <c r="H1633" s="382">
        <v>2000</v>
      </c>
      <c r="I1633" s="382"/>
      <c r="J1633" s="382">
        <f t="shared" si="551"/>
        <v>2000</v>
      </c>
      <c r="K1633" s="132"/>
      <c r="L1633" s="382"/>
      <c r="M1633" s="382"/>
      <c r="N1633" s="382"/>
      <c r="O1633" s="132"/>
      <c r="P1633" s="213">
        <f t="shared" si="548"/>
        <v>2000</v>
      </c>
      <c r="Q1633" s="213">
        <f t="shared" si="549"/>
        <v>0</v>
      </c>
      <c r="R1633" s="213">
        <f t="shared" si="549"/>
        <v>2000</v>
      </c>
    </row>
    <row r="1634" spans="2:18" ht="24" x14ac:dyDescent="0.2">
      <c r="B1634" s="171">
        <f t="shared" si="552"/>
        <v>16</v>
      </c>
      <c r="C1634" s="130"/>
      <c r="D1634" s="159"/>
      <c r="E1634" s="452" t="s">
        <v>672</v>
      </c>
      <c r="F1634" s="452">
        <v>640</v>
      </c>
      <c r="G1634" s="603" t="s">
        <v>609</v>
      </c>
      <c r="H1634" s="465">
        <v>898</v>
      </c>
      <c r="I1634" s="465"/>
      <c r="J1634" s="465">
        <f t="shared" si="551"/>
        <v>898</v>
      </c>
      <c r="K1634" s="448"/>
      <c r="L1634" s="465"/>
      <c r="M1634" s="465"/>
      <c r="N1634" s="465"/>
      <c r="O1634" s="448"/>
      <c r="P1634" s="466">
        <f t="shared" si="548"/>
        <v>898</v>
      </c>
      <c r="Q1634" s="466">
        <f t="shared" si="549"/>
        <v>0</v>
      </c>
      <c r="R1634" s="466">
        <f t="shared" si="549"/>
        <v>898</v>
      </c>
    </row>
    <row r="1635" spans="2:18" ht="24" x14ac:dyDescent="0.2">
      <c r="B1635" s="171">
        <f t="shared" si="552"/>
        <v>17</v>
      </c>
      <c r="C1635" s="130"/>
      <c r="D1635" s="159"/>
      <c r="E1635" s="452" t="s">
        <v>672</v>
      </c>
      <c r="F1635" s="452">
        <v>640</v>
      </c>
      <c r="G1635" s="603" t="s">
        <v>610</v>
      </c>
      <c r="H1635" s="465">
        <v>1910</v>
      </c>
      <c r="I1635" s="465"/>
      <c r="J1635" s="465">
        <f t="shared" si="551"/>
        <v>1910</v>
      </c>
      <c r="K1635" s="448"/>
      <c r="L1635" s="465"/>
      <c r="M1635" s="465"/>
      <c r="N1635" s="465"/>
      <c r="O1635" s="448"/>
      <c r="P1635" s="466">
        <f t="shared" si="548"/>
        <v>1910</v>
      </c>
      <c r="Q1635" s="466">
        <f t="shared" ref="Q1635:R1651" si="556">I1635+M1635</f>
        <v>0</v>
      </c>
      <c r="R1635" s="466">
        <f t="shared" si="556"/>
        <v>1910</v>
      </c>
    </row>
    <row r="1636" spans="2:18" ht="24" x14ac:dyDescent="0.2">
      <c r="B1636" s="171">
        <f t="shared" si="552"/>
        <v>18</v>
      </c>
      <c r="C1636" s="130"/>
      <c r="D1636" s="159"/>
      <c r="E1636" s="452" t="s">
        <v>672</v>
      </c>
      <c r="F1636" s="452">
        <v>640</v>
      </c>
      <c r="G1636" s="603" t="s">
        <v>611</v>
      </c>
      <c r="H1636" s="382">
        <f>SUM(H1637:H1643)</f>
        <v>8157</v>
      </c>
      <c r="I1636" s="382"/>
      <c r="J1636" s="382">
        <f t="shared" si="551"/>
        <v>8157</v>
      </c>
      <c r="K1636" s="132"/>
      <c r="L1636" s="382"/>
      <c r="M1636" s="382"/>
      <c r="N1636" s="382"/>
      <c r="O1636" s="132"/>
      <c r="P1636" s="213">
        <f t="shared" si="548"/>
        <v>8157</v>
      </c>
      <c r="Q1636" s="213">
        <f t="shared" si="556"/>
        <v>0</v>
      </c>
      <c r="R1636" s="213">
        <f t="shared" si="556"/>
        <v>8157</v>
      </c>
    </row>
    <row r="1637" spans="2:18" x14ac:dyDescent="0.2">
      <c r="B1637" s="171">
        <f t="shared" si="552"/>
        <v>19</v>
      </c>
      <c r="C1637" s="130"/>
      <c r="D1637" s="159"/>
      <c r="E1637" s="452"/>
      <c r="F1637" s="452"/>
      <c r="G1637" s="603" t="s">
        <v>612</v>
      </c>
      <c r="H1637" s="382">
        <v>417</v>
      </c>
      <c r="I1637" s="382"/>
      <c r="J1637" s="382">
        <f t="shared" si="551"/>
        <v>417</v>
      </c>
      <c r="K1637" s="132"/>
      <c r="L1637" s="382"/>
      <c r="M1637" s="382"/>
      <c r="N1637" s="382"/>
      <c r="O1637" s="132"/>
      <c r="P1637" s="213">
        <f t="shared" si="548"/>
        <v>417</v>
      </c>
      <c r="Q1637" s="213">
        <f t="shared" si="556"/>
        <v>0</v>
      </c>
      <c r="R1637" s="213">
        <f t="shared" si="556"/>
        <v>417</v>
      </c>
    </row>
    <row r="1638" spans="2:18" x14ac:dyDescent="0.2">
      <c r="B1638" s="171">
        <f t="shared" si="552"/>
        <v>20</v>
      </c>
      <c r="C1638" s="130"/>
      <c r="D1638" s="159"/>
      <c r="E1638" s="452"/>
      <c r="F1638" s="452"/>
      <c r="G1638" s="603" t="s">
        <v>613</v>
      </c>
      <c r="H1638" s="382">
        <v>1802</v>
      </c>
      <c r="I1638" s="382"/>
      <c r="J1638" s="382">
        <f t="shared" si="551"/>
        <v>1802</v>
      </c>
      <c r="K1638" s="132"/>
      <c r="L1638" s="382"/>
      <c r="M1638" s="382"/>
      <c r="N1638" s="382"/>
      <c r="O1638" s="132"/>
      <c r="P1638" s="213">
        <f t="shared" si="548"/>
        <v>1802</v>
      </c>
      <c r="Q1638" s="213">
        <f t="shared" si="556"/>
        <v>0</v>
      </c>
      <c r="R1638" s="213">
        <f t="shared" si="556"/>
        <v>1802</v>
      </c>
    </row>
    <row r="1639" spans="2:18" x14ac:dyDescent="0.2">
      <c r="B1639" s="171">
        <f t="shared" si="552"/>
        <v>21</v>
      </c>
      <c r="C1639" s="130"/>
      <c r="D1639" s="159"/>
      <c r="E1639" s="452"/>
      <c r="F1639" s="452"/>
      <c r="G1639" s="603" t="s">
        <v>614</v>
      </c>
      <c r="H1639" s="382">
        <v>1350</v>
      </c>
      <c r="I1639" s="382"/>
      <c r="J1639" s="382">
        <f t="shared" si="551"/>
        <v>1350</v>
      </c>
      <c r="K1639" s="132"/>
      <c r="L1639" s="382"/>
      <c r="M1639" s="382"/>
      <c r="N1639" s="382"/>
      <c r="O1639" s="132"/>
      <c r="P1639" s="213">
        <f t="shared" si="548"/>
        <v>1350</v>
      </c>
      <c r="Q1639" s="213">
        <f t="shared" si="556"/>
        <v>0</v>
      </c>
      <c r="R1639" s="213">
        <f t="shared" si="556"/>
        <v>1350</v>
      </c>
    </row>
    <row r="1640" spans="2:18" x14ac:dyDescent="0.2">
      <c r="B1640" s="171">
        <f t="shared" si="552"/>
        <v>22</v>
      </c>
      <c r="C1640" s="130"/>
      <c r="D1640" s="159"/>
      <c r="E1640" s="452"/>
      <c r="F1640" s="452"/>
      <c r="G1640" s="603" t="s">
        <v>615</v>
      </c>
      <c r="H1640" s="382">
        <v>366</v>
      </c>
      <c r="I1640" s="382"/>
      <c r="J1640" s="382">
        <f t="shared" si="551"/>
        <v>366</v>
      </c>
      <c r="K1640" s="132"/>
      <c r="L1640" s="382"/>
      <c r="M1640" s="382"/>
      <c r="N1640" s="382"/>
      <c r="O1640" s="132"/>
      <c r="P1640" s="213">
        <f t="shared" si="548"/>
        <v>366</v>
      </c>
      <c r="Q1640" s="213">
        <f t="shared" si="556"/>
        <v>0</v>
      </c>
      <c r="R1640" s="213">
        <f t="shared" si="556"/>
        <v>366</v>
      </c>
    </row>
    <row r="1641" spans="2:18" x14ac:dyDescent="0.2">
      <c r="B1641" s="171">
        <f t="shared" si="552"/>
        <v>23</v>
      </c>
      <c r="C1641" s="130"/>
      <c r="D1641" s="159"/>
      <c r="E1641" s="452"/>
      <c r="F1641" s="452"/>
      <c r="G1641" s="603" t="s">
        <v>616</v>
      </c>
      <c r="H1641" s="382">
        <v>474</v>
      </c>
      <c r="I1641" s="382"/>
      <c r="J1641" s="382">
        <f t="shared" si="551"/>
        <v>474</v>
      </c>
      <c r="K1641" s="132"/>
      <c r="L1641" s="382"/>
      <c r="M1641" s="382"/>
      <c r="N1641" s="382"/>
      <c r="O1641" s="132"/>
      <c r="P1641" s="213">
        <f t="shared" si="548"/>
        <v>474</v>
      </c>
      <c r="Q1641" s="213">
        <f t="shared" si="556"/>
        <v>0</v>
      </c>
      <c r="R1641" s="213">
        <f t="shared" si="556"/>
        <v>474</v>
      </c>
    </row>
    <row r="1642" spans="2:18" x14ac:dyDescent="0.2">
      <c r="B1642" s="171">
        <f t="shared" si="552"/>
        <v>24</v>
      </c>
      <c r="C1642" s="130"/>
      <c r="D1642" s="159"/>
      <c r="E1642" s="452"/>
      <c r="F1642" s="452"/>
      <c r="G1642" s="603" t="s">
        <v>617</v>
      </c>
      <c r="H1642" s="382">
        <v>1070</v>
      </c>
      <c r="I1642" s="382"/>
      <c r="J1642" s="382">
        <f t="shared" si="551"/>
        <v>1070</v>
      </c>
      <c r="K1642" s="132"/>
      <c r="L1642" s="382"/>
      <c r="M1642" s="382"/>
      <c r="N1642" s="382"/>
      <c r="O1642" s="132"/>
      <c r="P1642" s="213">
        <f t="shared" si="548"/>
        <v>1070</v>
      </c>
      <c r="Q1642" s="213">
        <f t="shared" si="556"/>
        <v>0</v>
      </c>
      <c r="R1642" s="213">
        <f t="shared" si="556"/>
        <v>1070</v>
      </c>
    </row>
    <row r="1643" spans="2:18" x14ac:dyDescent="0.2">
      <c r="B1643" s="171">
        <f t="shared" si="552"/>
        <v>25</v>
      </c>
      <c r="C1643" s="130"/>
      <c r="D1643" s="159"/>
      <c r="E1643" s="452"/>
      <c r="F1643" s="452"/>
      <c r="G1643" s="603" t="s">
        <v>618</v>
      </c>
      <c r="H1643" s="382">
        <v>2678</v>
      </c>
      <c r="I1643" s="382"/>
      <c r="J1643" s="382">
        <f t="shared" si="551"/>
        <v>2678</v>
      </c>
      <c r="K1643" s="132"/>
      <c r="L1643" s="382"/>
      <c r="M1643" s="382"/>
      <c r="N1643" s="382"/>
      <c r="O1643" s="132"/>
      <c r="P1643" s="213">
        <f t="shared" si="548"/>
        <v>2678</v>
      </c>
      <c r="Q1643" s="213">
        <f t="shared" si="556"/>
        <v>0</v>
      </c>
      <c r="R1643" s="213">
        <f t="shared" si="556"/>
        <v>2678</v>
      </c>
    </row>
    <row r="1644" spans="2:18" ht="33.75" x14ac:dyDescent="0.2">
      <c r="B1644" s="171">
        <f t="shared" si="552"/>
        <v>26</v>
      </c>
      <c r="C1644" s="130"/>
      <c r="D1644" s="159"/>
      <c r="E1644" s="452" t="s">
        <v>672</v>
      </c>
      <c r="F1644" s="452">
        <v>640</v>
      </c>
      <c r="G1644" s="551" t="s">
        <v>627</v>
      </c>
      <c r="H1644" s="465">
        <v>2000</v>
      </c>
      <c r="I1644" s="465"/>
      <c r="J1644" s="465">
        <f t="shared" si="551"/>
        <v>2000</v>
      </c>
      <c r="K1644" s="132"/>
      <c r="L1644" s="382"/>
      <c r="M1644" s="382"/>
      <c r="N1644" s="382"/>
      <c r="O1644" s="132"/>
      <c r="P1644" s="550">
        <f t="shared" si="548"/>
        <v>2000</v>
      </c>
      <c r="Q1644" s="550">
        <f t="shared" si="556"/>
        <v>0</v>
      </c>
      <c r="R1644" s="550">
        <f t="shared" si="556"/>
        <v>2000</v>
      </c>
    </row>
    <row r="1645" spans="2:18" ht="33.75" x14ac:dyDescent="0.2">
      <c r="B1645" s="171"/>
      <c r="C1645" s="130"/>
      <c r="D1645" s="159"/>
      <c r="E1645" s="452" t="s">
        <v>672</v>
      </c>
      <c r="F1645" s="452">
        <v>640</v>
      </c>
      <c r="G1645" s="551" t="s">
        <v>875</v>
      </c>
      <c r="H1645" s="465">
        <v>7000</v>
      </c>
      <c r="I1645" s="465"/>
      <c r="J1645" s="465">
        <f t="shared" si="551"/>
        <v>7000</v>
      </c>
      <c r="K1645" s="132"/>
      <c r="L1645" s="382"/>
      <c r="M1645" s="382"/>
      <c r="N1645" s="382"/>
      <c r="O1645" s="132"/>
      <c r="P1645" s="550">
        <f t="shared" si="548"/>
        <v>7000</v>
      </c>
      <c r="Q1645" s="550"/>
      <c r="R1645" s="550">
        <f t="shared" si="556"/>
        <v>7000</v>
      </c>
    </row>
    <row r="1646" spans="2:18" ht="15.75" x14ac:dyDescent="0.25">
      <c r="B1646" s="171">
        <f>B1644+1</f>
        <v>27</v>
      </c>
      <c r="C1646" s="23">
        <v>4</v>
      </c>
      <c r="D1646" s="127" t="s">
        <v>319</v>
      </c>
      <c r="E1646" s="24"/>
      <c r="F1646" s="24"/>
      <c r="G1646" s="193"/>
      <c r="H1646" s="414">
        <f>H1647</f>
        <v>22458</v>
      </c>
      <c r="I1646" s="414">
        <f t="shared" ref="I1646" si="557">I1647</f>
        <v>0</v>
      </c>
      <c r="J1646" s="414">
        <f t="shared" si="551"/>
        <v>22458</v>
      </c>
      <c r="K1646" s="88"/>
      <c r="L1646" s="393"/>
      <c r="M1646" s="393"/>
      <c r="N1646" s="393"/>
      <c r="O1646" s="88"/>
      <c r="P1646" s="373">
        <f t="shared" si="548"/>
        <v>22458</v>
      </c>
      <c r="Q1646" s="373">
        <f t="shared" si="556"/>
        <v>0</v>
      </c>
      <c r="R1646" s="373">
        <f t="shared" si="556"/>
        <v>22458</v>
      </c>
    </row>
    <row r="1647" spans="2:18" x14ac:dyDescent="0.2">
      <c r="B1647" s="171">
        <f t="shared" si="552"/>
        <v>28</v>
      </c>
      <c r="C1647" s="135"/>
      <c r="D1647" s="135"/>
      <c r="E1647" s="357" t="s">
        <v>671</v>
      </c>
      <c r="F1647" s="357"/>
      <c r="G1647" s="358" t="s">
        <v>451</v>
      </c>
      <c r="H1647" s="404">
        <f>H1648+H1649+H1650</f>
        <v>22458</v>
      </c>
      <c r="I1647" s="404">
        <f t="shared" ref="I1647" si="558">I1648+I1649+I1650</f>
        <v>0</v>
      </c>
      <c r="J1647" s="404">
        <f t="shared" si="551"/>
        <v>22458</v>
      </c>
      <c r="K1647" s="361"/>
      <c r="L1647" s="873"/>
      <c r="M1647" s="873"/>
      <c r="N1647" s="873"/>
      <c r="O1647" s="361"/>
      <c r="P1647" s="362">
        <f t="shared" si="548"/>
        <v>22458</v>
      </c>
      <c r="Q1647" s="362">
        <f t="shared" si="556"/>
        <v>0</v>
      </c>
      <c r="R1647" s="362">
        <f t="shared" si="556"/>
        <v>22458</v>
      </c>
    </row>
    <row r="1648" spans="2:18" x14ac:dyDescent="0.2">
      <c r="B1648" s="171">
        <f t="shared" si="552"/>
        <v>29</v>
      </c>
      <c r="C1648" s="130"/>
      <c r="D1648" s="130"/>
      <c r="E1648" s="149"/>
      <c r="F1648" s="149">
        <v>610</v>
      </c>
      <c r="G1648" s="199" t="s">
        <v>257</v>
      </c>
      <c r="H1648" s="388">
        <v>11031</v>
      </c>
      <c r="I1648" s="388"/>
      <c r="J1648" s="388">
        <f t="shared" si="551"/>
        <v>11031</v>
      </c>
      <c r="K1648" s="132"/>
      <c r="L1648" s="526"/>
      <c r="M1648" s="526"/>
      <c r="N1648" s="526"/>
      <c r="O1648" s="132"/>
      <c r="P1648" s="530">
        <f t="shared" si="548"/>
        <v>11031</v>
      </c>
      <c r="Q1648" s="530">
        <f t="shared" si="556"/>
        <v>0</v>
      </c>
      <c r="R1648" s="530">
        <f t="shared" si="556"/>
        <v>11031</v>
      </c>
    </row>
    <row r="1649" spans="2:18" x14ac:dyDescent="0.2">
      <c r="B1649" s="171">
        <f t="shared" si="552"/>
        <v>30</v>
      </c>
      <c r="C1649" s="130"/>
      <c r="D1649" s="130"/>
      <c r="E1649" s="134"/>
      <c r="F1649" s="149">
        <v>620</v>
      </c>
      <c r="G1649" s="199" t="s">
        <v>259</v>
      </c>
      <c r="H1649" s="388">
        <v>3861</v>
      </c>
      <c r="I1649" s="388"/>
      <c r="J1649" s="388">
        <f t="shared" si="551"/>
        <v>3861</v>
      </c>
      <c r="K1649" s="132"/>
      <c r="L1649" s="526"/>
      <c r="M1649" s="526"/>
      <c r="N1649" s="526"/>
      <c r="O1649" s="132"/>
      <c r="P1649" s="530">
        <f t="shared" si="548"/>
        <v>3861</v>
      </c>
      <c r="Q1649" s="530">
        <f t="shared" si="556"/>
        <v>0</v>
      </c>
      <c r="R1649" s="530">
        <f t="shared" si="556"/>
        <v>3861</v>
      </c>
    </row>
    <row r="1650" spans="2:18" x14ac:dyDescent="0.2">
      <c r="B1650" s="171">
        <f t="shared" si="552"/>
        <v>31</v>
      </c>
      <c r="C1650" s="130"/>
      <c r="D1650" s="130"/>
      <c r="E1650" s="134"/>
      <c r="F1650" s="149">
        <v>630</v>
      </c>
      <c r="G1650" s="199" t="s">
        <v>340</v>
      </c>
      <c r="H1650" s="388">
        <f>SUM(H1651:H1654)</f>
        <v>7566</v>
      </c>
      <c r="I1650" s="388"/>
      <c r="J1650" s="388">
        <f t="shared" si="551"/>
        <v>7566</v>
      </c>
      <c r="K1650" s="132"/>
      <c r="L1650" s="526"/>
      <c r="M1650" s="526"/>
      <c r="N1650" s="526"/>
      <c r="O1650" s="132"/>
      <c r="P1650" s="530">
        <f t="shared" si="548"/>
        <v>7566</v>
      </c>
      <c r="Q1650" s="530">
        <f t="shared" si="556"/>
        <v>0</v>
      </c>
      <c r="R1650" s="530">
        <f t="shared" si="556"/>
        <v>7566</v>
      </c>
    </row>
    <row r="1651" spans="2:18" x14ac:dyDescent="0.2">
      <c r="B1651" s="171">
        <f t="shared" si="552"/>
        <v>32</v>
      </c>
      <c r="C1651" s="130"/>
      <c r="D1651" s="130"/>
      <c r="E1651" s="134"/>
      <c r="F1651" s="134">
        <v>632</v>
      </c>
      <c r="G1651" s="194" t="s">
        <v>246</v>
      </c>
      <c r="H1651" s="526">
        <v>5113</v>
      </c>
      <c r="I1651" s="526"/>
      <c r="J1651" s="526">
        <f t="shared" si="551"/>
        <v>5113</v>
      </c>
      <c r="K1651" s="132"/>
      <c r="L1651" s="526"/>
      <c r="M1651" s="526"/>
      <c r="N1651" s="526"/>
      <c r="O1651" s="132"/>
      <c r="P1651" s="168">
        <f t="shared" si="548"/>
        <v>5113</v>
      </c>
      <c r="Q1651" s="168">
        <f t="shared" si="556"/>
        <v>0</v>
      </c>
      <c r="R1651" s="168">
        <f t="shared" si="556"/>
        <v>5113</v>
      </c>
    </row>
    <row r="1652" spans="2:18" x14ac:dyDescent="0.2">
      <c r="B1652" s="171">
        <f t="shared" si="552"/>
        <v>33</v>
      </c>
      <c r="C1652" s="130"/>
      <c r="D1652" s="130"/>
      <c r="E1652" s="134"/>
      <c r="F1652" s="134">
        <v>633</v>
      </c>
      <c r="G1652" s="194" t="s">
        <v>247</v>
      </c>
      <c r="H1652" s="526">
        <v>100</v>
      </c>
      <c r="I1652" s="526"/>
      <c r="J1652" s="526">
        <f t="shared" si="551"/>
        <v>100</v>
      </c>
      <c r="K1652" s="132"/>
      <c r="L1652" s="526"/>
      <c r="M1652" s="526"/>
      <c r="N1652" s="526"/>
      <c r="O1652" s="132"/>
      <c r="P1652" s="168">
        <f t="shared" si="548"/>
        <v>100</v>
      </c>
      <c r="Q1652" s="168">
        <f t="shared" ref="Q1652:R1665" si="559">I1652+M1652</f>
        <v>0</v>
      </c>
      <c r="R1652" s="168">
        <f t="shared" si="559"/>
        <v>100</v>
      </c>
    </row>
    <row r="1653" spans="2:18" x14ac:dyDescent="0.2">
      <c r="B1653" s="171">
        <f t="shared" si="552"/>
        <v>34</v>
      </c>
      <c r="C1653" s="130"/>
      <c r="D1653" s="130"/>
      <c r="E1653" s="134"/>
      <c r="F1653" s="134">
        <v>635</v>
      </c>
      <c r="G1653" s="194" t="s">
        <v>261</v>
      </c>
      <c r="H1653" s="526">
        <v>500</v>
      </c>
      <c r="I1653" s="526"/>
      <c r="J1653" s="526">
        <f t="shared" si="551"/>
        <v>500</v>
      </c>
      <c r="K1653" s="132"/>
      <c r="L1653" s="526"/>
      <c r="M1653" s="526"/>
      <c r="N1653" s="526"/>
      <c r="O1653" s="132"/>
      <c r="P1653" s="168">
        <f t="shared" si="548"/>
        <v>500</v>
      </c>
      <c r="Q1653" s="168">
        <f t="shared" si="559"/>
        <v>0</v>
      </c>
      <c r="R1653" s="168">
        <f t="shared" si="559"/>
        <v>500</v>
      </c>
    </row>
    <row r="1654" spans="2:18" x14ac:dyDescent="0.2">
      <c r="B1654" s="171">
        <f t="shared" si="552"/>
        <v>35</v>
      </c>
      <c r="C1654" s="130"/>
      <c r="D1654" s="130"/>
      <c r="E1654" s="134"/>
      <c r="F1654" s="134">
        <v>637</v>
      </c>
      <c r="G1654" s="194" t="s">
        <v>320</v>
      </c>
      <c r="H1654" s="526">
        <v>1853</v>
      </c>
      <c r="I1654" s="526"/>
      <c r="J1654" s="526">
        <f t="shared" si="551"/>
        <v>1853</v>
      </c>
      <c r="K1654" s="132"/>
      <c r="L1654" s="526"/>
      <c r="M1654" s="526"/>
      <c r="N1654" s="526"/>
      <c r="O1654" s="132"/>
      <c r="P1654" s="168">
        <f t="shared" si="548"/>
        <v>1853</v>
      </c>
      <c r="Q1654" s="168">
        <f t="shared" si="559"/>
        <v>0</v>
      </c>
      <c r="R1654" s="168">
        <f t="shared" si="559"/>
        <v>1853</v>
      </c>
    </row>
    <row r="1655" spans="2:18" ht="15.75" x14ac:dyDescent="0.25">
      <c r="B1655" s="171">
        <f t="shared" si="552"/>
        <v>36</v>
      </c>
      <c r="C1655" s="23">
        <v>5</v>
      </c>
      <c r="D1655" s="127" t="s">
        <v>145</v>
      </c>
      <c r="E1655" s="24"/>
      <c r="F1655" s="24"/>
      <c r="G1655" s="193"/>
      <c r="H1655" s="414">
        <f>H1656+H1674+H1688</f>
        <v>448155</v>
      </c>
      <c r="I1655" s="414">
        <f>I1656+I1674+I1688</f>
        <v>0</v>
      </c>
      <c r="J1655" s="414">
        <f t="shared" si="551"/>
        <v>448155</v>
      </c>
      <c r="K1655" s="88"/>
      <c r="L1655" s="393"/>
      <c r="M1655" s="393"/>
      <c r="N1655" s="393"/>
      <c r="O1655" s="88"/>
      <c r="P1655" s="373">
        <f t="shared" si="548"/>
        <v>448155</v>
      </c>
      <c r="Q1655" s="373">
        <f t="shared" si="559"/>
        <v>0</v>
      </c>
      <c r="R1655" s="373">
        <f t="shared" si="559"/>
        <v>448155</v>
      </c>
    </row>
    <row r="1656" spans="2:18" x14ac:dyDescent="0.2">
      <c r="B1656" s="171">
        <f t="shared" si="552"/>
        <v>37</v>
      </c>
      <c r="C1656" s="76"/>
      <c r="D1656" s="177" t="s">
        <v>4</v>
      </c>
      <c r="E1656" s="513" t="s">
        <v>673</v>
      </c>
      <c r="F1656" s="230" t="s">
        <v>456</v>
      </c>
      <c r="G1656" s="231"/>
      <c r="H1656" s="387">
        <f>H1657+H1671+H1672+H1673+H1667+H1668+H1669</f>
        <v>8135</v>
      </c>
      <c r="I1656" s="387">
        <f t="shared" ref="I1656" si="560">I1657+I1671+I1672+I1673+I1667+I1668+I1669</f>
        <v>0</v>
      </c>
      <c r="J1656" s="387">
        <f t="shared" si="551"/>
        <v>8135</v>
      </c>
      <c r="K1656" s="20"/>
      <c r="L1656" s="874"/>
      <c r="M1656" s="874"/>
      <c r="N1656" s="874"/>
      <c r="O1656" s="20"/>
      <c r="P1656" s="232">
        <f t="shared" si="548"/>
        <v>8135</v>
      </c>
      <c r="Q1656" s="232">
        <f t="shared" si="559"/>
        <v>0</v>
      </c>
      <c r="R1656" s="232">
        <f t="shared" si="559"/>
        <v>8135</v>
      </c>
    </row>
    <row r="1657" spans="2:18" x14ac:dyDescent="0.2">
      <c r="B1657" s="171">
        <f t="shared" si="552"/>
        <v>38</v>
      </c>
      <c r="C1657" s="130"/>
      <c r="D1657" s="130"/>
      <c r="E1657" s="134"/>
      <c r="F1657" s="149">
        <v>630</v>
      </c>
      <c r="G1657" s="199" t="s">
        <v>236</v>
      </c>
      <c r="H1657" s="493">
        <f>SUM(H1658:H1665)</f>
        <v>5035</v>
      </c>
      <c r="I1657" s="493">
        <f t="shared" ref="I1657" si="561">SUM(I1658:I1665)</f>
        <v>0</v>
      </c>
      <c r="J1657" s="493">
        <f t="shared" si="551"/>
        <v>5035</v>
      </c>
      <c r="K1657" s="132"/>
      <c r="L1657" s="526"/>
      <c r="M1657" s="526"/>
      <c r="N1657" s="526"/>
      <c r="O1657" s="132"/>
      <c r="P1657" s="271">
        <f t="shared" si="548"/>
        <v>5035</v>
      </c>
      <c r="Q1657" s="271">
        <f t="shared" si="559"/>
        <v>0</v>
      </c>
      <c r="R1657" s="271">
        <f t="shared" si="559"/>
        <v>5035</v>
      </c>
    </row>
    <row r="1658" spans="2:18" x14ac:dyDescent="0.2">
      <c r="B1658" s="171">
        <f t="shared" si="552"/>
        <v>39</v>
      </c>
      <c r="C1658" s="130"/>
      <c r="D1658" s="130"/>
      <c r="E1658" s="161" t="s">
        <v>673</v>
      </c>
      <c r="F1658" s="524">
        <v>630</v>
      </c>
      <c r="G1658" s="194" t="s">
        <v>619</v>
      </c>
      <c r="H1658" s="526">
        <v>496</v>
      </c>
      <c r="I1658" s="526"/>
      <c r="J1658" s="526">
        <f t="shared" si="551"/>
        <v>496</v>
      </c>
      <c r="K1658" s="132"/>
      <c r="L1658" s="527"/>
      <c r="M1658" s="527"/>
      <c r="N1658" s="527"/>
      <c r="O1658" s="132"/>
      <c r="P1658" s="167">
        <f t="shared" si="548"/>
        <v>496</v>
      </c>
      <c r="Q1658" s="167">
        <f t="shared" si="559"/>
        <v>0</v>
      </c>
      <c r="R1658" s="167">
        <f t="shared" si="559"/>
        <v>496</v>
      </c>
    </row>
    <row r="1659" spans="2:18" x14ac:dyDescent="0.2">
      <c r="B1659" s="171">
        <f t="shared" si="552"/>
        <v>40</v>
      </c>
      <c r="C1659" s="130"/>
      <c r="D1659" s="130"/>
      <c r="E1659" s="161" t="s">
        <v>673</v>
      </c>
      <c r="F1659" s="524">
        <v>630</v>
      </c>
      <c r="G1659" s="603" t="s">
        <v>620</v>
      </c>
      <c r="H1659" s="526">
        <v>467</v>
      </c>
      <c r="I1659" s="526"/>
      <c r="J1659" s="526">
        <f t="shared" si="551"/>
        <v>467</v>
      </c>
      <c r="K1659" s="132"/>
      <c r="L1659" s="527"/>
      <c r="M1659" s="527"/>
      <c r="N1659" s="527"/>
      <c r="O1659" s="132"/>
      <c r="P1659" s="167">
        <f t="shared" si="548"/>
        <v>467</v>
      </c>
      <c r="Q1659" s="167">
        <f t="shared" si="559"/>
        <v>0</v>
      </c>
      <c r="R1659" s="167">
        <f t="shared" si="559"/>
        <v>467</v>
      </c>
    </row>
    <row r="1660" spans="2:18" x14ac:dyDescent="0.2">
      <c r="B1660" s="171">
        <f t="shared" si="552"/>
        <v>41</v>
      </c>
      <c r="C1660" s="130"/>
      <c r="D1660" s="130"/>
      <c r="E1660" s="161" t="s">
        <v>673</v>
      </c>
      <c r="F1660" s="524">
        <v>630</v>
      </c>
      <c r="G1660" s="603" t="s">
        <v>621</v>
      </c>
      <c r="H1660" s="526">
        <v>711</v>
      </c>
      <c r="I1660" s="526"/>
      <c r="J1660" s="526">
        <f t="shared" si="551"/>
        <v>711</v>
      </c>
      <c r="K1660" s="132"/>
      <c r="L1660" s="527"/>
      <c r="M1660" s="527"/>
      <c r="N1660" s="527"/>
      <c r="O1660" s="132"/>
      <c r="P1660" s="167">
        <f t="shared" si="548"/>
        <v>711</v>
      </c>
      <c r="Q1660" s="167">
        <f t="shared" si="559"/>
        <v>0</v>
      </c>
      <c r="R1660" s="167">
        <f t="shared" si="559"/>
        <v>711</v>
      </c>
    </row>
    <row r="1661" spans="2:18" x14ac:dyDescent="0.2">
      <c r="B1661" s="171">
        <f t="shared" si="552"/>
        <v>42</v>
      </c>
      <c r="C1661" s="130"/>
      <c r="D1661" s="130"/>
      <c r="E1661" s="161" t="s">
        <v>673</v>
      </c>
      <c r="F1661" s="524">
        <v>630</v>
      </c>
      <c r="G1661" s="603" t="s">
        <v>622</v>
      </c>
      <c r="H1661" s="526">
        <v>632</v>
      </c>
      <c r="I1661" s="526"/>
      <c r="J1661" s="526">
        <f t="shared" si="551"/>
        <v>632</v>
      </c>
      <c r="K1661" s="132"/>
      <c r="L1661" s="527"/>
      <c r="M1661" s="527"/>
      <c r="N1661" s="527"/>
      <c r="O1661" s="132"/>
      <c r="P1661" s="167">
        <f t="shared" si="548"/>
        <v>632</v>
      </c>
      <c r="Q1661" s="167">
        <f t="shared" si="559"/>
        <v>0</v>
      </c>
      <c r="R1661" s="167">
        <f t="shared" si="559"/>
        <v>632</v>
      </c>
    </row>
    <row r="1662" spans="2:18" x14ac:dyDescent="0.2">
      <c r="B1662" s="171">
        <f t="shared" si="552"/>
        <v>43</v>
      </c>
      <c r="C1662" s="130"/>
      <c r="D1662" s="130"/>
      <c r="E1662" s="161" t="s">
        <v>673</v>
      </c>
      <c r="F1662" s="524">
        <v>630</v>
      </c>
      <c r="G1662" s="603" t="s">
        <v>623</v>
      </c>
      <c r="H1662" s="526">
        <v>524</v>
      </c>
      <c r="I1662" s="526"/>
      <c r="J1662" s="526">
        <f t="shared" si="551"/>
        <v>524</v>
      </c>
      <c r="K1662" s="132"/>
      <c r="L1662" s="527"/>
      <c r="M1662" s="527"/>
      <c r="N1662" s="527"/>
      <c r="O1662" s="132"/>
      <c r="P1662" s="167">
        <f t="shared" si="548"/>
        <v>524</v>
      </c>
      <c r="Q1662" s="167">
        <f t="shared" si="559"/>
        <v>0</v>
      </c>
      <c r="R1662" s="167">
        <f t="shared" si="559"/>
        <v>524</v>
      </c>
    </row>
    <row r="1663" spans="2:18" x14ac:dyDescent="0.2">
      <c r="B1663" s="171">
        <f t="shared" si="552"/>
        <v>44</v>
      </c>
      <c r="C1663" s="130"/>
      <c r="D1663" s="130"/>
      <c r="E1663" s="161" t="s">
        <v>673</v>
      </c>
      <c r="F1663" s="524">
        <v>630</v>
      </c>
      <c r="G1663" s="603" t="s">
        <v>624</v>
      </c>
      <c r="H1663" s="526">
        <v>1099</v>
      </c>
      <c r="I1663" s="526"/>
      <c r="J1663" s="526">
        <f t="shared" si="551"/>
        <v>1099</v>
      </c>
      <c r="K1663" s="132"/>
      <c r="L1663" s="527"/>
      <c r="M1663" s="527"/>
      <c r="N1663" s="527"/>
      <c r="O1663" s="132"/>
      <c r="P1663" s="167">
        <f t="shared" si="548"/>
        <v>1099</v>
      </c>
      <c r="Q1663" s="167">
        <f t="shared" si="559"/>
        <v>0</v>
      </c>
      <c r="R1663" s="167">
        <f t="shared" si="559"/>
        <v>1099</v>
      </c>
    </row>
    <row r="1664" spans="2:18" x14ac:dyDescent="0.2">
      <c r="B1664" s="171">
        <f t="shared" si="552"/>
        <v>45</v>
      </c>
      <c r="C1664" s="130"/>
      <c r="D1664" s="130"/>
      <c r="E1664" s="161" t="s">
        <v>673</v>
      </c>
      <c r="F1664" s="524">
        <v>630</v>
      </c>
      <c r="G1664" s="603" t="s">
        <v>625</v>
      </c>
      <c r="H1664" s="526">
        <v>675</v>
      </c>
      <c r="I1664" s="526"/>
      <c r="J1664" s="526">
        <f t="shared" si="551"/>
        <v>675</v>
      </c>
      <c r="K1664" s="132"/>
      <c r="L1664" s="527"/>
      <c r="M1664" s="527"/>
      <c r="N1664" s="527"/>
      <c r="O1664" s="132"/>
      <c r="P1664" s="167">
        <f t="shared" si="548"/>
        <v>675</v>
      </c>
      <c r="Q1664" s="167">
        <f t="shared" si="559"/>
        <v>0</v>
      </c>
      <c r="R1664" s="167">
        <f t="shared" si="559"/>
        <v>675</v>
      </c>
    </row>
    <row r="1665" spans="2:18" x14ac:dyDescent="0.2">
      <c r="B1665" s="171">
        <f t="shared" si="552"/>
        <v>46</v>
      </c>
      <c r="C1665" s="130"/>
      <c r="D1665" s="130"/>
      <c r="E1665" s="161" t="s">
        <v>673</v>
      </c>
      <c r="F1665" s="524">
        <v>630</v>
      </c>
      <c r="G1665" s="603" t="s">
        <v>626</v>
      </c>
      <c r="H1665" s="526">
        <v>431</v>
      </c>
      <c r="I1665" s="526"/>
      <c r="J1665" s="526">
        <f t="shared" si="551"/>
        <v>431</v>
      </c>
      <c r="K1665" s="132"/>
      <c r="L1665" s="527"/>
      <c r="M1665" s="527"/>
      <c r="N1665" s="527"/>
      <c r="O1665" s="132"/>
      <c r="P1665" s="167">
        <f t="shared" si="548"/>
        <v>431</v>
      </c>
      <c r="Q1665" s="167">
        <f t="shared" si="559"/>
        <v>0</v>
      </c>
      <c r="R1665" s="167">
        <f t="shared" si="559"/>
        <v>431</v>
      </c>
    </row>
    <row r="1666" spans="2:18" x14ac:dyDescent="0.2">
      <c r="B1666" s="171">
        <f t="shared" si="552"/>
        <v>47</v>
      </c>
      <c r="C1666" s="130"/>
      <c r="D1666" s="130"/>
      <c r="E1666" s="161"/>
      <c r="F1666" s="524"/>
      <c r="G1666" s="603"/>
      <c r="H1666" s="526"/>
      <c r="I1666" s="526"/>
      <c r="J1666" s="526"/>
      <c r="K1666" s="132"/>
      <c r="L1666" s="527"/>
      <c r="M1666" s="527"/>
      <c r="N1666" s="527"/>
      <c r="O1666" s="132"/>
      <c r="P1666" s="167"/>
      <c r="Q1666" s="167"/>
      <c r="R1666" s="167"/>
    </row>
    <row r="1667" spans="2:18" x14ac:dyDescent="0.2">
      <c r="B1667" s="171">
        <f t="shared" si="552"/>
        <v>48</v>
      </c>
      <c r="C1667" s="130"/>
      <c r="D1667" s="130"/>
      <c r="E1667" s="161" t="s">
        <v>670</v>
      </c>
      <c r="F1667" s="524">
        <v>640</v>
      </c>
      <c r="G1667" s="603" t="s">
        <v>732</v>
      </c>
      <c r="H1667" s="526">
        <f>600-230</f>
        <v>370</v>
      </c>
      <c r="I1667" s="526"/>
      <c r="J1667" s="526">
        <f t="shared" si="551"/>
        <v>370</v>
      </c>
      <c r="K1667" s="132"/>
      <c r="L1667" s="527"/>
      <c r="M1667" s="527"/>
      <c r="N1667" s="527"/>
      <c r="O1667" s="132"/>
      <c r="P1667" s="167">
        <f>H1667+L1667</f>
        <v>370</v>
      </c>
      <c r="Q1667" s="167">
        <f t="shared" ref="Q1667:R1669" si="562">I1667+M1667</f>
        <v>0</v>
      </c>
      <c r="R1667" s="167">
        <f t="shared" si="562"/>
        <v>370</v>
      </c>
    </row>
    <row r="1668" spans="2:18" x14ac:dyDescent="0.2">
      <c r="B1668" s="171">
        <f t="shared" si="552"/>
        <v>49</v>
      </c>
      <c r="C1668" s="130"/>
      <c r="D1668" s="130"/>
      <c r="E1668" s="161" t="s">
        <v>670</v>
      </c>
      <c r="F1668" s="524">
        <v>640</v>
      </c>
      <c r="G1668" s="603" t="s">
        <v>733</v>
      </c>
      <c r="H1668" s="526">
        <v>1500</v>
      </c>
      <c r="I1668" s="526"/>
      <c r="J1668" s="526">
        <f t="shared" si="551"/>
        <v>1500</v>
      </c>
      <c r="K1668" s="132"/>
      <c r="L1668" s="527"/>
      <c r="M1668" s="527"/>
      <c r="N1668" s="527"/>
      <c r="O1668" s="132"/>
      <c r="P1668" s="167">
        <f>H1668+L1668</f>
        <v>1500</v>
      </c>
      <c r="Q1668" s="167">
        <f t="shared" si="562"/>
        <v>0</v>
      </c>
      <c r="R1668" s="167">
        <f t="shared" si="562"/>
        <v>1500</v>
      </c>
    </row>
    <row r="1669" spans="2:18" x14ac:dyDescent="0.2">
      <c r="B1669" s="171">
        <f t="shared" si="552"/>
        <v>50</v>
      </c>
      <c r="C1669" s="130"/>
      <c r="D1669" s="130"/>
      <c r="E1669" s="161" t="s">
        <v>670</v>
      </c>
      <c r="F1669" s="524">
        <v>640</v>
      </c>
      <c r="G1669" s="603" t="s">
        <v>836</v>
      </c>
      <c r="H1669" s="526">
        <v>230</v>
      </c>
      <c r="I1669" s="526"/>
      <c r="J1669" s="526">
        <f t="shared" si="551"/>
        <v>230</v>
      </c>
      <c r="K1669" s="132"/>
      <c r="L1669" s="527"/>
      <c r="M1669" s="527"/>
      <c r="N1669" s="527"/>
      <c r="O1669" s="132"/>
      <c r="P1669" s="167">
        <f>H1669+L1669</f>
        <v>230</v>
      </c>
      <c r="Q1669" s="167">
        <f t="shared" si="562"/>
        <v>0</v>
      </c>
      <c r="R1669" s="167">
        <f t="shared" si="562"/>
        <v>230</v>
      </c>
    </row>
    <row r="1670" spans="2:18" x14ac:dyDescent="0.2">
      <c r="B1670" s="171">
        <f t="shared" si="552"/>
        <v>51</v>
      </c>
      <c r="C1670" s="130"/>
      <c r="D1670" s="130"/>
      <c r="E1670" s="161"/>
      <c r="F1670" s="524"/>
      <c r="G1670" s="603"/>
      <c r="H1670" s="526"/>
      <c r="I1670" s="526"/>
      <c r="J1670" s="526"/>
      <c r="K1670" s="132"/>
      <c r="L1670" s="527"/>
      <c r="M1670" s="527"/>
      <c r="N1670" s="527"/>
      <c r="O1670" s="132"/>
      <c r="P1670" s="167"/>
      <c r="Q1670" s="167"/>
      <c r="R1670" s="167"/>
    </row>
    <row r="1671" spans="2:18" x14ac:dyDescent="0.2">
      <c r="B1671" s="171">
        <f t="shared" si="552"/>
        <v>52</v>
      </c>
      <c r="C1671" s="130"/>
      <c r="D1671" s="130"/>
      <c r="E1671" s="161"/>
      <c r="F1671" s="524">
        <v>633</v>
      </c>
      <c r="G1671" s="194" t="s">
        <v>581</v>
      </c>
      <c r="H1671" s="526">
        <v>150</v>
      </c>
      <c r="I1671" s="526"/>
      <c r="J1671" s="526">
        <f t="shared" si="551"/>
        <v>150</v>
      </c>
      <c r="K1671" s="132"/>
      <c r="L1671" s="527"/>
      <c r="M1671" s="527"/>
      <c r="N1671" s="527"/>
      <c r="O1671" s="132"/>
      <c r="P1671" s="167">
        <f t="shared" ref="P1671:P1685" si="563">H1671+L1671</f>
        <v>150</v>
      </c>
      <c r="Q1671" s="167">
        <f t="shared" ref="Q1671:R1685" si="564">I1671+M1671</f>
        <v>0</v>
      </c>
      <c r="R1671" s="167">
        <f t="shared" si="564"/>
        <v>150</v>
      </c>
    </row>
    <row r="1672" spans="2:18" x14ac:dyDescent="0.2">
      <c r="B1672" s="171">
        <f t="shared" si="552"/>
        <v>53</v>
      </c>
      <c r="C1672" s="130"/>
      <c r="D1672" s="130"/>
      <c r="E1672" s="161"/>
      <c r="F1672" s="524">
        <v>634</v>
      </c>
      <c r="G1672" s="194" t="s">
        <v>581</v>
      </c>
      <c r="H1672" s="526">
        <f>650-250</f>
        <v>400</v>
      </c>
      <c r="I1672" s="526"/>
      <c r="J1672" s="526">
        <f t="shared" si="551"/>
        <v>400</v>
      </c>
      <c r="K1672" s="132"/>
      <c r="L1672" s="527"/>
      <c r="M1672" s="527"/>
      <c r="N1672" s="527"/>
      <c r="O1672" s="132"/>
      <c r="P1672" s="167">
        <f t="shared" si="563"/>
        <v>400</v>
      </c>
      <c r="Q1672" s="167">
        <f t="shared" si="564"/>
        <v>0</v>
      </c>
      <c r="R1672" s="167">
        <f t="shared" si="564"/>
        <v>400</v>
      </c>
    </row>
    <row r="1673" spans="2:18" x14ac:dyDescent="0.2">
      <c r="B1673" s="171">
        <f t="shared" si="552"/>
        <v>54</v>
      </c>
      <c r="C1673" s="130"/>
      <c r="D1673" s="130"/>
      <c r="E1673" s="161"/>
      <c r="F1673" s="524">
        <v>637</v>
      </c>
      <c r="G1673" s="194" t="s">
        <v>581</v>
      </c>
      <c r="H1673" s="526">
        <f>200+250</f>
        <v>450</v>
      </c>
      <c r="I1673" s="526"/>
      <c r="J1673" s="526">
        <f t="shared" si="551"/>
        <v>450</v>
      </c>
      <c r="K1673" s="132"/>
      <c r="L1673" s="527"/>
      <c r="M1673" s="527"/>
      <c r="N1673" s="527"/>
      <c r="O1673" s="132"/>
      <c r="P1673" s="167">
        <f t="shared" si="563"/>
        <v>450</v>
      </c>
      <c r="Q1673" s="167">
        <f t="shared" si="564"/>
        <v>0</v>
      </c>
      <c r="R1673" s="167">
        <f t="shared" si="564"/>
        <v>450</v>
      </c>
    </row>
    <row r="1674" spans="2:18" x14ac:dyDescent="0.2">
      <c r="B1674" s="171">
        <f t="shared" si="552"/>
        <v>55</v>
      </c>
      <c r="C1674" s="76"/>
      <c r="D1674" s="177" t="s">
        <v>5</v>
      </c>
      <c r="E1674" s="230"/>
      <c r="F1674" s="230" t="s">
        <v>188</v>
      </c>
      <c r="G1674" s="231"/>
      <c r="H1674" s="387">
        <f>H1675+H1687</f>
        <v>419840</v>
      </c>
      <c r="I1674" s="387">
        <f t="shared" ref="I1674" si="565">I1675+I1687</f>
        <v>0</v>
      </c>
      <c r="J1674" s="387">
        <f t="shared" si="551"/>
        <v>419840</v>
      </c>
      <c r="K1674" s="20"/>
      <c r="L1674" s="874"/>
      <c r="M1674" s="874"/>
      <c r="N1674" s="874"/>
      <c r="O1674" s="20"/>
      <c r="P1674" s="235">
        <f t="shared" si="563"/>
        <v>419840</v>
      </c>
      <c r="Q1674" s="235">
        <f t="shared" si="564"/>
        <v>0</v>
      </c>
      <c r="R1674" s="235">
        <f t="shared" si="564"/>
        <v>419840</v>
      </c>
    </row>
    <row r="1675" spans="2:18" x14ac:dyDescent="0.2">
      <c r="B1675" s="171">
        <f t="shared" si="552"/>
        <v>56</v>
      </c>
      <c r="C1675" s="130"/>
      <c r="D1675" s="130"/>
      <c r="E1675" s="357" t="s">
        <v>673</v>
      </c>
      <c r="F1675" s="357"/>
      <c r="G1675" s="358" t="s">
        <v>290</v>
      </c>
      <c r="H1675" s="404">
        <f>H1676+H1677+H1678+H1685</f>
        <v>413202</v>
      </c>
      <c r="I1675" s="404">
        <f t="shared" ref="I1675" si="566">I1676+I1677+I1678+I1685</f>
        <v>0</v>
      </c>
      <c r="J1675" s="404">
        <f t="shared" si="551"/>
        <v>413202</v>
      </c>
      <c r="K1675" s="361"/>
      <c r="L1675" s="873"/>
      <c r="M1675" s="873"/>
      <c r="N1675" s="873"/>
      <c r="O1675" s="361"/>
      <c r="P1675" s="362">
        <f t="shared" si="563"/>
        <v>413202</v>
      </c>
      <c r="Q1675" s="362">
        <f t="shared" si="564"/>
        <v>0</v>
      </c>
      <c r="R1675" s="362">
        <f t="shared" si="564"/>
        <v>413202</v>
      </c>
    </row>
    <row r="1676" spans="2:18" x14ac:dyDescent="0.2">
      <c r="B1676" s="171">
        <f t="shared" si="552"/>
        <v>57</v>
      </c>
      <c r="C1676" s="130"/>
      <c r="D1676" s="130"/>
      <c r="E1676" s="149"/>
      <c r="F1676" s="149">
        <v>610</v>
      </c>
      <c r="G1676" s="199" t="s">
        <v>257</v>
      </c>
      <c r="H1676" s="388">
        <v>176108</v>
      </c>
      <c r="I1676" s="388"/>
      <c r="J1676" s="388">
        <f t="shared" si="551"/>
        <v>176108</v>
      </c>
      <c r="K1676" s="132"/>
      <c r="L1676" s="526"/>
      <c r="M1676" s="526"/>
      <c r="N1676" s="526"/>
      <c r="O1676" s="132"/>
      <c r="P1676" s="530">
        <f t="shared" si="563"/>
        <v>176108</v>
      </c>
      <c r="Q1676" s="530">
        <f t="shared" si="564"/>
        <v>0</v>
      </c>
      <c r="R1676" s="530">
        <f t="shared" si="564"/>
        <v>176108</v>
      </c>
    </row>
    <row r="1677" spans="2:18" x14ac:dyDescent="0.2">
      <c r="B1677" s="171">
        <f t="shared" si="552"/>
        <v>58</v>
      </c>
      <c r="C1677" s="130"/>
      <c r="D1677" s="130"/>
      <c r="E1677" s="134"/>
      <c r="F1677" s="149">
        <v>620</v>
      </c>
      <c r="G1677" s="199" t="s">
        <v>259</v>
      </c>
      <c r="H1677" s="388">
        <v>61638</v>
      </c>
      <c r="I1677" s="388"/>
      <c r="J1677" s="388">
        <f t="shared" si="551"/>
        <v>61638</v>
      </c>
      <c r="K1677" s="132"/>
      <c r="L1677" s="526"/>
      <c r="M1677" s="526"/>
      <c r="N1677" s="526"/>
      <c r="O1677" s="132"/>
      <c r="P1677" s="530">
        <f t="shared" si="563"/>
        <v>61638</v>
      </c>
      <c r="Q1677" s="530">
        <f t="shared" si="564"/>
        <v>0</v>
      </c>
      <c r="R1677" s="530">
        <f t="shared" si="564"/>
        <v>61638</v>
      </c>
    </row>
    <row r="1678" spans="2:18" x14ac:dyDescent="0.2">
      <c r="B1678" s="171">
        <f t="shared" si="552"/>
        <v>59</v>
      </c>
      <c r="C1678" s="130"/>
      <c r="D1678" s="130"/>
      <c r="E1678" s="134"/>
      <c r="F1678" s="149">
        <v>630</v>
      </c>
      <c r="G1678" s="199" t="s">
        <v>236</v>
      </c>
      <c r="H1678" s="388">
        <f>SUM(H1679:H1684)</f>
        <v>171206</v>
      </c>
      <c r="I1678" s="388">
        <f t="shared" ref="I1678" si="567">SUM(I1679:I1684)</f>
        <v>0</v>
      </c>
      <c r="J1678" s="388">
        <f t="shared" si="551"/>
        <v>171206</v>
      </c>
      <c r="K1678" s="132"/>
      <c r="L1678" s="526"/>
      <c r="M1678" s="526"/>
      <c r="N1678" s="526"/>
      <c r="O1678" s="132"/>
      <c r="P1678" s="530">
        <f t="shared" si="563"/>
        <v>171206</v>
      </c>
      <c r="Q1678" s="530">
        <f t="shared" si="564"/>
        <v>0</v>
      </c>
      <c r="R1678" s="530">
        <f t="shared" si="564"/>
        <v>171206</v>
      </c>
    </row>
    <row r="1679" spans="2:18" x14ac:dyDescent="0.2">
      <c r="B1679" s="171">
        <f t="shared" si="552"/>
        <v>60</v>
      </c>
      <c r="C1679" s="130"/>
      <c r="D1679" s="130"/>
      <c r="E1679" s="134"/>
      <c r="F1679" s="134">
        <v>631</v>
      </c>
      <c r="G1679" s="194" t="s">
        <v>519</v>
      </c>
      <c r="H1679" s="526">
        <v>200</v>
      </c>
      <c r="I1679" s="526"/>
      <c r="J1679" s="526">
        <f t="shared" si="551"/>
        <v>200</v>
      </c>
      <c r="K1679" s="132"/>
      <c r="L1679" s="526"/>
      <c r="M1679" s="526"/>
      <c r="N1679" s="526"/>
      <c r="O1679" s="132"/>
      <c r="P1679" s="168">
        <f t="shared" si="563"/>
        <v>200</v>
      </c>
      <c r="Q1679" s="168">
        <f t="shared" si="564"/>
        <v>0</v>
      </c>
      <c r="R1679" s="168">
        <f t="shared" si="564"/>
        <v>200</v>
      </c>
    </row>
    <row r="1680" spans="2:18" x14ac:dyDescent="0.2">
      <c r="B1680" s="171">
        <f t="shared" si="552"/>
        <v>61</v>
      </c>
      <c r="C1680" s="130"/>
      <c r="D1680" s="130"/>
      <c r="E1680" s="134"/>
      <c r="F1680" s="134">
        <v>632</v>
      </c>
      <c r="G1680" s="194" t="s">
        <v>246</v>
      </c>
      <c r="H1680" s="526">
        <v>57655</v>
      </c>
      <c r="I1680" s="526"/>
      <c r="J1680" s="526">
        <f t="shared" si="551"/>
        <v>57655</v>
      </c>
      <c r="K1680" s="132"/>
      <c r="L1680" s="526"/>
      <c r="M1680" s="526"/>
      <c r="N1680" s="526"/>
      <c r="O1680" s="132"/>
      <c r="P1680" s="168">
        <f t="shared" si="563"/>
        <v>57655</v>
      </c>
      <c r="Q1680" s="168">
        <f t="shared" si="564"/>
        <v>0</v>
      </c>
      <c r="R1680" s="168">
        <f t="shared" si="564"/>
        <v>57655</v>
      </c>
    </row>
    <row r="1681" spans="2:18" x14ac:dyDescent="0.2">
      <c r="B1681" s="171">
        <f t="shared" si="552"/>
        <v>62</v>
      </c>
      <c r="C1681" s="130"/>
      <c r="D1681" s="130"/>
      <c r="E1681" s="134"/>
      <c r="F1681" s="134">
        <v>633</v>
      </c>
      <c r="G1681" s="194" t="s">
        <v>247</v>
      </c>
      <c r="H1681" s="526">
        <v>19350</v>
      </c>
      <c r="I1681" s="526"/>
      <c r="J1681" s="526">
        <f t="shared" si="551"/>
        <v>19350</v>
      </c>
      <c r="K1681" s="132"/>
      <c r="L1681" s="526"/>
      <c r="M1681" s="526"/>
      <c r="N1681" s="526"/>
      <c r="O1681" s="132"/>
      <c r="P1681" s="168">
        <f t="shared" si="563"/>
        <v>19350</v>
      </c>
      <c r="Q1681" s="168">
        <f t="shared" si="564"/>
        <v>0</v>
      </c>
      <c r="R1681" s="168">
        <f t="shared" si="564"/>
        <v>19350</v>
      </c>
    </row>
    <row r="1682" spans="2:18" x14ac:dyDescent="0.2">
      <c r="B1682" s="171">
        <f t="shared" si="552"/>
        <v>63</v>
      </c>
      <c r="C1682" s="130"/>
      <c r="D1682" s="130"/>
      <c r="E1682" s="134"/>
      <c r="F1682" s="134">
        <v>634</v>
      </c>
      <c r="G1682" s="194" t="s">
        <v>260</v>
      </c>
      <c r="H1682" s="526">
        <v>2450</v>
      </c>
      <c r="I1682" s="526"/>
      <c r="J1682" s="526">
        <f t="shared" si="551"/>
        <v>2450</v>
      </c>
      <c r="K1682" s="132"/>
      <c r="L1682" s="526"/>
      <c r="M1682" s="526"/>
      <c r="N1682" s="526"/>
      <c r="O1682" s="132"/>
      <c r="P1682" s="168">
        <f t="shared" si="563"/>
        <v>2450</v>
      </c>
      <c r="Q1682" s="168">
        <f t="shared" si="564"/>
        <v>0</v>
      </c>
      <c r="R1682" s="168">
        <f t="shared" si="564"/>
        <v>2450</v>
      </c>
    </row>
    <row r="1683" spans="2:18" x14ac:dyDescent="0.2">
      <c r="B1683" s="171">
        <f t="shared" si="552"/>
        <v>64</v>
      </c>
      <c r="C1683" s="130"/>
      <c r="D1683" s="130"/>
      <c r="E1683" s="134"/>
      <c r="F1683" s="134">
        <v>635</v>
      </c>
      <c r="G1683" s="194" t="s">
        <v>261</v>
      </c>
      <c r="H1683" s="382">
        <v>22000</v>
      </c>
      <c r="I1683" s="382"/>
      <c r="J1683" s="382">
        <f t="shared" si="551"/>
        <v>22000</v>
      </c>
      <c r="K1683" s="132"/>
      <c r="L1683" s="382"/>
      <c r="M1683" s="382"/>
      <c r="N1683" s="382"/>
      <c r="O1683" s="132"/>
      <c r="P1683" s="213">
        <f t="shared" si="563"/>
        <v>22000</v>
      </c>
      <c r="Q1683" s="213">
        <f t="shared" si="564"/>
        <v>0</v>
      </c>
      <c r="R1683" s="213">
        <f t="shared" si="564"/>
        <v>22000</v>
      </c>
    </row>
    <row r="1684" spans="2:18" x14ac:dyDescent="0.2">
      <c r="B1684" s="171">
        <f t="shared" si="552"/>
        <v>65</v>
      </c>
      <c r="C1684" s="130"/>
      <c r="D1684" s="130"/>
      <c r="E1684" s="134"/>
      <c r="F1684" s="134">
        <v>637</v>
      </c>
      <c r="G1684" s="194" t="s">
        <v>248</v>
      </c>
      <c r="H1684" s="526">
        <v>69551</v>
      </c>
      <c r="I1684" s="526"/>
      <c r="J1684" s="526">
        <f t="shared" si="551"/>
        <v>69551</v>
      </c>
      <c r="K1684" s="132"/>
      <c r="L1684" s="526"/>
      <c r="M1684" s="526"/>
      <c r="N1684" s="526"/>
      <c r="O1684" s="132"/>
      <c r="P1684" s="168">
        <f t="shared" si="563"/>
        <v>69551</v>
      </c>
      <c r="Q1684" s="168">
        <f t="shared" si="564"/>
        <v>0</v>
      </c>
      <c r="R1684" s="168">
        <f t="shared" si="564"/>
        <v>69551</v>
      </c>
    </row>
    <row r="1685" spans="2:18" x14ac:dyDescent="0.2">
      <c r="B1685" s="171">
        <f t="shared" si="552"/>
        <v>66</v>
      </c>
      <c r="C1685" s="130"/>
      <c r="D1685" s="130"/>
      <c r="E1685" s="134"/>
      <c r="F1685" s="210">
        <v>640</v>
      </c>
      <c r="G1685" s="199" t="s">
        <v>520</v>
      </c>
      <c r="H1685" s="388">
        <v>4250</v>
      </c>
      <c r="I1685" s="388"/>
      <c r="J1685" s="388">
        <f t="shared" ref="J1685:J1748" si="568">H1685+I1685</f>
        <v>4250</v>
      </c>
      <c r="K1685" s="132"/>
      <c r="L1685" s="526"/>
      <c r="M1685" s="526"/>
      <c r="N1685" s="526"/>
      <c r="O1685" s="132"/>
      <c r="P1685" s="168">
        <f t="shared" si="563"/>
        <v>4250</v>
      </c>
      <c r="Q1685" s="168">
        <f t="shared" si="564"/>
        <v>0</v>
      </c>
      <c r="R1685" s="168">
        <f t="shared" si="564"/>
        <v>4250</v>
      </c>
    </row>
    <row r="1686" spans="2:18" x14ac:dyDescent="0.2">
      <c r="B1686" s="171">
        <f t="shared" ref="B1686:B1749" si="569">B1685+1</f>
        <v>67</v>
      </c>
      <c r="C1686" s="130"/>
      <c r="D1686" s="130"/>
      <c r="E1686" s="161"/>
      <c r="F1686" s="660"/>
      <c r="G1686" s="199"/>
      <c r="H1686" s="388"/>
      <c r="I1686" s="388"/>
      <c r="J1686" s="388">
        <f t="shared" si="568"/>
        <v>0</v>
      </c>
      <c r="K1686" s="132"/>
      <c r="L1686" s="527"/>
      <c r="M1686" s="527"/>
      <c r="N1686" s="527"/>
      <c r="O1686" s="132"/>
      <c r="P1686" s="168"/>
      <c r="Q1686" s="168"/>
      <c r="R1686" s="168"/>
    </row>
    <row r="1687" spans="2:18" x14ac:dyDescent="0.2">
      <c r="B1687" s="171">
        <f t="shared" si="569"/>
        <v>68</v>
      </c>
      <c r="C1687" s="130"/>
      <c r="D1687" s="130"/>
      <c r="E1687" s="161" t="s">
        <v>673</v>
      </c>
      <c r="F1687" s="661">
        <v>637</v>
      </c>
      <c r="G1687" s="194" t="s">
        <v>794</v>
      </c>
      <c r="H1687" s="526">
        <v>6638</v>
      </c>
      <c r="I1687" s="526"/>
      <c r="J1687" s="526">
        <f t="shared" si="568"/>
        <v>6638</v>
      </c>
      <c r="K1687" s="132"/>
      <c r="L1687" s="527"/>
      <c r="M1687" s="527"/>
      <c r="N1687" s="527"/>
      <c r="O1687" s="132"/>
      <c r="P1687" s="168">
        <f t="shared" ref="P1687:P1693" si="570">H1687+L1687</f>
        <v>6638</v>
      </c>
      <c r="Q1687" s="168">
        <f t="shared" ref="Q1687:R1693" si="571">I1687+M1687</f>
        <v>0</v>
      </c>
      <c r="R1687" s="168">
        <f t="shared" si="571"/>
        <v>6638</v>
      </c>
    </row>
    <row r="1688" spans="2:18" x14ac:dyDescent="0.2">
      <c r="B1688" s="171">
        <f t="shared" si="569"/>
        <v>69</v>
      </c>
      <c r="C1688" s="76"/>
      <c r="D1688" s="177" t="s">
        <v>6</v>
      </c>
      <c r="E1688" s="230"/>
      <c r="F1688" s="230" t="s">
        <v>566</v>
      </c>
      <c r="G1688" s="231"/>
      <c r="H1688" s="387">
        <f>H1689+H1695+H1696+H1697+H1698</f>
        <v>20180</v>
      </c>
      <c r="I1688" s="387">
        <f t="shared" ref="I1688" si="572">I1689+I1695+I1696+I1697+I1698</f>
        <v>0</v>
      </c>
      <c r="J1688" s="387">
        <f t="shared" si="568"/>
        <v>20180</v>
      </c>
      <c r="K1688" s="20"/>
      <c r="L1688" s="874"/>
      <c r="M1688" s="874"/>
      <c r="N1688" s="874"/>
      <c r="O1688" s="20"/>
      <c r="P1688" s="235">
        <f t="shared" si="570"/>
        <v>20180</v>
      </c>
      <c r="Q1688" s="235">
        <f t="shared" si="571"/>
        <v>0</v>
      </c>
      <c r="R1688" s="235">
        <f t="shared" si="571"/>
        <v>20180</v>
      </c>
    </row>
    <row r="1689" spans="2:18" x14ac:dyDescent="0.2">
      <c r="B1689" s="171">
        <f t="shared" si="569"/>
        <v>70</v>
      </c>
      <c r="C1689" s="130"/>
      <c r="D1689" s="130"/>
      <c r="E1689" s="154" t="s">
        <v>673</v>
      </c>
      <c r="F1689" s="154"/>
      <c r="G1689" s="199" t="s">
        <v>444</v>
      </c>
      <c r="H1689" s="388">
        <f>SUM(H1690:H1693)</f>
        <v>18550</v>
      </c>
      <c r="I1689" s="388">
        <f t="shared" ref="I1689" si="573">SUM(I1690:I1693)</f>
        <v>0</v>
      </c>
      <c r="J1689" s="388">
        <f t="shared" si="568"/>
        <v>18550</v>
      </c>
      <c r="K1689" s="132"/>
      <c r="L1689" s="526"/>
      <c r="M1689" s="526"/>
      <c r="N1689" s="526"/>
      <c r="O1689" s="132"/>
      <c r="P1689" s="530">
        <f t="shared" si="570"/>
        <v>18550</v>
      </c>
      <c r="Q1689" s="530">
        <f t="shared" si="571"/>
        <v>0</v>
      </c>
      <c r="R1689" s="530">
        <f t="shared" si="571"/>
        <v>18550</v>
      </c>
    </row>
    <row r="1690" spans="2:18" x14ac:dyDescent="0.2">
      <c r="B1690" s="171">
        <f t="shared" si="569"/>
        <v>71</v>
      </c>
      <c r="C1690" s="130"/>
      <c r="D1690" s="130"/>
      <c r="E1690" s="134"/>
      <c r="F1690" s="134">
        <v>632</v>
      </c>
      <c r="G1690" s="194" t="s">
        <v>246</v>
      </c>
      <c r="H1690" s="526">
        <v>17800</v>
      </c>
      <c r="I1690" s="526"/>
      <c r="J1690" s="526">
        <f t="shared" si="568"/>
        <v>17800</v>
      </c>
      <c r="K1690" s="132"/>
      <c r="L1690" s="526"/>
      <c r="M1690" s="526"/>
      <c r="N1690" s="526"/>
      <c r="O1690" s="132"/>
      <c r="P1690" s="168">
        <f t="shared" si="570"/>
        <v>17800</v>
      </c>
      <c r="Q1690" s="168">
        <f t="shared" si="571"/>
        <v>0</v>
      </c>
      <c r="R1690" s="168">
        <f t="shared" si="571"/>
        <v>17800</v>
      </c>
    </row>
    <row r="1691" spans="2:18" x14ac:dyDescent="0.2">
      <c r="B1691" s="171">
        <f t="shared" si="569"/>
        <v>72</v>
      </c>
      <c r="C1691" s="130"/>
      <c r="D1691" s="130"/>
      <c r="E1691" s="134"/>
      <c r="F1691" s="134">
        <v>633</v>
      </c>
      <c r="G1691" s="194" t="s">
        <v>247</v>
      </c>
      <c r="H1691" s="526">
        <f>100</f>
        <v>100</v>
      </c>
      <c r="I1691" s="526"/>
      <c r="J1691" s="526">
        <f t="shared" si="568"/>
        <v>100</v>
      </c>
      <c r="K1691" s="132"/>
      <c r="L1691" s="526"/>
      <c r="M1691" s="526"/>
      <c r="N1691" s="526"/>
      <c r="O1691" s="132"/>
      <c r="P1691" s="168">
        <f t="shared" si="570"/>
        <v>100</v>
      </c>
      <c r="Q1691" s="168">
        <f t="shared" si="571"/>
        <v>0</v>
      </c>
      <c r="R1691" s="168">
        <f t="shared" si="571"/>
        <v>100</v>
      </c>
    </row>
    <row r="1692" spans="2:18" x14ac:dyDescent="0.2">
      <c r="B1692" s="171">
        <f t="shared" si="569"/>
        <v>73</v>
      </c>
      <c r="C1692" s="130"/>
      <c r="D1692" s="130"/>
      <c r="E1692" s="134"/>
      <c r="F1692" s="134">
        <v>635</v>
      </c>
      <c r="G1692" s="194" t="s">
        <v>261</v>
      </c>
      <c r="H1692" s="526">
        <f>300</f>
        <v>300</v>
      </c>
      <c r="I1692" s="526"/>
      <c r="J1692" s="526">
        <f t="shared" si="568"/>
        <v>300</v>
      </c>
      <c r="K1692" s="132"/>
      <c r="L1692" s="526"/>
      <c r="M1692" s="526"/>
      <c r="N1692" s="526"/>
      <c r="O1692" s="132"/>
      <c r="P1692" s="168">
        <f t="shared" si="570"/>
        <v>300</v>
      </c>
      <c r="Q1692" s="168">
        <f t="shared" si="571"/>
        <v>0</v>
      </c>
      <c r="R1692" s="168">
        <f t="shared" si="571"/>
        <v>300</v>
      </c>
    </row>
    <row r="1693" spans="2:18" x14ac:dyDescent="0.2">
      <c r="B1693" s="171">
        <f t="shared" si="569"/>
        <v>74</v>
      </c>
      <c r="C1693" s="130"/>
      <c r="D1693" s="130"/>
      <c r="E1693" s="134"/>
      <c r="F1693" s="134">
        <v>637</v>
      </c>
      <c r="G1693" s="194" t="s">
        <v>248</v>
      </c>
      <c r="H1693" s="526">
        <f>100+250</f>
        <v>350</v>
      </c>
      <c r="I1693" s="526"/>
      <c r="J1693" s="526">
        <f t="shared" si="568"/>
        <v>350</v>
      </c>
      <c r="K1693" s="132"/>
      <c r="L1693" s="526"/>
      <c r="M1693" s="526"/>
      <c r="N1693" s="526"/>
      <c r="O1693" s="132"/>
      <c r="P1693" s="168">
        <f t="shared" si="570"/>
        <v>350</v>
      </c>
      <c r="Q1693" s="168">
        <f t="shared" si="571"/>
        <v>0</v>
      </c>
      <c r="R1693" s="168">
        <f t="shared" si="571"/>
        <v>350</v>
      </c>
    </row>
    <row r="1694" spans="2:18" x14ac:dyDescent="0.2">
      <c r="B1694" s="171">
        <f t="shared" si="569"/>
        <v>75</v>
      </c>
      <c r="C1694" s="130"/>
      <c r="D1694" s="130"/>
      <c r="E1694" s="134"/>
      <c r="F1694" s="134"/>
      <c r="G1694" s="194"/>
      <c r="H1694" s="526"/>
      <c r="I1694" s="526"/>
      <c r="J1694" s="526"/>
      <c r="K1694" s="132"/>
      <c r="L1694" s="526"/>
      <c r="M1694" s="526"/>
      <c r="N1694" s="526"/>
      <c r="O1694" s="132"/>
      <c r="P1694" s="168"/>
      <c r="Q1694" s="168"/>
      <c r="R1694" s="168"/>
    </row>
    <row r="1695" spans="2:18" x14ac:dyDescent="0.2">
      <c r="B1695" s="171">
        <f t="shared" si="569"/>
        <v>76</v>
      </c>
      <c r="C1695" s="130"/>
      <c r="D1695" s="130"/>
      <c r="E1695" s="134"/>
      <c r="F1695" s="134">
        <v>633</v>
      </c>
      <c r="G1695" s="194" t="s">
        <v>247</v>
      </c>
      <c r="H1695" s="526">
        <v>1200</v>
      </c>
      <c r="I1695" s="526"/>
      <c r="J1695" s="526">
        <f t="shared" si="568"/>
        <v>1200</v>
      </c>
      <c r="K1695" s="132"/>
      <c r="L1695" s="526"/>
      <c r="M1695" s="526"/>
      <c r="N1695" s="526"/>
      <c r="O1695" s="132"/>
      <c r="P1695" s="168">
        <f t="shared" ref="P1695:P1710" si="574">H1695+L1695</f>
        <v>1200</v>
      </c>
      <c r="Q1695" s="168">
        <f t="shared" ref="Q1695:R1710" si="575">I1695+M1695</f>
        <v>0</v>
      </c>
      <c r="R1695" s="168">
        <f t="shared" si="575"/>
        <v>1200</v>
      </c>
    </row>
    <row r="1696" spans="2:18" x14ac:dyDescent="0.2">
      <c r="B1696" s="171">
        <f t="shared" si="569"/>
        <v>77</v>
      </c>
      <c r="C1696" s="130"/>
      <c r="D1696" s="524"/>
      <c r="E1696" s="159"/>
      <c r="F1696" s="524">
        <v>635</v>
      </c>
      <c r="G1696" s="194" t="s">
        <v>261</v>
      </c>
      <c r="H1696" s="382">
        <v>200</v>
      </c>
      <c r="I1696" s="382"/>
      <c r="J1696" s="382">
        <f t="shared" si="568"/>
        <v>200</v>
      </c>
      <c r="K1696" s="132"/>
      <c r="L1696" s="382"/>
      <c r="M1696" s="382"/>
      <c r="N1696" s="382"/>
      <c r="O1696" s="132"/>
      <c r="P1696" s="213">
        <f t="shared" si="574"/>
        <v>200</v>
      </c>
      <c r="Q1696" s="213">
        <f t="shared" si="575"/>
        <v>0</v>
      </c>
      <c r="R1696" s="213">
        <f t="shared" si="575"/>
        <v>200</v>
      </c>
    </row>
    <row r="1697" spans="2:18" x14ac:dyDescent="0.2">
      <c r="B1697" s="171">
        <f t="shared" si="569"/>
        <v>78</v>
      </c>
      <c r="C1697" s="130"/>
      <c r="D1697" s="134"/>
      <c r="E1697" s="159"/>
      <c r="F1697" s="134">
        <v>637</v>
      </c>
      <c r="G1697" s="194" t="s">
        <v>248</v>
      </c>
      <c r="H1697" s="382">
        <v>150</v>
      </c>
      <c r="I1697" s="382"/>
      <c r="J1697" s="382">
        <f t="shared" si="568"/>
        <v>150</v>
      </c>
      <c r="K1697" s="132"/>
      <c r="L1697" s="382"/>
      <c r="M1697" s="382"/>
      <c r="N1697" s="382"/>
      <c r="O1697" s="132"/>
      <c r="P1697" s="213">
        <f t="shared" si="574"/>
        <v>150</v>
      </c>
      <c r="Q1697" s="213">
        <f t="shared" si="575"/>
        <v>0</v>
      </c>
      <c r="R1697" s="213">
        <f t="shared" si="575"/>
        <v>150</v>
      </c>
    </row>
    <row r="1698" spans="2:18" x14ac:dyDescent="0.2">
      <c r="B1698" s="171">
        <f t="shared" si="569"/>
        <v>79</v>
      </c>
      <c r="C1698" s="130"/>
      <c r="D1698" s="159"/>
      <c r="E1698" s="524"/>
      <c r="F1698" s="524">
        <v>637</v>
      </c>
      <c r="G1698" s="194" t="s">
        <v>303</v>
      </c>
      <c r="H1698" s="382">
        <v>80</v>
      </c>
      <c r="I1698" s="382"/>
      <c r="J1698" s="382">
        <f t="shared" si="568"/>
        <v>80</v>
      </c>
      <c r="K1698" s="132"/>
      <c r="L1698" s="382"/>
      <c r="M1698" s="382"/>
      <c r="N1698" s="382"/>
      <c r="O1698" s="132"/>
      <c r="P1698" s="213">
        <f t="shared" si="574"/>
        <v>80</v>
      </c>
      <c r="Q1698" s="213">
        <f t="shared" si="575"/>
        <v>0</v>
      </c>
      <c r="R1698" s="213">
        <f t="shared" si="575"/>
        <v>80</v>
      </c>
    </row>
    <row r="1699" spans="2:18" ht="15.75" x14ac:dyDescent="0.25">
      <c r="B1699" s="171">
        <f t="shared" si="569"/>
        <v>80</v>
      </c>
      <c r="C1699" s="23">
        <v>6</v>
      </c>
      <c r="D1699" s="127" t="s">
        <v>69</v>
      </c>
      <c r="E1699" s="24"/>
      <c r="F1699" s="24"/>
      <c r="G1699" s="193"/>
      <c r="H1699" s="414">
        <f>H1700+H1713+H1712+H1715+H1716</f>
        <v>902769</v>
      </c>
      <c r="I1699" s="414">
        <f t="shared" ref="I1699" si="576">I1700+I1713+I1712+I1715+I1716</f>
        <v>0</v>
      </c>
      <c r="J1699" s="414">
        <f t="shared" si="568"/>
        <v>902769</v>
      </c>
      <c r="K1699" s="88"/>
      <c r="L1699" s="393"/>
      <c r="M1699" s="393"/>
      <c r="N1699" s="393"/>
      <c r="O1699" s="88"/>
      <c r="P1699" s="373">
        <f t="shared" si="574"/>
        <v>902769</v>
      </c>
      <c r="Q1699" s="373">
        <f t="shared" si="575"/>
        <v>0</v>
      </c>
      <c r="R1699" s="373">
        <f t="shared" si="575"/>
        <v>902769</v>
      </c>
    </row>
    <row r="1700" spans="2:18" x14ac:dyDescent="0.2">
      <c r="B1700" s="171">
        <f t="shared" si="569"/>
        <v>81</v>
      </c>
      <c r="C1700" s="135"/>
      <c r="D1700" s="135"/>
      <c r="E1700" s="357" t="s">
        <v>674</v>
      </c>
      <c r="F1700" s="357"/>
      <c r="G1700" s="358" t="s">
        <v>451</v>
      </c>
      <c r="H1700" s="404">
        <f>H1701+H1702+H1703+H1710</f>
        <v>884921</v>
      </c>
      <c r="I1700" s="404">
        <f t="shared" ref="I1700" si="577">I1701+I1702+I1703+I1710</f>
        <v>0</v>
      </c>
      <c r="J1700" s="404">
        <f t="shared" si="568"/>
        <v>884921</v>
      </c>
      <c r="K1700" s="361"/>
      <c r="L1700" s="873"/>
      <c r="M1700" s="873"/>
      <c r="N1700" s="873"/>
      <c r="O1700" s="361"/>
      <c r="P1700" s="362">
        <f t="shared" si="574"/>
        <v>884921</v>
      </c>
      <c r="Q1700" s="362">
        <f t="shared" si="575"/>
        <v>0</v>
      </c>
      <c r="R1700" s="362">
        <f t="shared" si="575"/>
        <v>884921</v>
      </c>
    </row>
    <row r="1701" spans="2:18" x14ac:dyDescent="0.2">
      <c r="B1701" s="171">
        <f t="shared" si="569"/>
        <v>82</v>
      </c>
      <c r="C1701" s="130"/>
      <c r="D1701" s="130"/>
      <c r="E1701" s="149"/>
      <c r="F1701" s="149">
        <v>610</v>
      </c>
      <c r="G1701" s="199" t="s">
        <v>257</v>
      </c>
      <c r="H1701" s="388">
        <v>386740</v>
      </c>
      <c r="I1701" s="388"/>
      <c r="J1701" s="388">
        <f t="shared" si="568"/>
        <v>386740</v>
      </c>
      <c r="K1701" s="132"/>
      <c r="L1701" s="526"/>
      <c r="M1701" s="526"/>
      <c r="N1701" s="526"/>
      <c r="O1701" s="132"/>
      <c r="P1701" s="530">
        <f t="shared" si="574"/>
        <v>386740</v>
      </c>
      <c r="Q1701" s="530">
        <f t="shared" si="575"/>
        <v>0</v>
      </c>
      <c r="R1701" s="530">
        <f t="shared" si="575"/>
        <v>386740</v>
      </c>
    </row>
    <row r="1702" spans="2:18" x14ac:dyDescent="0.2">
      <c r="B1702" s="171">
        <f t="shared" si="569"/>
        <v>83</v>
      </c>
      <c r="C1702" s="130"/>
      <c r="D1702" s="130"/>
      <c r="E1702" s="134"/>
      <c r="F1702" s="149">
        <v>620</v>
      </c>
      <c r="G1702" s="199" t="s">
        <v>259</v>
      </c>
      <c r="H1702" s="388">
        <f>135359+4545</f>
        <v>139904</v>
      </c>
      <c r="I1702" s="388"/>
      <c r="J1702" s="388">
        <f t="shared" si="568"/>
        <v>139904</v>
      </c>
      <c r="K1702" s="132"/>
      <c r="L1702" s="526"/>
      <c r="M1702" s="526"/>
      <c r="N1702" s="526"/>
      <c r="O1702" s="132"/>
      <c r="P1702" s="530">
        <f t="shared" si="574"/>
        <v>139904</v>
      </c>
      <c r="Q1702" s="530">
        <f t="shared" si="575"/>
        <v>0</v>
      </c>
      <c r="R1702" s="530">
        <f t="shared" si="575"/>
        <v>139904</v>
      </c>
    </row>
    <row r="1703" spans="2:18" x14ac:dyDescent="0.2">
      <c r="B1703" s="171">
        <f t="shared" si="569"/>
        <v>84</v>
      </c>
      <c r="C1703" s="130"/>
      <c r="D1703" s="130"/>
      <c r="E1703" s="134"/>
      <c r="F1703" s="149">
        <v>630</v>
      </c>
      <c r="G1703" s="199" t="s">
        <v>447</v>
      </c>
      <c r="H1703" s="388">
        <f>SUM(H1704:H1709)</f>
        <v>354696</v>
      </c>
      <c r="I1703" s="388">
        <f>SUM(I1704:I1709)</f>
        <v>0</v>
      </c>
      <c r="J1703" s="388">
        <f t="shared" si="568"/>
        <v>354696</v>
      </c>
      <c r="K1703" s="132"/>
      <c r="L1703" s="526"/>
      <c r="M1703" s="526"/>
      <c r="N1703" s="526"/>
      <c r="O1703" s="132"/>
      <c r="P1703" s="530">
        <f t="shared" si="574"/>
        <v>354696</v>
      </c>
      <c r="Q1703" s="530">
        <f t="shared" si="575"/>
        <v>0</v>
      </c>
      <c r="R1703" s="530">
        <f t="shared" si="575"/>
        <v>354696</v>
      </c>
    </row>
    <row r="1704" spans="2:18" x14ac:dyDescent="0.2">
      <c r="B1704" s="171">
        <f t="shared" si="569"/>
        <v>85</v>
      </c>
      <c r="C1704" s="130"/>
      <c r="D1704" s="130"/>
      <c r="E1704" s="134"/>
      <c r="F1704" s="134">
        <v>631</v>
      </c>
      <c r="G1704" s="194" t="s">
        <v>519</v>
      </c>
      <c r="H1704" s="526">
        <v>200</v>
      </c>
      <c r="I1704" s="526"/>
      <c r="J1704" s="526">
        <f t="shared" si="568"/>
        <v>200</v>
      </c>
      <c r="K1704" s="132"/>
      <c r="L1704" s="526"/>
      <c r="M1704" s="526"/>
      <c r="N1704" s="526"/>
      <c r="O1704" s="132"/>
      <c r="P1704" s="168">
        <f t="shared" si="574"/>
        <v>200</v>
      </c>
      <c r="Q1704" s="168">
        <f t="shared" si="575"/>
        <v>0</v>
      </c>
      <c r="R1704" s="168">
        <f t="shared" si="575"/>
        <v>200</v>
      </c>
    </row>
    <row r="1705" spans="2:18" x14ac:dyDescent="0.2">
      <c r="B1705" s="171">
        <f t="shared" si="569"/>
        <v>86</v>
      </c>
      <c r="C1705" s="130"/>
      <c r="D1705" s="130"/>
      <c r="E1705" s="134"/>
      <c r="F1705" s="134">
        <v>632</v>
      </c>
      <c r="G1705" s="194" t="s">
        <v>318</v>
      </c>
      <c r="H1705" s="526">
        <v>87995</v>
      </c>
      <c r="I1705" s="526"/>
      <c r="J1705" s="526">
        <f t="shared" si="568"/>
        <v>87995</v>
      </c>
      <c r="K1705" s="132"/>
      <c r="L1705" s="526"/>
      <c r="M1705" s="526"/>
      <c r="N1705" s="526"/>
      <c r="O1705" s="132"/>
      <c r="P1705" s="168">
        <f t="shared" si="574"/>
        <v>87995</v>
      </c>
      <c r="Q1705" s="168">
        <f t="shared" si="575"/>
        <v>0</v>
      </c>
      <c r="R1705" s="168">
        <f t="shared" si="575"/>
        <v>87995</v>
      </c>
    </row>
    <row r="1706" spans="2:18" x14ac:dyDescent="0.2">
      <c r="B1706" s="171">
        <f t="shared" si="569"/>
        <v>87</v>
      </c>
      <c r="C1706" s="130"/>
      <c r="D1706" s="130"/>
      <c r="E1706" s="134"/>
      <c r="F1706" s="134">
        <v>633</v>
      </c>
      <c r="G1706" s="194" t="s">
        <v>247</v>
      </c>
      <c r="H1706" s="526">
        <f>16600+3300</f>
        <v>19900</v>
      </c>
      <c r="I1706" s="526"/>
      <c r="J1706" s="526">
        <f t="shared" si="568"/>
        <v>19900</v>
      </c>
      <c r="K1706" s="132"/>
      <c r="L1706" s="526"/>
      <c r="M1706" s="526"/>
      <c r="N1706" s="526"/>
      <c r="O1706" s="132"/>
      <c r="P1706" s="168">
        <f t="shared" si="574"/>
        <v>19900</v>
      </c>
      <c r="Q1706" s="168">
        <f t="shared" si="575"/>
        <v>0</v>
      </c>
      <c r="R1706" s="168">
        <f t="shared" si="575"/>
        <v>19900</v>
      </c>
    </row>
    <row r="1707" spans="2:18" x14ac:dyDescent="0.2">
      <c r="B1707" s="171">
        <f t="shared" si="569"/>
        <v>88</v>
      </c>
      <c r="C1707" s="130"/>
      <c r="D1707" s="130"/>
      <c r="E1707" s="134"/>
      <c r="F1707" s="134">
        <v>634</v>
      </c>
      <c r="G1707" s="194" t="s">
        <v>260</v>
      </c>
      <c r="H1707" s="526">
        <f>1330+150</f>
        <v>1480</v>
      </c>
      <c r="I1707" s="526"/>
      <c r="J1707" s="526">
        <f t="shared" si="568"/>
        <v>1480</v>
      </c>
      <c r="K1707" s="132"/>
      <c r="L1707" s="526"/>
      <c r="M1707" s="526"/>
      <c r="N1707" s="526"/>
      <c r="O1707" s="132"/>
      <c r="P1707" s="168">
        <f t="shared" si="574"/>
        <v>1480</v>
      </c>
      <c r="Q1707" s="168">
        <f t="shared" si="575"/>
        <v>0</v>
      </c>
      <c r="R1707" s="168">
        <f t="shared" si="575"/>
        <v>1480</v>
      </c>
    </row>
    <row r="1708" spans="2:18" x14ac:dyDescent="0.2">
      <c r="B1708" s="171">
        <f t="shared" si="569"/>
        <v>89</v>
      </c>
      <c r="C1708" s="130"/>
      <c r="D1708" s="130"/>
      <c r="E1708" s="134"/>
      <c r="F1708" s="134">
        <v>635</v>
      </c>
      <c r="G1708" s="194" t="s">
        <v>261</v>
      </c>
      <c r="H1708" s="526">
        <f>11100+5561</f>
        <v>16661</v>
      </c>
      <c r="I1708" s="526"/>
      <c r="J1708" s="526">
        <f t="shared" si="568"/>
        <v>16661</v>
      </c>
      <c r="K1708" s="132"/>
      <c r="L1708" s="526"/>
      <c r="M1708" s="526"/>
      <c r="N1708" s="526"/>
      <c r="O1708" s="132"/>
      <c r="P1708" s="168">
        <f t="shared" si="574"/>
        <v>16661</v>
      </c>
      <c r="Q1708" s="168">
        <f t="shared" si="575"/>
        <v>0</v>
      </c>
      <c r="R1708" s="168">
        <f t="shared" si="575"/>
        <v>16661</v>
      </c>
    </row>
    <row r="1709" spans="2:18" x14ac:dyDescent="0.2">
      <c r="B1709" s="171">
        <f t="shared" si="569"/>
        <v>90</v>
      </c>
      <c r="C1709" s="130"/>
      <c r="D1709" s="130"/>
      <c r="E1709" s="134"/>
      <c r="F1709" s="134">
        <v>637</v>
      </c>
      <c r="G1709" s="194" t="s">
        <v>248</v>
      </c>
      <c r="H1709" s="526">
        <f>234355-5895</f>
        <v>228460</v>
      </c>
      <c r="I1709" s="526"/>
      <c r="J1709" s="526">
        <f t="shared" si="568"/>
        <v>228460</v>
      </c>
      <c r="K1709" s="132"/>
      <c r="L1709" s="526"/>
      <c r="M1709" s="526"/>
      <c r="N1709" s="526"/>
      <c r="O1709" s="132"/>
      <c r="P1709" s="168">
        <f t="shared" si="574"/>
        <v>228460</v>
      </c>
      <c r="Q1709" s="168">
        <f t="shared" si="575"/>
        <v>0</v>
      </c>
      <c r="R1709" s="168">
        <f t="shared" si="575"/>
        <v>228460</v>
      </c>
    </row>
    <row r="1710" spans="2:18" x14ac:dyDescent="0.2">
      <c r="B1710" s="171">
        <f t="shared" si="569"/>
        <v>91</v>
      </c>
      <c r="C1710" s="130"/>
      <c r="D1710" s="130"/>
      <c r="E1710" s="134"/>
      <c r="F1710" s="149">
        <v>640</v>
      </c>
      <c r="G1710" s="199" t="s">
        <v>520</v>
      </c>
      <c r="H1710" s="388">
        <v>3581</v>
      </c>
      <c r="I1710" s="388"/>
      <c r="J1710" s="388">
        <f t="shared" si="568"/>
        <v>3581</v>
      </c>
      <c r="K1710" s="132"/>
      <c r="L1710" s="526"/>
      <c r="M1710" s="526"/>
      <c r="N1710" s="526"/>
      <c r="O1710" s="132"/>
      <c r="P1710" s="530">
        <f t="shared" si="574"/>
        <v>3581</v>
      </c>
      <c r="Q1710" s="530">
        <f t="shared" si="575"/>
        <v>0</v>
      </c>
      <c r="R1710" s="530">
        <f t="shared" si="575"/>
        <v>3581</v>
      </c>
    </row>
    <row r="1711" spans="2:18" x14ac:dyDescent="0.2">
      <c r="B1711" s="171">
        <f t="shared" si="569"/>
        <v>92</v>
      </c>
      <c r="C1711" s="130"/>
      <c r="D1711" s="130"/>
      <c r="E1711" s="134"/>
      <c r="F1711" s="149"/>
      <c r="G1711" s="199"/>
      <c r="H1711" s="526"/>
      <c r="I1711" s="526"/>
      <c r="J1711" s="526">
        <f t="shared" si="568"/>
        <v>0</v>
      </c>
      <c r="K1711" s="132"/>
      <c r="L1711" s="526"/>
      <c r="M1711" s="526"/>
      <c r="N1711" s="526"/>
      <c r="O1711" s="132"/>
      <c r="P1711" s="168"/>
      <c r="Q1711" s="168"/>
      <c r="R1711" s="168"/>
    </row>
    <row r="1712" spans="2:18" x14ac:dyDescent="0.2">
      <c r="B1712" s="171">
        <f t="shared" si="569"/>
        <v>93</v>
      </c>
      <c r="C1712" s="130"/>
      <c r="D1712" s="130"/>
      <c r="E1712" s="157" t="s">
        <v>674</v>
      </c>
      <c r="F1712" s="157">
        <v>620</v>
      </c>
      <c r="G1712" s="194" t="s">
        <v>582</v>
      </c>
      <c r="H1712" s="526">
        <v>1000</v>
      </c>
      <c r="I1712" s="526"/>
      <c r="J1712" s="526">
        <f t="shared" si="568"/>
        <v>1000</v>
      </c>
      <c r="K1712" s="132"/>
      <c r="L1712" s="526"/>
      <c r="M1712" s="526"/>
      <c r="N1712" s="526"/>
      <c r="O1712" s="132"/>
      <c r="P1712" s="168">
        <f>H1712+L1712</f>
        <v>1000</v>
      </c>
      <c r="Q1712" s="168">
        <f t="shared" ref="Q1712:R1713" si="578">I1712+M1712</f>
        <v>0</v>
      </c>
      <c r="R1712" s="168">
        <f t="shared" si="578"/>
        <v>1000</v>
      </c>
    </row>
    <row r="1713" spans="2:18" x14ac:dyDescent="0.2">
      <c r="B1713" s="171">
        <f t="shared" si="569"/>
        <v>94</v>
      </c>
      <c r="C1713" s="130"/>
      <c r="D1713" s="130"/>
      <c r="E1713" s="157" t="s">
        <v>674</v>
      </c>
      <c r="F1713" s="134">
        <v>637</v>
      </c>
      <c r="G1713" s="194" t="s">
        <v>284</v>
      </c>
      <c r="H1713" s="526">
        <v>3100</v>
      </c>
      <c r="I1713" s="526"/>
      <c r="J1713" s="526">
        <f t="shared" si="568"/>
        <v>3100</v>
      </c>
      <c r="K1713" s="132"/>
      <c r="L1713" s="526"/>
      <c r="M1713" s="526"/>
      <c r="N1713" s="526"/>
      <c r="O1713" s="132"/>
      <c r="P1713" s="168">
        <f>H1713+L1713</f>
        <v>3100</v>
      </c>
      <c r="Q1713" s="168">
        <f t="shared" si="578"/>
        <v>0</v>
      </c>
      <c r="R1713" s="168">
        <f t="shared" si="578"/>
        <v>3100</v>
      </c>
    </row>
    <row r="1714" spans="2:18" x14ac:dyDescent="0.2">
      <c r="B1714" s="171">
        <f t="shared" si="569"/>
        <v>95</v>
      </c>
      <c r="C1714" s="130"/>
      <c r="D1714" s="130"/>
      <c r="E1714" s="134"/>
      <c r="F1714" s="149"/>
      <c r="G1714" s="199"/>
      <c r="H1714" s="526"/>
      <c r="I1714" s="526"/>
      <c r="J1714" s="526">
        <f t="shared" si="568"/>
        <v>0</v>
      </c>
      <c r="K1714" s="132"/>
      <c r="L1714" s="526"/>
      <c r="M1714" s="526"/>
      <c r="N1714" s="526"/>
      <c r="O1714" s="132"/>
      <c r="P1714" s="168"/>
      <c r="Q1714" s="168"/>
      <c r="R1714" s="168"/>
    </row>
    <row r="1715" spans="2:18" x14ac:dyDescent="0.2">
      <c r="B1715" s="171">
        <f t="shared" si="569"/>
        <v>96</v>
      </c>
      <c r="C1715" s="130"/>
      <c r="D1715" s="159"/>
      <c r="E1715" s="134" t="s">
        <v>674</v>
      </c>
      <c r="F1715" s="157">
        <v>637</v>
      </c>
      <c r="G1715" s="194" t="s">
        <v>794</v>
      </c>
      <c r="H1715" s="382">
        <v>13248</v>
      </c>
      <c r="I1715" s="382"/>
      <c r="J1715" s="382">
        <f t="shared" si="568"/>
        <v>13248</v>
      </c>
      <c r="K1715" s="132"/>
      <c r="L1715" s="382"/>
      <c r="M1715" s="382"/>
      <c r="N1715" s="382"/>
      <c r="O1715" s="132"/>
      <c r="P1715" s="168">
        <f>H1715+L1715</f>
        <v>13248</v>
      </c>
      <c r="Q1715" s="168">
        <f t="shared" ref="Q1715:R1716" si="579">I1715+M1715</f>
        <v>0</v>
      </c>
      <c r="R1715" s="168">
        <f t="shared" si="579"/>
        <v>13248</v>
      </c>
    </row>
    <row r="1716" spans="2:18" x14ac:dyDescent="0.2">
      <c r="B1716" s="171">
        <f t="shared" si="569"/>
        <v>97</v>
      </c>
      <c r="C1716" s="130"/>
      <c r="D1716" s="159"/>
      <c r="E1716" s="134" t="s">
        <v>673</v>
      </c>
      <c r="F1716" s="157">
        <v>640</v>
      </c>
      <c r="G1716" s="194" t="s">
        <v>837</v>
      </c>
      <c r="H1716" s="382">
        <v>500</v>
      </c>
      <c r="I1716" s="382"/>
      <c r="J1716" s="382">
        <f t="shared" si="568"/>
        <v>500</v>
      </c>
      <c r="K1716" s="132"/>
      <c r="L1716" s="382"/>
      <c r="M1716" s="382"/>
      <c r="N1716" s="382"/>
      <c r="O1716" s="132"/>
      <c r="P1716" s="168">
        <f>H1716+L1716</f>
        <v>500</v>
      </c>
      <c r="Q1716" s="168">
        <f t="shared" si="579"/>
        <v>0</v>
      </c>
      <c r="R1716" s="168">
        <f t="shared" si="579"/>
        <v>500</v>
      </c>
    </row>
    <row r="1717" spans="2:18" x14ac:dyDescent="0.2">
      <c r="B1717" s="171">
        <f t="shared" si="569"/>
        <v>98</v>
      </c>
      <c r="C1717" s="130"/>
      <c r="D1717" s="159"/>
      <c r="E1717" s="134"/>
      <c r="F1717" s="149"/>
      <c r="G1717" s="199"/>
      <c r="H1717" s="382"/>
      <c r="I1717" s="382"/>
      <c r="J1717" s="382">
        <f t="shared" si="568"/>
        <v>0</v>
      </c>
      <c r="K1717" s="132"/>
      <c r="L1717" s="382"/>
      <c r="M1717" s="382"/>
      <c r="N1717" s="382"/>
      <c r="O1717" s="132"/>
      <c r="P1717" s="213"/>
      <c r="Q1717" s="213"/>
      <c r="R1717" s="213"/>
    </row>
    <row r="1718" spans="2:18" ht="15.75" x14ac:dyDescent="0.25">
      <c r="B1718" s="171">
        <f t="shared" si="569"/>
        <v>99</v>
      </c>
      <c r="C1718" s="23">
        <v>7</v>
      </c>
      <c r="D1718" s="127" t="s">
        <v>146</v>
      </c>
      <c r="E1718" s="24"/>
      <c r="F1718" s="24"/>
      <c r="G1718" s="193"/>
      <c r="H1718" s="414">
        <f>H1719</f>
        <v>328237</v>
      </c>
      <c r="I1718" s="414">
        <f t="shared" ref="I1718" si="580">I1719</f>
        <v>0</v>
      </c>
      <c r="J1718" s="414">
        <f t="shared" si="568"/>
        <v>328237</v>
      </c>
      <c r="K1718" s="88"/>
      <c r="L1718" s="393"/>
      <c r="M1718" s="393"/>
      <c r="N1718" s="393"/>
      <c r="O1718" s="88"/>
      <c r="P1718" s="373">
        <f t="shared" ref="P1718:P1727" si="581">H1718+L1718</f>
        <v>328237</v>
      </c>
      <c r="Q1718" s="373">
        <f t="shared" ref="Q1718:R1727" si="582">I1718+M1718</f>
        <v>0</v>
      </c>
      <c r="R1718" s="373">
        <f t="shared" si="582"/>
        <v>328237</v>
      </c>
    </row>
    <row r="1719" spans="2:18" x14ac:dyDescent="0.2">
      <c r="B1719" s="171">
        <f t="shared" si="569"/>
        <v>100</v>
      </c>
      <c r="C1719" s="135"/>
      <c r="D1719" s="135"/>
      <c r="E1719" s="357" t="s">
        <v>674</v>
      </c>
      <c r="F1719" s="357"/>
      <c r="G1719" s="358" t="s">
        <v>452</v>
      </c>
      <c r="H1719" s="404">
        <f>H1720+H1721+H1722+H1727</f>
        <v>328237</v>
      </c>
      <c r="I1719" s="404">
        <f t="shared" ref="I1719" si="583">I1720+I1721+I1722+I1727</f>
        <v>0</v>
      </c>
      <c r="J1719" s="404">
        <f t="shared" si="568"/>
        <v>328237</v>
      </c>
      <c r="K1719" s="361"/>
      <c r="L1719" s="873"/>
      <c r="M1719" s="873"/>
      <c r="N1719" s="873"/>
      <c r="O1719" s="361"/>
      <c r="P1719" s="362">
        <f t="shared" si="581"/>
        <v>328237</v>
      </c>
      <c r="Q1719" s="362">
        <f t="shared" si="582"/>
        <v>0</v>
      </c>
      <c r="R1719" s="362">
        <f t="shared" si="582"/>
        <v>328237</v>
      </c>
    </row>
    <row r="1720" spans="2:18" x14ac:dyDescent="0.2">
      <c r="B1720" s="171">
        <f t="shared" si="569"/>
        <v>101</v>
      </c>
      <c r="C1720" s="130"/>
      <c r="D1720" s="130"/>
      <c r="E1720" s="149"/>
      <c r="F1720" s="149">
        <v>610</v>
      </c>
      <c r="G1720" s="199" t="s">
        <v>257</v>
      </c>
      <c r="H1720" s="388">
        <f>213079+4186</f>
        <v>217265</v>
      </c>
      <c r="I1720" s="388"/>
      <c r="J1720" s="388">
        <f t="shared" si="568"/>
        <v>217265</v>
      </c>
      <c r="K1720" s="132"/>
      <c r="L1720" s="526"/>
      <c r="M1720" s="526"/>
      <c r="N1720" s="526"/>
      <c r="O1720" s="132"/>
      <c r="P1720" s="530">
        <f t="shared" si="581"/>
        <v>217265</v>
      </c>
      <c r="Q1720" s="530">
        <f t="shared" si="582"/>
        <v>0</v>
      </c>
      <c r="R1720" s="530">
        <f t="shared" si="582"/>
        <v>217265</v>
      </c>
    </row>
    <row r="1721" spans="2:18" x14ac:dyDescent="0.2">
      <c r="B1721" s="171">
        <f t="shared" si="569"/>
        <v>102</v>
      </c>
      <c r="C1721" s="130"/>
      <c r="D1721" s="130"/>
      <c r="E1721" s="134"/>
      <c r="F1721" s="149">
        <v>620</v>
      </c>
      <c r="G1721" s="199" t="s">
        <v>259</v>
      </c>
      <c r="H1721" s="388">
        <f>74578+2254</f>
        <v>76832</v>
      </c>
      <c r="I1721" s="388"/>
      <c r="J1721" s="388">
        <f t="shared" si="568"/>
        <v>76832</v>
      </c>
      <c r="K1721" s="132"/>
      <c r="L1721" s="526"/>
      <c r="M1721" s="526"/>
      <c r="N1721" s="526"/>
      <c r="O1721" s="132"/>
      <c r="P1721" s="530">
        <f t="shared" si="581"/>
        <v>76832</v>
      </c>
      <c r="Q1721" s="530">
        <f t="shared" si="582"/>
        <v>0</v>
      </c>
      <c r="R1721" s="530">
        <f t="shared" si="582"/>
        <v>76832</v>
      </c>
    </row>
    <row r="1722" spans="2:18" x14ac:dyDescent="0.2">
      <c r="B1722" s="171">
        <f t="shared" si="569"/>
        <v>103</v>
      </c>
      <c r="C1722" s="130"/>
      <c r="D1722" s="130"/>
      <c r="E1722" s="134"/>
      <c r="F1722" s="149">
        <v>630</v>
      </c>
      <c r="G1722" s="199" t="s">
        <v>236</v>
      </c>
      <c r="H1722" s="388">
        <f>SUM(H1723:H1726)</f>
        <v>32243</v>
      </c>
      <c r="I1722" s="388"/>
      <c r="J1722" s="388">
        <f t="shared" si="568"/>
        <v>32243</v>
      </c>
      <c r="K1722" s="132"/>
      <c r="L1722" s="526"/>
      <c r="M1722" s="526"/>
      <c r="N1722" s="526"/>
      <c r="O1722" s="132"/>
      <c r="P1722" s="530">
        <f t="shared" si="581"/>
        <v>32243</v>
      </c>
      <c r="Q1722" s="530">
        <f t="shared" si="582"/>
        <v>0</v>
      </c>
      <c r="R1722" s="530">
        <f t="shared" si="582"/>
        <v>32243</v>
      </c>
    </row>
    <row r="1723" spans="2:18" x14ac:dyDescent="0.2">
      <c r="B1723" s="171">
        <f t="shared" si="569"/>
        <v>104</v>
      </c>
      <c r="C1723" s="130"/>
      <c r="D1723" s="130"/>
      <c r="E1723" s="134"/>
      <c r="F1723" s="134">
        <v>632</v>
      </c>
      <c r="G1723" s="194" t="s">
        <v>297</v>
      </c>
      <c r="H1723" s="526">
        <v>650</v>
      </c>
      <c r="I1723" s="526"/>
      <c r="J1723" s="526">
        <f t="shared" si="568"/>
        <v>650</v>
      </c>
      <c r="K1723" s="132"/>
      <c r="L1723" s="526"/>
      <c r="M1723" s="526"/>
      <c r="N1723" s="526"/>
      <c r="O1723" s="132"/>
      <c r="P1723" s="168">
        <f t="shared" si="581"/>
        <v>650</v>
      </c>
      <c r="Q1723" s="168">
        <f t="shared" si="582"/>
        <v>0</v>
      </c>
      <c r="R1723" s="168">
        <f t="shared" si="582"/>
        <v>650</v>
      </c>
    </row>
    <row r="1724" spans="2:18" x14ac:dyDescent="0.2">
      <c r="B1724" s="171">
        <f t="shared" si="569"/>
        <v>105</v>
      </c>
      <c r="C1724" s="130"/>
      <c r="D1724" s="130"/>
      <c r="E1724" s="134"/>
      <c r="F1724" s="134">
        <v>633</v>
      </c>
      <c r="G1724" s="194" t="s">
        <v>247</v>
      </c>
      <c r="H1724" s="526">
        <v>2000</v>
      </c>
      <c r="I1724" s="526"/>
      <c r="J1724" s="526">
        <f t="shared" si="568"/>
        <v>2000</v>
      </c>
      <c r="K1724" s="132"/>
      <c r="L1724" s="526"/>
      <c r="M1724" s="526"/>
      <c r="N1724" s="526"/>
      <c r="O1724" s="132"/>
      <c r="P1724" s="168">
        <f t="shared" si="581"/>
        <v>2000</v>
      </c>
      <c r="Q1724" s="168">
        <f t="shared" si="582"/>
        <v>0</v>
      </c>
      <c r="R1724" s="168">
        <f t="shared" si="582"/>
        <v>2000</v>
      </c>
    </row>
    <row r="1725" spans="2:18" x14ac:dyDescent="0.2">
      <c r="B1725" s="171">
        <f t="shared" si="569"/>
        <v>106</v>
      </c>
      <c r="C1725" s="130"/>
      <c r="D1725" s="130"/>
      <c r="E1725" s="134"/>
      <c r="F1725" s="134">
        <v>634</v>
      </c>
      <c r="G1725" s="194" t="s">
        <v>260</v>
      </c>
      <c r="H1725" s="526">
        <v>4900</v>
      </c>
      <c r="I1725" s="526"/>
      <c r="J1725" s="526">
        <f t="shared" si="568"/>
        <v>4900</v>
      </c>
      <c r="K1725" s="132"/>
      <c r="L1725" s="526"/>
      <c r="M1725" s="526"/>
      <c r="N1725" s="526"/>
      <c r="O1725" s="132"/>
      <c r="P1725" s="168">
        <f t="shared" si="581"/>
        <v>4900</v>
      </c>
      <c r="Q1725" s="168">
        <f t="shared" si="582"/>
        <v>0</v>
      </c>
      <c r="R1725" s="168">
        <f t="shared" si="582"/>
        <v>4900</v>
      </c>
    </row>
    <row r="1726" spans="2:18" x14ac:dyDescent="0.2">
      <c r="B1726" s="171">
        <f t="shared" si="569"/>
        <v>107</v>
      </c>
      <c r="C1726" s="130"/>
      <c r="D1726" s="130"/>
      <c r="E1726" s="134"/>
      <c r="F1726" s="134">
        <v>637</v>
      </c>
      <c r="G1726" s="194" t="s">
        <v>248</v>
      </c>
      <c r="H1726" s="526">
        <v>24693</v>
      </c>
      <c r="I1726" s="526"/>
      <c r="J1726" s="526">
        <f t="shared" si="568"/>
        <v>24693</v>
      </c>
      <c r="K1726" s="132"/>
      <c r="L1726" s="526"/>
      <c r="M1726" s="526"/>
      <c r="N1726" s="526"/>
      <c r="O1726" s="132"/>
      <c r="P1726" s="168">
        <f t="shared" si="581"/>
        <v>24693</v>
      </c>
      <c r="Q1726" s="168">
        <f t="shared" si="582"/>
        <v>0</v>
      </c>
      <c r="R1726" s="168">
        <f t="shared" si="582"/>
        <v>24693</v>
      </c>
    </row>
    <row r="1727" spans="2:18" x14ac:dyDescent="0.2">
      <c r="B1727" s="171">
        <f t="shared" si="569"/>
        <v>108</v>
      </c>
      <c r="C1727" s="130"/>
      <c r="D1727" s="130"/>
      <c r="E1727" s="134"/>
      <c r="F1727" s="149">
        <v>640</v>
      </c>
      <c r="G1727" s="199" t="s">
        <v>298</v>
      </c>
      <c r="H1727" s="388">
        <v>1897</v>
      </c>
      <c r="I1727" s="388"/>
      <c r="J1727" s="388">
        <f t="shared" si="568"/>
        <v>1897</v>
      </c>
      <c r="K1727" s="132"/>
      <c r="L1727" s="526"/>
      <c r="M1727" s="526"/>
      <c r="N1727" s="526"/>
      <c r="O1727" s="132"/>
      <c r="P1727" s="530">
        <f t="shared" si="581"/>
        <v>1897</v>
      </c>
      <c r="Q1727" s="530">
        <f t="shared" si="582"/>
        <v>0</v>
      </c>
      <c r="R1727" s="530">
        <f t="shared" si="582"/>
        <v>1897</v>
      </c>
    </row>
    <row r="1728" spans="2:18" x14ac:dyDescent="0.2">
      <c r="B1728" s="171">
        <f t="shared" si="569"/>
        <v>109</v>
      </c>
      <c r="C1728" s="130"/>
      <c r="D1728" s="159"/>
      <c r="E1728" s="134"/>
      <c r="F1728" s="149"/>
      <c r="G1728" s="199"/>
      <c r="H1728" s="432"/>
      <c r="I1728" s="432"/>
      <c r="J1728" s="432">
        <f t="shared" si="568"/>
        <v>0</v>
      </c>
      <c r="K1728" s="132"/>
      <c r="L1728" s="382"/>
      <c r="M1728" s="382"/>
      <c r="N1728" s="382"/>
      <c r="O1728" s="132"/>
      <c r="P1728" s="213"/>
      <c r="Q1728" s="213"/>
      <c r="R1728" s="213"/>
    </row>
    <row r="1729" spans="2:18" ht="15.75" x14ac:dyDescent="0.25">
      <c r="B1729" s="171">
        <f t="shared" si="569"/>
        <v>110</v>
      </c>
      <c r="C1729" s="23">
        <v>8</v>
      </c>
      <c r="D1729" s="127" t="s">
        <v>101</v>
      </c>
      <c r="E1729" s="24"/>
      <c r="F1729" s="24"/>
      <c r="G1729" s="193"/>
      <c r="H1729" s="414">
        <f>H1730</f>
        <v>2000</v>
      </c>
      <c r="I1729" s="414">
        <f t="shared" ref="I1729" si="584">I1730</f>
        <v>0</v>
      </c>
      <c r="J1729" s="414">
        <f t="shared" si="568"/>
        <v>2000</v>
      </c>
      <c r="K1729" s="88"/>
      <c r="L1729" s="393"/>
      <c r="M1729" s="393"/>
      <c r="N1729" s="393"/>
      <c r="O1729" s="88"/>
      <c r="P1729" s="373">
        <f t="shared" ref="P1729:P1756" si="585">H1729+L1729</f>
        <v>2000</v>
      </c>
      <c r="Q1729" s="373">
        <f t="shared" ref="Q1729:R1744" si="586">I1729+M1729</f>
        <v>0</v>
      </c>
      <c r="R1729" s="373">
        <f t="shared" si="586"/>
        <v>2000</v>
      </c>
    </row>
    <row r="1730" spans="2:18" x14ac:dyDescent="0.2">
      <c r="B1730" s="171">
        <f t="shared" si="569"/>
        <v>111</v>
      </c>
      <c r="C1730" s="135"/>
      <c r="D1730" s="135"/>
      <c r="E1730" s="524" t="s">
        <v>276</v>
      </c>
      <c r="F1730" s="524">
        <v>637</v>
      </c>
      <c r="G1730" s="202" t="s">
        <v>285</v>
      </c>
      <c r="H1730" s="526">
        <v>2000</v>
      </c>
      <c r="I1730" s="526"/>
      <c r="J1730" s="526">
        <f t="shared" si="568"/>
        <v>2000</v>
      </c>
      <c r="K1730" s="132"/>
      <c r="L1730" s="526"/>
      <c r="M1730" s="526"/>
      <c r="N1730" s="526"/>
      <c r="O1730" s="132"/>
      <c r="P1730" s="168">
        <f t="shared" si="585"/>
        <v>2000</v>
      </c>
      <c r="Q1730" s="168">
        <f t="shared" si="586"/>
        <v>0</v>
      </c>
      <c r="R1730" s="168">
        <f t="shared" si="586"/>
        <v>2000</v>
      </c>
    </row>
    <row r="1731" spans="2:18" ht="15.75" x14ac:dyDescent="0.25">
      <c r="B1731" s="171">
        <f t="shared" si="569"/>
        <v>112</v>
      </c>
      <c r="C1731" s="23">
        <v>9</v>
      </c>
      <c r="D1731" s="127" t="s">
        <v>147</v>
      </c>
      <c r="E1731" s="24"/>
      <c r="F1731" s="24"/>
      <c r="G1731" s="193"/>
      <c r="H1731" s="414">
        <f>SUM(H1732:H1736)</f>
        <v>16471</v>
      </c>
      <c r="I1731" s="414">
        <f t="shared" ref="I1731" si="587">SUM(I1732:I1736)</f>
        <v>0</v>
      </c>
      <c r="J1731" s="414">
        <f t="shared" si="568"/>
        <v>16471</v>
      </c>
      <c r="K1731" s="88"/>
      <c r="L1731" s="393"/>
      <c r="M1731" s="393"/>
      <c r="N1731" s="393"/>
      <c r="O1731" s="88"/>
      <c r="P1731" s="373">
        <f t="shared" si="585"/>
        <v>16471</v>
      </c>
      <c r="Q1731" s="373">
        <f t="shared" si="586"/>
        <v>0</v>
      </c>
      <c r="R1731" s="373">
        <f t="shared" si="586"/>
        <v>16471</v>
      </c>
    </row>
    <row r="1732" spans="2:18" x14ac:dyDescent="0.2">
      <c r="B1732" s="171">
        <f t="shared" si="569"/>
        <v>113</v>
      </c>
      <c r="C1732" s="135"/>
      <c r="D1732" s="135"/>
      <c r="E1732" s="524" t="s">
        <v>675</v>
      </c>
      <c r="F1732" s="524">
        <v>640</v>
      </c>
      <c r="G1732" s="202" t="s">
        <v>286</v>
      </c>
      <c r="H1732" s="526">
        <v>500</v>
      </c>
      <c r="I1732" s="526"/>
      <c r="J1732" s="526">
        <f t="shared" si="568"/>
        <v>500</v>
      </c>
      <c r="K1732" s="132"/>
      <c r="L1732" s="526"/>
      <c r="M1732" s="526"/>
      <c r="N1732" s="526"/>
      <c r="O1732" s="132"/>
      <c r="P1732" s="168">
        <f t="shared" si="585"/>
        <v>500</v>
      </c>
      <c r="Q1732" s="168">
        <f t="shared" si="586"/>
        <v>0</v>
      </c>
      <c r="R1732" s="168">
        <f t="shared" si="586"/>
        <v>500</v>
      </c>
    </row>
    <row r="1733" spans="2:18" x14ac:dyDescent="0.2">
      <c r="B1733" s="171">
        <f t="shared" si="569"/>
        <v>114</v>
      </c>
      <c r="C1733" s="130"/>
      <c r="D1733" s="130"/>
      <c r="E1733" s="524" t="s">
        <v>675</v>
      </c>
      <c r="F1733" s="524">
        <v>640</v>
      </c>
      <c r="G1733" s="194" t="s">
        <v>287</v>
      </c>
      <c r="H1733" s="526">
        <v>500</v>
      </c>
      <c r="I1733" s="526"/>
      <c r="J1733" s="526">
        <f t="shared" si="568"/>
        <v>500</v>
      </c>
      <c r="K1733" s="132"/>
      <c r="L1733" s="526"/>
      <c r="M1733" s="526"/>
      <c r="N1733" s="526"/>
      <c r="O1733" s="132"/>
      <c r="P1733" s="168">
        <f t="shared" si="585"/>
        <v>500</v>
      </c>
      <c r="Q1733" s="168">
        <f t="shared" si="586"/>
        <v>0</v>
      </c>
      <c r="R1733" s="168">
        <f t="shared" si="586"/>
        <v>500</v>
      </c>
    </row>
    <row r="1734" spans="2:18" x14ac:dyDescent="0.2">
      <c r="B1734" s="171">
        <f t="shared" si="569"/>
        <v>115</v>
      </c>
      <c r="C1734" s="135"/>
      <c r="D1734" s="135"/>
      <c r="E1734" s="524" t="s">
        <v>675</v>
      </c>
      <c r="F1734" s="524">
        <v>640</v>
      </c>
      <c r="G1734" s="202" t="s">
        <v>288</v>
      </c>
      <c r="H1734" s="526">
        <f>11000-500-5100</f>
        <v>5400</v>
      </c>
      <c r="I1734" s="526"/>
      <c r="J1734" s="526">
        <f t="shared" si="568"/>
        <v>5400</v>
      </c>
      <c r="K1734" s="148"/>
      <c r="L1734" s="526"/>
      <c r="M1734" s="526"/>
      <c r="N1734" s="526"/>
      <c r="O1734" s="148"/>
      <c r="P1734" s="168">
        <f t="shared" si="585"/>
        <v>5400</v>
      </c>
      <c r="Q1734" s="168">
        <f t="shared" si="586"/>
        <v>0</v>
      </c>
      <c r="R1734" s="168">
        <f t="shared" si="586"/>
        <v>5400</v>
      </c>
    </row>
    <row r="1735" spans="2:18" x14ac:dyDescent="0.2">
      <c r="B1735" s="171">
        <f t="shared" si="569"/>
        <v>116</v>
      </c>
      <c r="C1735" s="130"/>
      <c r="D1735" s="524"/>
      <c r="E1735" s="524" t="s">
        <v>675</v>
      </c>
      <c r="F1735" s="524">
        <v>637</v>
      </c>
      <c r="G1735" s="194" t="s">
        <v>651</v>
      </c>
      <c r="H1735" s="382">
        <f>4000+6000</f>
        <v>10000</v>
      </c>
      <c r="I1735" s="382"/>
      <c r="J1735" s="382">
        <f t="shared" si="568"/>
        <v>10000</v>
      </c>
      <c r="K1735" s="132"/>
      <c r="L1735" s="382"/>
      <c r="M1735" s="382"/>
      <c r="N1735" s="382"/>
      <c r="O1735" s="132"/>
      <c r="P1735" s="213">
        <f t="shared" si="585"/>
        <v>10000</v>
      </c>
      <c r="Q1735" s="213">
        <f t="shared" si="586"/>
        <v>0</v>
      </c>
      <c r="R1735" s="213">
        <f t="shared" si="586"/>
        <v>10000</v>
      </c>
    </row>
    <row r="1736" spans="2:18" x14ac:dyDescent="0.2">
      <c r="B1736" s="171">
        <f t="shared" si="569"/>
        <v>117</v>
      </c>
      <c r="C1736" s="130"/>
      <c r="D1736" s="159"/>
      <c r="E1736" s="524" t="s">
        <v>675</v>
      </c>
      <c r="F1736" s="524">
        <v>637</v>
      </c>
      <c r="G1736" s="194" t="s">
        <v>795</v>
      </c>
      <c r="H1736" s="382">
        <v>71</v>
      </c>
      <c r="I1736" s="382"/>
      <c r="J1736" s="382">
        <f t="shared" si="568"/>
        <v>71</v>
      </c>
      <c r="K1736" s="132"/>
      <c r="L1736" s="382"/>
      <c r="M1736" s="382"/>
      <c r="N1736" s="382"/>
      <c r="O1736" s="132"/>
      <c r="P1736" s="213">
        <f t="shared" si="585"/>
        <v>71</v>
      </c>
      <c r="Q1736" s="213">
        <f t="shared" si="586"/>
        <v>0</v>
      </c>
      <c r="R1736" s="213">
        <f t="shared" si="586"/>
        <v>71</v>
      </c>
    </row>
    <row r="1737" spans="2:18" ht="15.75" x14ac:dyDescent="0.25">
      <c r="B1737" s="171">
        <f t="shared" si="569"/>
        <v>118</v>
      </c>
      <c r="C1737" s="23">
        <v>10</v>
      </c>
      <c r="D1737" s="127" t="s">
        <v>125</v>
      </c>
      <c r="E1737" s="24"/>
      <c r="F1737" s="24"/>
      <c r="G1737" s="193"/>
      <c r="H1737" s="414">
        <f>H1738</f>
        <v>11784</v>
      </c>
      <c r="I1737" s="414">
        <f t="shared" ref="I1737" si="588">I1738</f>
        <v>0</v>
      </c>
      <c r="J1737" s="414">
        <f t="shared" si="568"/>
        <v>11784</v>
      </c>
      <c r="K1737" s="88"/>
      <c r="L1737" s="393"/>
      <c r="M1737" s="393"/>
      <c r="N1737" s="393"/>
      <c r="O1737" s="88"/>
      <c r="P1737" s="373">
        <f t="shared" si="585"/>
        <v>11784</v>
      </c>
      <c r="Q1737" s="373">
        <f t="shared" si="586"/>
        <v>0</v>
      </c>
      <c r="R1737" s="373">
        <f t="shared" si="586"/>
        <v>11784</v>
      </c>
    </row>
    <row r="1738" spans="2:18" x14ac:dyDescent="0.2">
      <c r="B1738" s="171">
        <f t="shared" si="569"/>
        <v>119</v>
      </c>
      <c r="C1738" s="135"/>
      <c r="D1738" s="135"/>
      <c r="E1738" s="357" t="s">
        <v>674</v>
      </c>
      <c r="F1738" s="357"/>
      <c r="G1738" s="358" t="s">
        <v>453</v>
      </c>
      <c r="H1738" s="404">
        <f>H1739+H1740+H1741+H1745</f>
        <v>11784</v>
      </c>
      <c r="I1738" s="404">
        <f t="shared" ref="I1738" si="589">I1739+I1740+I1741+I1745</f>
        <v>0</v>
      </c>
      <c r="J1738" s="404">
        <f t="shared" si="568"/>
        <v>11784</v>
      </c>
      <c r="K1738" s="361"/>
      <c r="L1738" s="873"/>
      <c r="M1738" s="873"/>
      <c r="N1738" s="873"/>
      <c r="O1738" s="361"/>
      <c r="P1738" s="362">
        <f t="shared" si="585"/>
        <v>11784</v>
      </c>
      <c r="Q1738" s="362">
        <f t="shared" si="586"/>
        <v>0</v>
      </c>
      <c r="R1738" s="362">
        <f t="shared" si="586"/>
        <v>11784</v>
      </c>
    </row>
    <row r="1739" spans="2:18" x14ac:dyDescent="0.2">
      <c r="B1739" s="171">
        <f t="shared" si="569"/>
        <v>120</v>
      </c>
      <c r="C1739" s="130"/>
      <c r="D1739" s="130"/>
      <c r="E1739" s="149"/>
      <c r="F1739" s="149">
        <v>610</v>
      </c>
      <c r="G1739" s="199" t="s">
        <v>257</v>
      </c>
      <c r="H1739" s="388">
        <v>6240</v>
      </c>
      <c r="I1739" s="388"/>
      <c r="J1739" s="388">
        <f t="shared" si="568"/>
        <v>6240</v>
      </c>
      <c r="K1739" s="132"/>
      <c r="L1739" s="526"/>
      <c r="M1739" s="526"/>
      <c r="N1739" s="526"/>
      <c r="O1739" s="132"/>
      <c r="P1739" s="530">
        <f t="shared" si="585"/>
        <v>6240</v>
      </c>
      <c r="Q1739" s="530">
        <f t="shared" si="586"/>
        <v>0</v>
      </c>
      <c r="R1739" s="530">
        <f t="shared" si="586"/>
        <v>6240</v>
      </c>
    </row>
    <row r="1740" spans="2:18" x14ac:dyDescent="0.2">
      <c r="B1740" s="171">
        <f t="shared" si="569"/>
        <v>121</v>
      </c>
      <c r="C1740" s="130"/>
      <c r="D1740" s="130"/>
      <c r="E1740" s="134"/>
      <c r="F1740" s="149">
        <v>620</v>
      </c>
      <c r="G1740" s="199" t="s">
        <v>259</v>
      </c>
      <c r="H1740" s="388">
        <v>2189</v>
      </c>
      <c r="I1740" s="388"/>
      <c r="J1740" s="388">
        <f t="shared" si="568"/>
        <v>2189</v>
      </c>
      <c r="K1740" s="132"/>
      <c r="L1740" s="526"/>
      <c r="M1740" s="526"/>
      <c r="N1740" s="526"/>
      <c r="O1740" s="132"/>
      <c r="P1740" s="530">
        <f t="shared" si="585"/>
        <v>2189</v>
      </c>
      <c r="Q1740" s="530">
        <f t="shared" si="586"/>
        <v>0</v>
      </c>
      <c r="R1740" s="530">
        <f t="shared" si="586"/>
        <v>2189</v>
      </c>
    </row>
    <row r="1741" spans="2:18" x14ac:dyDescent="0.2">
      <c r="B1741" s="171">
        <f t="shared" si="569"/>
        <v>122</v>
      </c>
      <c r="C1741" s="130"/>
      <c r="D1741" s="130"/>
      <c r="E1741" s="134"/>
      <c r="F1741" s="149">
        <v>630</v>
      </c>
      <c r="G1741" s="199" t="s">
        <v>236</v>
      </c>
      <c r="H1741" s="388">
        <f>H1742+H1743+H1744</f>
        <v>3240</v>
      </c>
      <c r="I1741" s="388">
        <f>SUM(I1742:I1744)</f>
        <v>0</v>
      </c>
      <c r="J1741" s="388">
        <f t="shared" si="568"/>
        <v>3240</v>
      </c>
      <c r="K1741" s="132"/>
      <c r="L1741" s="526"/>
      <c r="M1741" s="526"/>
      <c r="N1741" s="526"/>
      <c r="O1741" s="132"/>
      <c r="P1741" s="530">
        <f t="shared" si="585"/>
        <v>3240</v>
      </c>
      <c r="Q1741" s="530">
        <f t="shared" si="586"/>
        <v>0</v>
      </c>
      <c r="R1741" s="530">
        <f t="shared" si="586"/>
        <v>3240</v>
      </c>
    </row>
    <row r="1742" spans="2:18" x14ac:dyDescent="0.2">
      <c r="B1742" s="171">
        <f t="shared" si="569"/>
        <v>123</v>
      </c>
      <c r="C1742" s="130"/>
      <c r="D1742" s="130"/>
      <c r="E1742" s="134"/>
      <c r="F1742" s="134">
        <v>632</v>
      </c>
      <c r="G1742" s="194" t="s">
        <v>454</v>
      </c>
      <c r="H1742" s="526">
        <v>70</v>
      </c>
      <c r="I1742" s="526"/>
      <c r="J1742" s="526">
        <f t="shared" si="568"/>
        <v>70</v>
      </c>
      <c r="K1742" s="132"/>
      <c r="L1742" s="526"/>
      <c r="M1742" s="526"/>
      <c r="N1742" s="526"/>
      <c r="O1742" s="132"/>
      <c r="P1742" s="168">
        <f t="shared" si="585"/>
        <v>70</v>
      </c>
      <c r="Q1742" s="168">
        <f t="shared" si="586"/>
        <v>0</v>
      </c>
      <c r="R1742" s="168">
        <f t="shared" si="586"/>
        <v>70</v>
      </c>
    </row>
    <row r="1743" spans="2:18" x14ac:dyDescent="0.2">
      <c r="B1743" s="171">
        <f t="shared" si="569"/>
        <v>124</v>
      </c>
      <c r="C1743" s="130"/>
      <c r="D1743" s="130"/>
      <c r="E1743" s="134"/>
      <c r="F1743" s="134">
        <v>634</v>
      </c>
      <c r="G1743" s="194" t="s">
        <v>260</v>
      </c>
      <c r="H1743" s="526">
        <f>2240+400-85</f>
        <v>2555</v>
      </c>
      <c r="I1743" s="526"/>
      <c r="J1743" s="526">
        <f t="shared" si="568"/>
        <v>2555</v>
      </c>
      <c r="K1743" s="132"/>
      <c r="L1743" s="526"/>
      <c r="M1743" s="526"/>
      <c r="N1743" s="526"/>
      <c r="O1743" s="132"/>
      <c r="P1743" s="168">
        <f t="shared" si="585"/>
        <v>2555</v>
      </c>
      <c r="Q1743" s="168">
        <f t="shared" si="586"/>
        <v>0</v>
      </c>
      <c r="R1743" s="168">
        <f t="shared" si="586"/>
        <v>2555</v>
      </c>
    </row>
    <row r="1744" spans="2:18" x14ac:dyDescent="0.2">
      <c r="B1744" s="171">
        <f t="shared" si="569"/>
        <v>125</v>
      </c>
      <c r="C1744" s="130"/>
      <c r="D1744" s="130"/>
      <c r="E1744" s="134"/>
      <c r="F1744" s="134">
        <v>637</v>
      </c>
      <c r="G1744" s="194" t="s">
        <v>248</v>
      </c>
      <c r="H1744" s="526">
        <v>615</v>
      </c>
      <c r="I1744" s="526"/>
      <c r="J1744" s="526">
        <f t="shared" si="568"/>
        <v>615</v>
      </c>
      <c r="K1744" s="132"/>
      <c r="L1744" s="526"/>
      <c r="M1744" s="526"/>
      <c r="N1744" s="526"/>
      <c r="O1744" s="132"/>
      <c r="P1744" s="168">
        <f t="shared" si="585"/>
        <v>615</v>
      </c>
      <c r="Q1744" s="168">
        <f t="shared" si="586"/>
        <v>0</v>
      </c>
      <c r="R1744" s="168">
        <f t="shared" si="586"/>
        <v>615</v>
      </c>
    </row>
    <row r="1745" spans="2:18" x14ac:dyDescent="0.2">
      <c r="B1745" s="171">
        <f t="shared" si="569"/>
        <v>126</v>
      </c>
      <c r="C1745" s="130"/>
      <c r="D1745" s="159"/>
      <c r="E1745" s="524"/>
      <c r="F1745" s="149">
        <v>640</v>
      </c>
      <c r="G1745" s="199" t="s">
        <v>267</v>
      </c>
      <c r="H1745" s="388">
        <f>30+85</f>
        <v>115</v>
      </c>
      <c r="I1745" s="388"/>
      <c r="J1745" s="388">
        <f t="shared" si="568"/>
        <v>115</v>
      </c>
      <c r="K1745" s="132"/>
      <c r="L1745" s="526"/>
      <c r="M1745" s="526"/>
      <c r="N1745" s="526"/>
      <c r="O1745" s="132"/>
      <c r="P1745" s="530">
        <f t="shared" si="585"/>
        <v>115</v>
      </c>
      <c r="Q1745" s="530">
        <f t="shared" ref="Q1745:R1756" si="590">I1745+M1745</f>
        <v>0</v>
      </c>
      <c r="R1745" s="530">
        <f t="shared" si="590"/>
        <v>115</v>
      </c>
    </row>
    <row r="1746" spans="2:18" ht="15.75" x14ac:dyDescent="0.25">
      <c r="B1746" s="171">
        <f t="shared" si="569"/>
        <v>127</v>
      </c>
      <c r="C1746" s="23">
        <v>11</v>
      </c>
      <c r="D1746" s="127" t="s">
        <v>466</v>
      </c>
      <c r="E1746" s="24"/>
      <c r="F1746" s="24"/>
      <c r="G1746" s="193"/>
      <c r="H1746" s="414">
        <f>H1747</f>
        <v>120319</v>
      </c>
      <c r="I1746" s="414">
        <f t="shared" ref="I1746" si="591">I1747</f>
        <v>0</v>
      </c>
      <c r="J1746" s="414">
        <f t="shared" si="568"/>
        <v>120319</v>
      </c>
      <c r="K1746" s="88"/>
      <c r="L1746" s="393"/>
      <c r="M1746" s="393"/>
      <c r="N1746" s="393"/>
      <c r="O1746" s="88"/>
      <c r="P1746" s="373">
        <f t="shared" si="585"/>
        <v>120319</v>
      </c>
      <c r="Q1746" s="373">
        <f t="shared" si="590"/>
        <v>0</v>
      </c>
      <c r="R1746" s="373">
        <f t="shared" si="590"/>
        <v>120319</v>
      </c>
    </row>
    <row r="1747" spans="2:18" x14ac:dyDescent="0.2">
      <c r="B1747" s="171">
        <f t="shared" si="569"/>
        <v>128</v>
      </c>
      <c r="C1747" s="135"/>
      <c r="D1747" s="135"/>
      <c r="E1747" s="357" t="s">
        <v>672</v>
      </c>
      <c r="F1747" s="357"/>
      <c r="G1747" s="358" t="s">
        <v>453</v>
      </c>
      <c r="H1747" s="404">
        <f>H1748+H1749+H1750</f>
        <v>120319</v>
      </c>
      <c r="I1747" s="404">
        <f t="shared" ref="I1747" si="592">I1748+I1749+I1750</f>
        <v>0</v>
      </c>
      <c r="J1747" s="404">
        <f t="shared" si="568"/>
        <v>120319</v>
      </c>
      <c r="K1747" s="361"/>
      <c r="L1747" s="873"/>
      <c r="M1747" s="873"/>
      <c r="N1747" s="873"/>
      <c r="O1747" s="361"/>
      <c r="P1747" s="362">
        <f t="shared" si="585"/>
        <v>120319</v>
      </c>
      <c r="Q1747" s="362">
        <f t="shared" si="590"/>
        <v>0</v>
      </c>
      <c r="R1747" s="362">
        <f t="shared" si="590"/>
        <v>120319</v>
      </c>
    </row>
    <row r="1748" spans="2:18" x14ac:dyDescent="0.2">
      <c r="B1748" s="171">
        <f t="shared" si="569"/>
        <v>129</v>
      </c>
      <c r="C1748" s="130"/>
      <c r="D1748" s="130"/>
      <c r="E1748" s="149"/>
      <c r="F1748" s="149">
        <v>610</v>
      </c>
      <c r="G1748" s="199" t="s">
        <v>257</v>
      </c>
      <c r="H1748" s="388">
        <v>69450</v>
      </c>
      <c r="I1748" s="388"/>
      <c r="J1748" s="388">
        <f t="shared" si="568"/>
        <v>69450</v>
      </c>
      <c r="K1748" s="132"/>
      <c r="L1748" s="526"/>
      <c r="M1748" s="526"/>
      <c r="N1748" s="526"/>
      <c r="O1748" s="132"/>
      <c r="P1748" s="530">
        <f t="shared" si="585"/>
        <v>69450</v>
      </c>
      <c r="Q1748" s="530">
        <f t="shared" si="590"/>
        <v>0</v>
      </c>
      <c r="R1748" s="530">
        <f t="shared" si="590"/>
        <v>69450</v>
      </c>
    </row>
    <row r="1749" spans="2:18" x14ac:dyDescent="0.2">
      <c r="B1749" s="171">
        <f t="shared" si="569"/>
        <v>130</v>
      </c>
      <c r="C1749" s="135"/>
      <c r="D1749" s="135"/>
      <c r="E1749" s="134"/>
      <c r="F1749" s="149">
        <v>620</v>
      </c>
      <c r="G1749" s="199" t="s">
        <v>259</v>
      </c>
      <c r="H1749" s="388">
        <v>24308</v>
      </c>
      <c r="I1749" s="388"/>
      <c r="J1749" s="388">
        <f t="shared" ref="J1749:J1756" si="593">H1749+I1749</f>
        <v>24308</v>
      </c>
      <c r="K1749" s="132"/>
      <c r="L1749" s="526"/>
      <c r="M1749" s="526"/>
      <c r="N1749" s="526"/>
      <c r="O1749" s="132"/>
      <c r="P1749" s="530">
        <f t="shared" si="585"/>
        <v>24308</v>
      </c>
      <c r="Q1749" s="530">
        <f t="shared" si="590"/>
        <v>0</v>
      </c>
      <c r="R1749" s="530">
        <f t="shared" si="590"/>
        <v>24308</v>
      </c>
    </row>
    <row r="1750" spans="2:18" x14ac:dyDescent="0.2">
      <c r="B1750" s="171">
        <f t="shared" ref="B1750:B1756" si="594">B1749+1</f>
        <v>131</v>
      </c>
      <c r="C1750" s="130"/>
      <c r="D1750" s="130"/>
      <c r="E1750" s="134"/>
      <c r="F1750" s="149">
        <v>630</v>
      </c>
      <c r="G1750" s="199" t="s">
        <v>236</v>
      </c>
      <c r="H1750" s="388">
        <f>SUM(H1751:H1756)</f>
        <v>26561</v>
      </c>
      <c r="I1750" s="388">
        <f>SUM(I1751:I1756)</f>
        <v>0</v>
      </c>
      <c r="J1750" s="388">
        <f t="shared" si="593"/>
        <v>26561</v>
      </c>
      <c r="K1750" s="148"/>
      <c r="L1750" s="526"/>
      <c r="M1750" s="526"/>
      <c r="N1750" s="526"/>
      <c r="O1750" s="148"/>
      <c r="P1750" s="530">
        <f t="shared" si="585"/>
        <v>26561</v>
      </c>
      <c r="Q1750" s="530">
        <f t="shared" si="590"/>
        <v>0</v>
      </c>
      <c r="R1750" s="530">
        <f t="shared" si="590"/>
        <v>26561</v>
      </c>
    </row>
    <row r="1751" spans="2:18" x14ac:dyDescent="0.2">
      <c r="B1751" s="171">
        <f t="shared" si="594"/>
        <v>132</v>
      </c>
      <c r="C1751" s="130"/>
      <c r="D1751" s="130"/>
      <c r="E1751" s="134"/>
      <c r="F1751" s="134">
        <v>631</v>
      </c>
      <c r="G1751" s="194" t="s">
        <v>519</v>
      </c>
      <c r="H1751" s="382">
        <v>300</v>
      </c>
      <c r="I1751" s="382"/>
      <c r="J1751" s="382">
        <f t="shared" si="593"/>
        <v>300</v>
      </c>
      <c r="K1751" s="132"/>
      <c r="L1751" s="382"/>
      <c r="M1751" s="382"/>
      <c r="N1751" s="382"/>
      <c r="O1751" s="132"/>
      <c r="P1751" s="213">
        <f t="shared" si="585"/>
        <v>300</v>
      </c>
      <c r="Q1751" s="213">
        <f t="shared" si="590"/>
        <v>0</v>
      </c>
      <c r="R1751" s="213">
        <f t="shared" si="590"/>
        <v>300</v>
      </c>
    </row>
    <row r="1752" spans="2:18" x14ac:dyDescent="0.2">
      <c r="B1752" s="171">
        <f t="shared" si="594"/>
        <v>133</v>
      </c>
      <c r="C1752" s="130"/>
      <c r="D1752" s="130"/>
      <c r="E1752" s="134"/>
      <c r="F1752" s="134">
        <v>632</v>
      </c>
      <c r="G1752" s="194" t="s">
        <v>318</v>
      </c>
      <c r="H1752" s="382">
        <v>2150</v>
      </c>
      <c r="I1752" s="382"/>
      <c r="J1752" s="382">
        <f t="shared" si="593"/>
        <v>2150</v>
      </c>
      <c r="K1752" s="132"/>
      <c r="L1752" s="382"/>
      <c r="M1752" s="382"/>
      <c r="N1752" s="382"/>
      <c r="O1752" s="132"/>
      <c r="P1752" s="213">
        <f t="shared" si="585"/>
        <v>2150</v>
      </c>
      <c r="Q1752" s="213">
        <f t="shared" si="590"/>
        <v>0</v>
      </c>
      <c r="R1752" s="213">
        <f t="shared" si="590"/>
        <v>2150</v>
      </c>
    </row>
    <row r="1753" spans="2:18" x14ac:dyDescent="0.2">
      <c r="B1753" s="171">
        <f t="shared" si="594"/>
        <v>134</v>
      </c>
      <c r="C1753" s="130"/>
      <c r="D1753" s="130"/>
      <c r="E1753" s="134"/>
      <c r="F1753" s="134">
        <v>633</v>
      </c>
      <c r="G1753" s="194" t="s">
        <v>247</v>
      </c>
      <c r="H1753" s="526">
        <v>3030</v>
      </c>
      <c r="I1753" s="526"/>
      <c r="J1753" s="526">
        <f t="shared" si="593"/>
        <v>3030</v>
      </c>
      <c r="K1753" s="132"/>
      <c r="L1753" s="526"/>
      <c r="M1753" s="526"/>
      <c r="N1753" s="526"/>
      <c r="O1753" s="132"/>
      <c r="P1753" s="168">
        <f t="shared" si="585"/>
        <v>3030</v>
      </c>
      <c r="Q1753" s="168">
        <f t="shared" si="590"/>
        <v>0</v>
      </c>
      <c r="R1753" s="168">
        <f t="shared" si="590"/>
        <v>3030</v>
      </c>
    </row>
    <row r="1754" spans="2:18" x14ac:dyDescent="0.2">
      <c r="B1754" s="171">
        <f t="shared" si="594"/>
        <v>135</v>
      </c>
      <c r="C1754" s="130"/>
      <c r="D1754" s="130"/>
      <c r="E1754" s="134"/>
      <c r="F1754" s="134">
        <v>634</v>
      </c>
      <c r="G1754" s="194" t="s">
        <v>260</v>
      </c>
      <c r="H1754" s="526">
        <f>473+150</f>
        <v>623</v>
      </c>
      <c r="I1754" s="526"/>
      <c r="J1754" s="526">
        <f t="shared" si="593"/>
        <v>623</v>
      </c>
      <c r="K1754" s="132"/>
      <c r="L1754" s="526"/>
      <c r="M1754" s="526"/>
      <c r="N1754" s="526"/>
      <c r="O1754" s="132"/>
      <c r="P1754" s="168">
        <f t="shared" si="585"/>
        <v>623</v>
      </c>
      <c r="Q1754" s="168">
        <f t="shared" si="590"/>
        <v>0</v>
      </c>
      <c r="R1754" s="168">
        <f t="shared" si="590"/>
        <v>623</v>
      </c>
    </row>
    <row r="1755" spans="2:18" x14ac:dyDescent="0.2">
      <c r="B1755" s="171">
        <f t="shared" si="594"/>
        <v>136</v>
      </c>
      <c r="C1755" s="130"/>
      <c r="D1755" s="130"/>
      <c r="E1755" s="134"/>
      <c r="F1755" s="134">
        <v>635</v>
      </c>
      <c r="G1755" s="194" t="s">
        <v>261</v>
      </c>
      <c r="H1755" s="526">
        <v>1600</v>
      </c>
      <c r="I1755" s="526"/>
      <c r="J1755" s="526">
        <f t="shared" si="593"/>
        <v>1600</v>
      </c>
      <c r="K1755" s="132"/>
      <c r="L1755" s="526"/>
      <c r="M1755" s="526"/>
      <c r="N1755" s="526"/>
      <c r="O1755" s="132"/>
      <c r="P1755" s="168">
        <f t="shared" si="585"/>
        <v>1600</v>
      </c>
      <c r="Q1755" s="168">
        <f t="shared" si="590"/>
        <v>0</v>
      </c>
      <c r="R1755" s="168">
        <f t="shared" si="590"/>
        <v>1600</v>
      </c>
    </row>
    <row r="1756" spans="2:18" ht="13.5" thickBot="1" x14ac:dyDescent="0.25">
      <c r="B1756" s="171">
        <f t="shared" si="594"/>
        <v>137</v>
      </c>
      <c r="C1756" s="139"/>
      <c r="D1756" s="139"/>
      <c r="E1756" s="140"/>
      <c r="F1756" s="140">
        <v>637</v>
      </c>
      <c r="G1756" s="200" t="s">
        <v>248</v>
      </c>
      <c r="H1756" s="385">
        <f>17508+1350</f>
        <v>18858</v>
      </c>
      <c r="I1756" s="385"/>
      <c r="J1756" s="385">
        <f t="shared" si="593"/>
        <v>18858</v>
      </c>
      <c r="K1756" s="141"/>
      <c r="L1756" s="385"/>
      <c r="M1756" s="385"/>
      <c r="N1756" s="385"/>
      <c r="O1756" s="141"/>
      <c r="P1756" s="214">
        <f t="shared" si="585"/>
        <v>18858</v>
      </c>
      <c r="Q1756" s="214">
        <f t="shared" si="590"/>
        <v>0</v>
      </c>
      <c r="R1756" s="214">
        <f t="shared" si="590"/>
        <v>18858</v>
      </c>
    </row>
    <row r="1790" spans="2:18" ht="27.75" thickBot="1" x14ac:dyDescent="0.4">
      <c r="B1790" s="138" t="s">
        <v>230</v>
      </c>
      <c r="C1790" s="138"/>
      <c r="D1790" s="138"/>
      <c r="E1790" s="138"/>
      <c r="F1790" s="138"/>
      <c r="G1790" s="138"/>
      <c r="H1790" s="138"/>
      <c r="I1790" s="138"/>
      <c r="J1790" s="138"/>
      <c r="K1790" s="138"/>
      <c r="L1790" s="138"/>
      <c r="M1790" s="138"/>
      <c r="N1790" s="138"/>
      <c r="O1790" s="138"/>
      <c r="P1790" s="138"/>
      <c r="Q1790" s="138"/>
      <c r="R1790" s="138"/>
    </row>
    <row r="1791" spans="2:18" ht="13.5" customHeight="1" thickBot="1" x14ac:dyDescent="0.25">
      <c r="B1791" s="913" t="s">
        <v>631</v>
      </c>
      <c r="C1791" s="914"/>
      <c r="D1791" s="914"/>
      <c r="E1791" s="914"/>
      <c r="F1791" s="914"/>
      <c r="G1791" s="914"/>
      <c r="H1791" s="914"/>
      <c r="I1791" s="914"/>
      <c r="J1791" s="914"/>
      <c r="K1791" s="914"/>
      <c r="L1791" s="914"/>
      <c r="M1791" s="914"/>
      <c r="N1791" s="915"/>
      <c r="O1791" s="120"/>
      <c r="P1791" s="903" t="s">
        <v>721</v>
      </c>
      <c r="Q1791" s="903" t="s">
        <v>860</v>
      </c>
      <c r="R1791" s="903" t="s">
        <v>721</v>
      </c>
    </row>
    <row r="1792" spans="2:18" ht="13.5" customHeight="1" thickTop="1" x14ac:dyDescent="0.2">
      <c r="B1792" s="505"/>
      <c r="C1792" s="906" t="s">
        <v>477</v>
      </c>
      <c r="D1792" s="906" t="s">
        <v>476</v>
      </c>
      <c r="E1792" s="906" t="s">
        <v>474</v>
      </c>
      <c r="F1792" s="906" t="s">
        <v>475</v>
      </c>
      <c r="G1792" s="507" t="s">
        <v>3</v>
      </c>
      <c r="H1792" s="908" t="s">
        <v>722</v>
      </c>
      <c r="I1792" s="912" t="s">
        <v>860</v>
      </c>
      <c r="J1792" s="912" t="s">
        <v>722</v>
      </c>
      <c r="L1792" s="910" t="s">
        <v>723</v>
      </c>
      <c r="M1792" s="910" t="s">
        <v>860</v>
      </c>
      <c r="N1792" s="910" t="s">
        <v>723</v>
      </c>
      <c r="P1792" s="904"/>
      <c r="Q1792" s="904"/>
      <c r="R1792" s="904"/>
    </row>
    <row r="1793" spans="2:18" ht="48.75" customHeight="1" thickBot="1" x14ac:dyDescent="0.25">
      <c r="B1793" s="509"/>
      <c r="C1793" s="907"/>
      <c r="D1793" s="907"/>
      <c r="E1793" s="907"/>
      <c r="F1793" s="907"/>
      <c r="G1793" s="508"/>
      <c r="H1793" s="909"/>
      <c r="I1793" s="909"/>
      <c r="J1793" s="909"/>
      <c r="L1793" s="911"/>
      <c r="M1793" s="911"/>
      <c r="N1793" s="911"/>
      <c r="P1793" s="905"/>
      <c r="Q1793" s="905"/>
      <c r="R1793" s="905"/>
    </row>
    <row r="1794" spans="2:18" ht="19.5" thickTop="1" thickBot="1" x14ac:dyDescent="0.25">
      <c r="B1794" s="640">
        <v>1</v>
      </c>
      <c r="C1794" s="125" t="s">
        <v>231</v>
      </c>
      <c r="D1794" s="111"/>
      <c r="E1794" s="111"/>
      <c r="F1794" s="111"/>
      <c r="G1794" s="201"/>
      <c r="H1794" s="415">
        <f>H1795+H1796</f>
        <v>150250</v>
      </c>
      <c r="I1794" s="415">
        <f t="shared" ref="I1794" si="595">I1795+I1796</f>
        <v>0</v>
      </c>
      <c r="J1794" s="415">
        <f>H1794+I1794</f>
        <v>150250</v>
      </c>
      <c r="K1794" s="113"/>
      <c r="L1794" s="378">
        <f>L1795+L1796</f>
        <v>0</v>
      </c>
      <c r="M1794" s="378">
        <f t="shared" ref="M1794" si="596">M1795+M1796</f>
        <v>0</v>
      </c>
      <c r="N1794" s="378">
        <f>L1794+M1794</f>
        <v>0</v>
      </c>
      <c r="O1794" s="113"/>
      <c r="P1794" s="372">
        <f t="shared" ref="P1794:P1806" si="597">H1794+L1794</f>
        <v>150250</v>
      </c>
      <c r="Q1794" s="372">
        <f t="shared" ref="Q1794:R1806" si="598">I1794+M1794</f>
        <v>0</v>
      </c>
      <c r="R1794" s="372">
        <f t="shared" si="598"/>
        <v>150250</v>
      </c>
    </row>
    <row r="1795" spans="2:18" ht="16.5" thickTop="1" x14ac:dyDescent="0.25">
      <c r="B1795" s="136">
        <f>B1794+1</f>
        <v>2</v>
      </c>
      <c r="C1795" s="23">
        <v>1</v>
      </c>
      <c r="D1795" s="127" t="s">
        <v>168</v>
      </c>
      <c r="E1795" s="24"/>
      <c r="F1795" s="24"/>
      <c r="G1795" s="193"/>
      <c r="H1795" s="414">
        <v>0</v>
      </c>
      <c r="I1795" s="414"/>
      <c r="J1795" s="414">
        <f t="shared" ref="J1795:J1806" si="599">H1795+I1795</f>
        <v>0</v>
      </c>
      <c r="K1795" s="88"/>
      <c r="L1795" s="395"/>
      <c r="M1795" s="395"/>
      <c r="N1795" s="395"/>
      <c r="O1795" s="88"/>
      <c r="P1795" s="373">
        <f t="shared" si="597"/>
        <v>0</v>
      </c>
      <c r="Q1795" s="373">
        <f t="shared" si="598"/>
        <v>0</v>
      </c>
      <c r="R1795" s="373">
        <f t="shared" si="598"/>
        <v>0</v>
      </c>
    </row>
    <row r="1796" spans="2:18" ht="15.75" x14ac:dyDescent="0.25">
      <c r="B1796" s="136">
        <f>B1795+1</f>
        <v>3</v>
      </c>
      <c r="C1796" s="21">
        <v>2</v>
      </c>
      <c r="D1796" s="126" t="s">
        <v>157</v>
      </c>
      <c r="E1796" s="22"/>
      <c r="F1796" s="22"/>
      <c r="G1796" s="195"/>
      <c r="H1796" s="411">
        <f>H1797+H1801+H1805</f>
        <v>150250</v>
      </c>
      <c r="I1796" s="411">
        <f t="shared" ref="I1796" si="600">I1797+I1801+I1805</f>
        <v>0</v>
      </c>
      <c r="J1796" s="411">
        <f t="shared" si="599"/>
        <v>150250</v>
      </c>
      <c r="K1796" s="112"/>
      <c r="L1796" s="381"/>
      <c r="M1796" s="381"/>
      <c r="N1796" s="381"/>
      <c r="O1796" s="112"/>
      <c r="P1796" s="374">
        <f t="shared" si="597"/>
        <v>150250</v>
      </c>
      <c r="Q1796" s="374">
        <f t="shared" si="598"/>
        <v>0</v>
      </c>
      <c r="R1796" s="374">
        <f t="shared" si="598"/>
        <v>150250</v>
      </c>
    </row>
    <row r="1797" spans="2:18" x14ac:dyDescent="0.2">
      <c r="B1797" s="136">
        <f t="shared" ref="B1797:B1806" si="601">B1796+1</f>
        <v>4</v>
      </c>
      <c r="C1797" s="76"/>
      <c r="D1797" s="177" t="s">
        <v>4</v>
      </c>
      <c r="E1797" s="230" t="s">
        <v>158</v>
      </c>
      <c r="F1797" s="230"/>
      <c r="G1797" s="231"/>
      <c r="H1797" s="394">
        <f>H1798+H1799</f>
        <v>122500</v>
      </c>
      <c r="I1797" s="394">
        <f t="shared" ref="I1797" si="602">I1798+I1799</f>
        <v>0</v>
      </c>
      <c r="J1797" s="394">
        <f t="shared" si="599"/>
        <v>122500</v>
      </c>
      <c r="K1797" s="20"/>
      <c r="L1797" s="875"/>
      <c r="M1797" s="875"/>
      <c r="N1797" s="875"/>
      <c r="O1797" s="20"/>
      <c r="P1797" s="235">
        <f t="shared" si="597"/>
        <v>122500</v>
      </c>
      <c r="Q1797" s="235">
        <f t="shared" si="598"/>
        <v>0</v>
      </c>
      <c r="R1797" s="235">
        <f t="shared" si="598"/>
        <v>122500</v>
      </c>
    </row>
    <row r="1798" spans="2:18" x14ac:dyDescent="0.2">
      <c r="B1798" s="136">
        <f t="shared" si="601"/>
        <v>5</v>
      </c>
      <c r="C1798" s="130"/>
      <c r="D1798" s="130"/>
      <c r="E1798" s="157" t="s">
        <v>258</v>
      </c>
      <c r="F1798" s="157">
        <v>637</v>
      </c>
      <c r="G1798" s="194" t="s">
        <v>501</v>
      </c>
      <c r="H1798" s="526">
        <f>104000-6000</f>
        <v>98000</v>
      </c>
      <c r="I1798" s="526"/>
      <c r="J1798" s="526">
        <f t="shared" si="599"/>
        <v>98000</v>
      </c>
      <c r="K1798" s="132"/>
      <c r="L1798" s="526"/>
      <c r="M1798" s="526"/>
      <c r="N1798" s="526"/>
      <c r="O1798" s="132"/>
      <c r="P1798" s="168">
        <f t="shared" si="597"/>
        <v>98000</v>
      </c>
      <c r="Q1798" s="168">
        <f t="shared" si="598"/>
        <v>0</v>
      </c>
      <c r="R1798" s="168">
        <f t="shared" si="598"/>
        <v>98000</v>
      </c>
    </row>
    <row r="1799" spans="2:18" x14ac:dyDescent="0.2">
      <c r="B1799" s="136">
        <f t="shared" si="601"/>
        <v>6</v>
      </c>
      <c r="C1799" s="130"/>
      <c r="D1799" s="130"/>
      <c r="E1799" s="157" t="s">
        <v>258</v>
      </c>
      <c r="F1799" s="157">
        <v>642</v>
      </c>
      <c r="G1799" s="194" t="s">
        <v>302</v>
      </c>
      <c r="H1799" s="526">
        <f>26000-1500</f>
        <v>24500</v>
      </c>
      <c r="I1799" s="526"/>
      <c r="J1799" s="526">
        <f t="shared" si="599"/>
        <v>24500</v>
      </c>
      <c r="K1799" s="132"/>
      <c r="L1799" s="526"/>
      <c r="M1799" s="526"/>
      <c r="N1799" s="526"/>
      <c r="O1799" s="132"/>
      <c r="P1799" s="168">
        <f t="shared" si="597"/>
        <v>24500</v>
      </c>
      <c r="Q1799" s="168">
        <f t="shared" si="598"/>
        <v>0</v>
      </c>
      <c r="R1799" s="168">
        <f t="shared" si="598"/>
        <v>24500</v>
      </c>
    </row>
    <row r="1800" spans="2:18" x14ac:dyDescent="0.2">
      <c r="B1800" s="136">
        <f t="shared" si="601"/>
        <v>7</v>
      </c>
      <c r="C1800" s="76"/>
      <c r="D1800" s="177" t="s">
        <v>5</v>
      </c>
      <c r="E1800" s="230" t="s">
        <v>151</v>
      </c>
      <c r="F1800" s="230"/>
      <c r="G1800" s="231"/>
      <c r="H1800" s="394">
        <v>0</v>
      </c>
      <c r="I1800" s="394"/>
      <c r="J1800" s="394">
        <f t="shared" si="599"/>
        <v>0</v>
      </c>
      <c r="K1800" s="20"/>
      <c r="L1800" s="875"/>
      <c r="M1800" s="875"/>
      <c r="N1800" s="875"/>
      <c r="O1800" s="20"/>
      <c r="P1800" s="235">
        <f t="shared" si="597"/>
        <v>0</v>
      </c>
      <c r="Q1800" s="235">
        <f t="shared" si="598"/>
        <v>0</v>
      </c>
      <c r="R1800" s="235">
        <f t="shared" si="598"/>
        <v>0</v>
      </c>
    </row>
    <row r="1801" spans="2:18" x14ac:dyDescent="0.2">
      <c r="B1801" s="136">
        <f t="shared" si="601"/>
        <v>8</v>
      </c>
      <c r="C1801" s="76"/>
      <c r="D1801" s="177" t="s">
        <v>6</v>
      </c>
      <c r="E1801" s="230" t="s">
        <v>159</v>
      </c>
      <c r="F1801" s="230"/>
      <c r="G1801" s="231"/>
      <c r="H1801" s="394">
        <f>SUM(H1802:H1804)</f>
        <v>27500</v>
      </c>
      <c r="I1801" s="394">
        <f t="shared" ref="I1801" si="603">SUM(I1802:I1804)</f>
        <v>0</v>
      </c>
      <c r="J1801" s="394">
        <f t="shared" si="599"/>
        <v>27500</v>
      </c>
      <c r="K1801" s="20"/>
      <c r="L1801" s="875"/>
      <c r="M1801" s="875"/>
      <c r="N1801" s="875"/>
      <c r="O1801" s="20"/>
      <c r="P1801" s="235">
        <f t="shared" si="597"/>
        <v>27500</v>
      </c>
      <c r="Q1801" s="235">
        <f t="shared" si="598"/>
        <v>0</v>
      </c>
      <c r="R1801" s="235">
        <f t="shared" si="598"/>
        <v>27500</v>
      </c>
    </row>
    <row r="1802" spans="2:18" x14ac:dyDescent="0.2">
      <c r="B1802" s="136">
        <f t="shared" si="601"/>
        <v>9</v>
      </c>
      <c r="C1802" s="130"/>
      <c r="D1802" s="130"/>
      <c r="E1802" s="134" t="s">
        <v>430</v>
      </c>
      <c r="F1802" s="157">
        <v>610</v>
      </c>
      <c r="G1802" s="194" t="s">
        <v>257</v>
      </c>
      <c r="H1802" s="398">
        <f>18600-500-1200</f>
        <v>16900</v>
      </c>
      <c r="I1802" s="398"/>
      <c r="J1802" s="398">
        <f t="shared" si="599"/>
        <v>16900</v>
      </c>
      <c r="K1802" s="132"/>
      <c r="L1802" s="526"/>
      <c r="M1802" s="526"/>
      <c r="N1802" s="526"/>
      <c r="O1802" s="132"/>
      <c r="P1802" s="168">
        <f t="shared" si="597"/>
        <v>16900</v>
      </c>
      <c r="Q1802" s="168">
        <f t="shared" si="598"/>
        <v>0</v>
      </c>
      <c r="R1802" s="168">
        <f t="shared" si="598"/>
        <v>16900</v>
      </c>
    </row>
    <row r="1803" spans="2:18" x14ac:dyDescent="0.2">
      <c r="B1803" s="136">
        <f t="shared" si="601"/>
        <v>10</v>
      </c>
      <c r="C1803" s="130"/>
      <c r="D1803" s="130"/>
      <c r="E1803" s="134" t="s">
        <v>430</v>
      </c>
      <c r="F1803" s="157">
        <v>620</v>
      </c>
      <c r="G1803" s="194" t="s">
        <v>259</v>
      </c>
      <c r="H1803" s="398">
        <v>6700</v>
      </c>
      <c r="I1803" s="398"/>
      <c r="J1803" s="398">
        <f t="shared" si="599"/>
        <v>6700</v>
      </c>
      <c r="K1803" s="132"/>
      <c r="L1803" s="526"/>
      <c r="M1803" s="526"/>
      <c r="N1803" s="526"/>
      <c r="O1803" s="132"/>
      <c r="P1803" s="168">
        <f t="shared" si="597"/>
        <v>6700</v>
      </c>
      <c r="Q1803" s="168">
        <f t="shared" si="598"/>
        <v>0</v>
      </c>
      <c r="R1803" s="168">
        <f t="shared" si="598"/>
        <v>6700</v>
      </c>
    </row>
    <row r="1804" spans="2:18" x14ac:dyDescent="0.2">
      <c r="B1804" s="136">
        <f t="shared" si="601"/>
        <v>11</v>
      </c>
      <c r="C1804" s="130"/>
      <c r="D1804" s="130"/>
      <c r="E1804" s="134" t="s">
        <v>430</v>
      </c>
      <c r="F1804" s="157">
        <v>630</v>
      </c>
      <c r="G1804" s="194" t="s">
        <v>236</v>
      </c>
      <c r="H1804" s="398">
        <f>2200+500+1200</f>
        <v>3900</v>
      </c>
      <c r="I1804" s="398"/>
      <c r="J1804" s="398">
        <f t="shared" si="599"/>
        <v>3900</v>
      </c>
      <c r="K1804" s="132"/>
      <c r="L1804" s="526"/>
      <c r="M1804" s="526"/>
      <c r="N1804" s="526"/>
      <c r="O1804" s="132"/>
      <c r="P1804" s="168">
        <f t="shared" si="597"/>
        <v>3900</v>
      </c>
      <c r="Q1804" s="168">
        <f t="shared" si="598"/>
        <v>0</v>
      </c>
      <c r="R1804" s="168">
        <f t="shared" si="598"/>
        <v>3900</v>
      </c>
    </row>
    <row r="1805" spans="2:18" x14ac:dyDescent="0.2">
      <c r="B1805" s="136">
        <f t="shared" si="601"/>
        <v>12</v>
      </c>
      <c r="C1805" s="130"/>
      <c r="D1805" s="177" t="s">
        <v>7</v>
      </c>
      <c r="E1805" s="230" t="s">
        <v>160</v>
      </c>
      <c r="F1805" s="230"/>
      <c r="G1805" s="231"/>
      <c r="H1805" s="394">
        <f>SUM(H1806:H1806)</f>
        <v>250</v>
      </c>
      <c r="I1805" s="394">
        <f t="shared" ref="I1805" si="604">SUM(I1806:I1806)</f>
        <v>0</v>
      </c>
      <c r="J1805" s="394">
        <f t="shared" si="599"/>
        <v>250</v>
      </c>
      <c r="K1805" s="162"/>
      <c r="L1805" s="394"/>
      <c r="M1805" s="394"/>
      <c r="N1805" s="394"/>
      <c r="O1805" s="162"/>
      <c r="P1805" s="234">
        <f t="shared" si="597"/>
        <v>250</v>
      </c>
      <c r="Q1805" s="234">
        <f t="shared" si="598"/>
        <v>0</v>
      </c>
      <c r="R1805" s="234">
        <f t="shared" si="598"/>
        <v>250</v>
      </c>
    </row>
    <row r="1806" spans="2:18" ht="13.5" thickBot="1" x14ac:dyDescent="0.25">
      <c r="B1806" s="504">
        <f t="shared" si="601"/>
        <v>13</v>
      </c>
      <c r="C1806" s="351"/>
      <c r="D1806" s="666"/>
      <c r="E1806" s="667" t="s">
        <v>241</v>
      </c>
      <c r="F1806" s="668">
        <v>637</v>
      </c>
      <c r="G1806" s="356" t="s">
        <v>534</v>
      </c>
      <c r="H1806" s="385">
        <v>250</v>
      </c>
      <c r="I1806" s="385"/>
      <c r="J1806" s="385">
        <f t="shared" si="599"/>
        <v>250</v>
      </c>
      <c r="K1806" s="669"/>
      <c r="L1806" s="385"/>
      <c r="M1806" s="385"/>
      <c r="N1806" s="385"/>
      <c r="O1806" s="669"/>
      <c r="P1806" s="214">
        <f t="shared" si="597"/>
        <v>250</v>
      </c>
      <c r="Q1806" s="214">
        <f t="shared" si="598"/>
        <v>0</v>
      </c>
      <c r="R1806" s="214">
        <f t="shared" si="598"/>
        <v>250</v>
      </c>
    </row>
  </sheetData>
  <mergeCells count="176">
    <mergeCell ref="E17:G17"/>
    <mergeCell ref="E15:G15"/>
    <mergeCell ref="D35:G35"/>
    <mergeCell ref="E3:E4"/>
    <mergeCell ref="F3:F4"/>
    <mergeCell ref="E7:G7"/>
    <mergeCell ref="E13:G13"/>
    <mergeCell ref="E19:G19"/>
    <mergeCell ref="B1:P1"/>
    <mergeCell ref="P2:P4"/>
    <mergeCell ref="C3:C4"/>
    <mergeCell ref="D3:D4"/>
    <mergeCell ref="H3:H4"/>
    <mergeCell ref="L3:L4"/>
    <mergeCell ref="I3:I4"/>
    <mergeCell ref="J3:J4"/>
    <mergeCell ref="M3:M4"/>
    <mergeCell ref="N3:N4"/>
    <mergeCell ref="B2:N2"/>
    <mergeCell ref="P75:P77"/>
    <mergeCell ref="C76:C77"/>
    <mergeCell ref="D76:D77"/>
    <mergeCell ref="E76:E77"/>
    <mergeCell ref="F76:F77"/>
    <mergeCell ref="H76:H77"/>
    <mergeCell ref="L76:L77"/>
    <mergeCell ref="I76:I77"/>
    <mergeCell ref="J76:J77"/>
    <mergeCell ref="M76:M77"/>
    <mergeCell ref="N76:N77"/>
    <mergeCell ref="B75:N75"/>
    <mergeCell ref="P118:P120"/>
    <mergeCell ref="C119:C120"/>
    <mergeCell ref="D119:D120"/>
    <mergeCell ref="E119:E120"/>
    <mergeCell ref="F119:F120"/>
    <mergeCell ref="H119:H120"/>
    <mergeCell ref="L119:L120"/>
    <mergeCell ref="I119:I120"/>
    <mergeCell ref="J119:J120"/>
    <mergeCell ref="M119:M120"/>
    <mergeCell ref="N119:N120"/>
    <mergeCell ref="B118:N118"/>
    <mergeCell ref="P238:P240"/>
    <mergeCell ref="C239:C240"/>
    <mergeCell ref="D239:D240"/>
    <mergeCell ref="E239:E240"/>
    <mergeCell ref="F239:F240"/>
    <mergeCell ref="H239:H240"/>
    <mergeCell ref="L239:L240"/>
    <mergeCell ref="I239:I240"/>
    <mergeCell ref="J239:J240"/>
    <mergeCell ref="M239:M240"/>
    <mergeCell ref="N239:N240"/>
    <mergeCell ref="B238:N238"/>
    <mergeCell ref="P357:P359"/>
    <mergeCell ref="C358:C359"/>
    <mergeCell ref="D358:D359"/>
    <mergeCell ref="E358:E359"/>
    <mergeCell ref="F358:F359"/>
    <mergeCell ref="H358:H359"/>
    <mergeCell ref="L358:L359"/>
    <mergeCell ref="I358:I359"/>
    <mergeCell ref="J358:J359"/>
    <mergeCell ref="M358:M359"/>
    <mergeCell ref="N358:N359"/>
    <mergeCell ref="B357:N357"/>
    <mergeCell ref="P412:P414"/>
    <mergeCell ref="C413:C414"/>
    <mergeCell ref="D413:D414"/>
    <mergeCell ref="E413:E414"/>
    <mergeCell ref="F413:F414"/>
    <mergeCell ref="H413:H414"/>
    <mergeCell ref="L413:L414"/>
    <mergeCell ref="I413:I414"/>
    <mergeCell ref="J413:J414"/>
    <mergeCell ref="M413:M414"/>
    <mergeCell ref="N413:N414"/>
    <mergeCell ref="B412:N412"/>
    <mergeCell ref="B530:H530"/>
    <mergeCell ref="P531:P533"/>
    <mergeCell ref="C532:C533"/>
    <mergeCell ref="D532:D533"/>
    <mergeCell ref="E532:E533"/>
    <mergeCell ref="F532:F533"/>
    <mergeCell ref="H532:H533"/>
    <mergeCell ref="L532:L533"/>
    <mergeCell ref="I532:I533"/>
    <mergeCell ref="J532:J533"/>
    <mergeCell ref="M532:M533"/>
    <mergeCell ref="N532:N533"/>
    <mergeCell ref="B531:N531"/>
    <mergeCell ref="P1331:P1333"/>
    <mergeCell ref="C1332:C1333"/>
    <mergeCell ref="D1332:D1333"/>
    <mergeCell ref="E1332:E1333"/>
    <mergeCell ref="F1332:F1333"/>
    <mergeCell ref="H1332:H1333"/>
    <mergeCell ref="L1332:L1333"/>
    <mergeCell ref="I1332:I1333"/>
    <mergeCell ref="J1332:J1333"/>
    <mergeCell ref="M1332:M1333"/>
    <mergeCell ref="N1332:N1333"/>
    <mergeCell ref="B1331:N1331"/>
    <mergeCell ref="P1447:P1449"/>
    <mergeCell ref="C1448:C1449"/>
    <mergeCell ref="D1448:D1449"/>
    <mergeCell ref="E1448:E1449"/>
    <mergeCell ref="F1448:F1449"/>
    <mergeCell ref="H1448:H1449"/>
    <mergeCell ref="L1448:L1449"/>
    <mergeCell ref="I1448:I1449"/>
    <mergeCell ref="J1448:J1449"/>
    <mergeCell ref="M1448:M1449"/>
    <mergeCell ref="N1448:N1449"/>
    <mergeCell ref="B1447:N1447"/>
    <mergeCell ref="P1502:P1504"/>
    <mergeCell ref="C1503:C1504"/>
    <mergeCell ref="D1503:D1504"/>
    <mergeCell ref="E1503:E1504"/>
    <mergeCell ref="F1503:F1504"/>
    <mergeCell ref="H1503:H1504"/>
    <mergeCell ref="L1503:L1504"/>
    <mergeCell ref="I1503:I1504"/>
    <mergeCell ref="J1503:J1504"/>
    <mergeCell ref="M1503:M1504"/>
    <mergeCell ref="N1503:N1504"/>
    <mergeCell ref="B1502:N1502"/>
    <mergeCell ref="P1616:P1618"/>
    <mergeCell ref="C1617:C1618"/>
    <mergeCell ref="D1617:D1618"/>
    <mergeCell ref="E1617:E1618"/>
    <mergeCell ref="F1617:F1618"/>
    <mergeCell ref="H1617:H1618"/>
    <mergeCell ref="L1617:L1618"/>
    <mergeCell ref="I1617:I1618"/>
    <mergeCell ref="J1617:J1618"/>
    <mergeCell ref="M1617:M1618"/>
    <mergeCell ref="N1617:N1618"/>
    <mergeCell ref="B1616:N1616"/>
    <mergeCell ref="P1791:P1793"/>
    <mergeCell ref="C1792:C1793"/>
    <mergeCell ref="D1792:D1793"/>
    <mergeCell ref="E1792:E1793"/>
    <mergeCell ref="F1792:F1793"/>
    <mergeCell ref="H1792:H1793"/>
    <mergeCell ref="L1792:L1793"/>
    <mergeCell ref="I1792:I1793"/>
    <mergeCell ref="J1792:J1793"/>
    <mergeCell ref="M1792:M1793"/>
    <mergeCell ref="N1792:N1793"/>
    <mergeCell ref="B1791:N1791"/>
    <mergeCell ref="Q238:Q240"/>
    <mergeCell ref="R238:R240"/>
    <mergeCell ref="Q357:Q359"/>
    <mergeCell ref="R357:R359"/>
    <mergeCell ref="Q412:Q414"/>
    <mergeCell ref="R412:R414"/>
    <mergeCell ref="Q2:Q4"/>
    <mergeCell ref="R2:R4"/>
    <mergeCell ref="Q75:Q77"/>
    <mergeCell ref="R75:R77"/>
    <mergeCell ref="Q118:Q120"/>
    <mergeCell ref="R118:R120"/>
    <mergeCell ref="Q1502:Q1504"/>
    <mergeCell ref="R1502:R1504"/>
    <mergeCell ref="Q1616:Q1618"/>
    <mergeCell ref="R1616:R1618"/>
    <mergeCell ref="Q1791:Q1793"/>
    <mergeCell ref="R1791:R1793"/>
    <mergeCell ref="Q531:Q533"/>
    <mergeCell ref="R531:R533"/>
    <mergeCell ref="Q1331:Q1333"/>
    <mergeCell ref="R1331:R1333"/>
    <mergeCell ref="Q1447:Q1449"/>
    <mergeCell ref="R1447:R1449"/>
  </mergeCells>
  <pageMargins left="0.23622047244094491" right="0.19685039370078741" top="0.15748031496062992" bottom="0.15748031496062992" header="0.31496062992125984" footer="0.31496062992125984"/>
  <pageSetup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5">
    <tabColor rgb="FFFFFF00"/>
  </sheetPr>
  <dimension ref="A1:P87"/>
  <sheetViews>
    <sheetView zoomScale="95" zoomScaleNormal="95" zoomScaleSheetLayoutView="100" workbookViewId="0"/>
  </sheetViews>
  <sheetFormatPr defaultRowHeight="12.75" x14ac:dyDescent="0.2"/>
  <cols>
    <col min="1" max="1" width="10" customWidth="1"/>
    <col min="2" max="2" width="3.85546875" customWidth="1"/>
    <col min="3" max="3" width="43.140625" customWidth="1"/>
    <col min="4" max="4" width="15" customWidth="1"/>
    <col min="5" max="5" width="11" customWidth="1"/>
    <col min="6" max="6" width="14.5703125" customWidth="1"/>
    <col min="7" max="7" width="13.5703125" customWidth="1"/>
    <col min="8" max="8" width="11.28515625" customWidth="1"/>
    <col min="9" max="9" width="12.5703125" customWidth="1"/>
    <col min="10" max="10" width="12.42578125" customWidth="1"/>
    <col min="11" max="11" width="12" customWidth="1"/>
    <col min="12" max="12" width="12.42578125" customWidth="1"/>
    <col min="14" max="14" width="9.5703125" bestFit="1" customWidth="1"/>
    <col min="15" max="15" width="10.7109375" bestFit="1" customWidth="1"/>
  </cols>
  <sheetData>
    <row r="1" spans="2:16" ht="54" customHeight="1" thickBot="1" x14ac:dyDescent="0.55000000000000004">
      <c r="B1" s="935" t="s">
        <v>189</v>
      </c>
      <c r="C1" s="935"/>
      <c r="D1" s="935"/>
      <c r="E1" s="935"/>
      <c r="F1" s="935"/>
      <c r="G1" s="935"/>
      <c r="H1" s="935"/>
      <c r="I1" s="935"/>
      <c r="J1" s="935"/>
      <c r="K1" s="788"/>
      <c r="L1" s="788"/>
    </row>
    <row r="2" spans="2:16" ht="40.5" customHeight="1" thickBot="1" x14ac:dyDescent="0.25">
      <c r="B2" s="933"/>
      <c r="C2" s="934"/>
      <c r="D2" s="542" t="s">
        <v>718</v>
      </c>
      <c r="E2" s="542" t="s">
        <v>861</v>
      </c>
      <c r="F2" s="542" t="s">
        <v>862</v>
      </c>
      <c r="G2" s="811" t="s">
        <v>719</v>
      </c>
      <c r="H2" s="811" t="s">
        <v>861</v>
      </c>
      <c r="I2" s="811" t="s">
        <v>863</v>
      </c>
      <c r="J2" s="809" t="s">
        <v>717</v>
      </c>
      <c r="K2" s="809" t="s">
        <v>861</v>
      </c>
      <c r="L2" s="809" t="s">
        <v>721</v>
      </c>
    </row>
    <row r="3" spans="2:16" ht="16.5" thickTop="1" x14ac:dyDescent="0.25">
      <c r="B3" s="441">
        <v>1</v>
      </c>
      <c r="C3" s="442" t="s">
        <v>171</v>
      </c>
      <c r="D3" s="543">
        <f>Príjmy!H256</f>
        <v>32716201</v>
      </c>
      <c r="E3" s="543">
        <f>Príjmy!I285</f>
        <v>81381</v>
      </c>
      <c r="F3" s="543">
        <f>D3+E3</f>
        <v>32797582</v>
      </c>
      <c r="G3" s="812">
        <f>Príjmy!H276</f>
        <v>801000</v>
      </c>
      <c r="H3" s="812">
        <f>Príjmy!I286</f>
        <v>0</v>
      </c>
      <c r="I3" s="812">
        <f>H3+G3</f>
        <v>801000</v>
      </c>
      <c r="J3" s="810">
        <f>D3+G3</f>
        <v>33517201</v>
      </c>
      <c r="K3" s="810">
        <f>E3+H3</f>
        <v>81381</v>
      </c>
      <c r="L3" s="810">
        <f>K3+J3</f>
        <v>33598582</v>
      </c>
      <c r="O3" s="17"/>
    </row>
    <row r="4" spans="2:16" ht="15.75" x14ac:dyDescent="0.25">
      <c r="B4" s="443">
        <f>B3+1</f>
        <v>2</v>
      </c>
      <c r="C4" s="444" t="s">
        <v>172</v>
      </c>
      <c r="D4" s="544">
        <f>SUM(D6:D17)</f>
        <v>29512344</v>
      </c>
      <c r="E4" s="544">
        <f>SUM(E6:E17)</f>
        <v>81381</v>
      </c>
      <c r="F4" s="544">
        <f t="shared" ref="F4:F19" si="0">E4+D4</f>
        <v>29593725</v>
      </c>
      <c r="G4" s="813">
        <f>SUM(G6:G17)</f>
        <v>2773456</v>
      </c>
      <c r="H4" s="812">
        <f>SUM(H6:H17)</f>
        <v>0</v>
      </c>
      <c r="I4" s="812">
        <f t="shared" ref="I4:I21" si="1">H4+G4</f>
        <v>2773456</v>
      </c>
      <c r="J4" s="810">
        <f>D4+G4</f>
        <v>32285800</v>
      </c>
      <c r="K4" s="810">
        <f t="shared" ref="K4" si="2">E4+H4</f>
        <v>81381</v>
      </c>
      <c r="L4" s="810">
        <f t="shared" ref="L4:L22" si="3">K4+J4</f>
        <v>32367181</v>
      </c>
      <c r="N4" s="17"/>
      <c r="O4" s="17"/>
    </row>
    <row r="5" spans="2:16" ht="10.5" customHeight="1" x14ac:dyDescent="0.25">
      <c r="B5" s="221">
        <f>B4+1</f>
        <v>3</v>
      </c>
      <c r="C5" s="408"/>
      <c r="D5" s="545"/>
      <c r="E5" s="545"/>
      <c r="F5" s="545"/>
      <c r="G5" s="845"/>
      <c r="H5" s="845"/>
      <c r="I5" s="845"/>
      <c r="J5" s="846"/>
      <c r="K5" s="846"/>
      <c r="L5" s="846"/>
    </row>
    <row r="6" spans="2:16" ht="15" customHeight="1" x14ac:dyDescent="0.25">
      <c r="B6" s="221">
        <f>B5+1</f>
        <v>4</v>
      </c>
      <c r="C6" s="446" t="s">
        <v>550</v>
      </c>
      <c r="D6" s="546">
        <f>Výdavky!H5</f>
        <v>386233</v>
      </c>
      <c r="E6" s="546">
        <f>Výdavky!I5</f>
        <v>0</v>
      </c>
      <c r="F6" s="546">
        <f t="shared" si="0"/>
        <v>386233</v>
      </c>
      <c r="G6" s="814">
        <f>Výdavky!L5</f>
        <v>139937</v>
      </c>
      <c r="H6" s="814">
        <f>Výdavky!M5</f>
        <v>0</v>
      </c>
      <c r="I6" s="814">
        <f t="shared" si="1"/>
        <v>139937</v>
      </c>
      <c r="J6" s="819">
        <f t="shared" ref="J6:K17" si="4">D6+G6</f>
        <v>526170</v>
      </c>
      <c r="K6" s="819">
        <f t="shared" si="4"/>
        <v>0</v>
      </c>
      <c r="L6" s="819">
        <f t="shared" si="3"/>
        <v>526170</v>
      </c>
    </row>
    <row r="7" spans="2:16" ht="15" x14ac:dyDescent="0.25">
      <c r="B7" s="221">
        <f t="shared" ref="B7:B21" si="5">B6+1</f>
        <v>5</v>
      </c>
      <c r="C7" s="447" t="s">
        <v>551</v>
      </c>
      <c r="D7" s="546">
        <f>Výdavky!H78</f>
        <v>70758</v>
      </c>
      <c r="E7" s="546">
        <f>Výdavky!I78</f>
        <v>0</v>
      </c>
      <c r="F7" s="546">
        <f t="shared" si="0"/>
        <v>70758</v>
      </c>
      <c r="G7" s="814">
        <f>Výdavky!L78</f>
        <v>0</v>
      </c>
      <c r="H7" s="814">
        <f>Výdavky!M78</f>
        <v>0</v>
      </c>
      <c r="I7" s="814">
        <f t="shared" si="1"/>
        <v>0</v>
      </c>
      <c r="J7" s="819">
        <f>D7+G7</f>
        <v>70758</v>
      </c>
      <c r="K7" s="819">
        <f t="shared" si="4"/>
        <v>0</v>
      </c>
      <c r="L7" s="819">
        <f t="shared" si="3"/>
        <v>70758</v>
      </c>
    </row>
    <row r="8" spans="2:16" ht="15" x14ac:dyDescent="0.25">
      <c r="B8" s="221">
        <f t="shared" si="5"/>
        <v>6</v>
      </c>
      <c r="C8" s="447" t="s">
        <v>552</v>
      </c>
      <c r="D8" s="546">
        <f>Výdavky!H121</f>
        <v>3469017</v>
      </c>
      <c r="E8" s="546">
        <f>Výdavky!I121</f>
        <v>0</v>
      </c>
      <c r="F8" s="546">
        <f t="shared" si="0"/>
        <v>3469017</v>
      </c>
      <c r="G8" s="814">
        <f>Výdavky!L121</f>
        <v>460474</v>
      </c>
      <c r="H8" s="814">
        <f>Výdavky!M121</f>
        <v>0</v>
      </c>
      <c r="I8" s="814">
        <f t="shared" si="1"/>
        <v>460474</v>
      </c>
      <c r="J8" s="819">
        <f t="shared" si="4"/>
        <v>3929491</v>
      </c>
      <c r="K8" s="819">
        <f t="shared" si="4"/>
        <v>0</v>
      </c>
      <c r="L8" s="819">
        <f t="shared" si="3"/>
        <v>3929491</v>
      </c>
    </row>
    <row r="9" spans="2:16" ht="15" x14ac:dyDescent="0.25">
      <c r="B9" s="221">
        <f t="shared" si="5"/>
        <v>7</v>
      </c>
      <c r="C9" s="447" t="s">
        <v>553</v>
      </c>
      <c r="D9" s="546">
        <f>Výdavky!H241</f>
        <v>471589</v>
      </c>
      <c r="E9" s="546">
        <f>Výdavky!I241</f>
        <v>0</v>
      </c>
      <c r="F9" s="546">
        <f t="shared" si="0"/>
        <v>471589</v>
      </c>
      <c r="G9" s="814">
        <f>Výdavky!L241</f>
        <v>126369</v>
      </c>
      <c r="H9" s="814">
        <f>Výdavky!M241</f>
        <v>0</v>
      </c>
      <c r="I9" s="814">
        <f t="shared" si="1"/>
        <v>126369</v>
      </c>
      <c r="J9" s="819">
        <f t="shared" si="4"/>
        <v>597958</v>
      </c>
      <c r="K9" s="819">
        <f t="shared" si="4"/>
        <v>0</v>
      </c>
      <c r="L9" s="819">
        <f>K9+J9</f>
        <v>597958</v>
      </c>
    </row>
    <row r="10" spans="2:16" ht="15" x14ac:dyDescent="0.25">
      <c r="B10" s="221">
        <f t="shared" si="5"/>
        <v>8</v>
      </c>
      <c r="C10" s="447" t="s">
        <v>554</v>
      </c>
      <c r="D10" s="546">
        <f>Výdavky!H360</f>
        <v>1638060</v>
      </c>
      <c r="E10" s="546">
        <f>Výdavky!I360</f>
        <v>0</v>
      </c>
      <c r="F10" s="546">
        <f t="shared" si="0"/>
        <v>1638060</v>
      </c>
      <c r="G10" s="814">
        <f>Výdavky!L360</f>
        <v>112463</v>
      </c>
      <c r="H10" s="814">
        <f>Výdavky!M360</f>
        <v>0</v>
      </c>
      <c r="I10" s="814">
        <f t="shared" si="1"/>
        <v>112463</v>
      </c>
      <c r="J10" s="819">
        <f t="shared" si="4"/>
        <v>1750523</v>
      </c>
      <c r="K10" s="819">
        <f t="shared" si="4"/>
        <v>0</v>
      </c>
      <c r="L10" s="819">
        <f t="shared" si="3"/>
        <v>1750523</v>
      </c>
      <c r="P10" s="17"/>
    </row>
    <row r="11" spans="2:16" ht="15" x14ac:dyDescent="0.25">
      <c r="B11" s="221">
        <f t="shared" si="5"/>
        <v>9</v>
      </c>
      <c r="C11" s="447" t="s">
        <v>555</v>
      </c>
      <c r="D11" s="546">
        <f>Výdavky!H415</f>
        <v>3369096</v>
      </c>
      <c r="E11" s="546">
        <f>Výdavky!I415</f>
        <v>0</v>
      </c>
      <c r="F11" s="546">
        <f t="shared" si="0"/>
        <v>3369096</v>
      </c>
      <c r="G11" s="814">
        <f>Výdavky!L415</f>
        <v>1314301</v>
      </c>
      <c r="H11" s="814">
        <f>Výdavky!M415</f>
        <v>0</v>
      </c>
      <c r="I11" s="814">
        <f t="shared" si="1"/>
        <v>1314301</v>
      </c>
      <c r="J11" s="819">
        <f t="shared" si="4"/>
        <v>4683397</v>
      </c>
      <c r="K11" s="819">
        <f t="shared" si="4"/>
        <v>0</v>
      </c>
      <c r="L11" s="819">
        <f t="shared" si="3"/>
        <v>4683397</v>
      </c>
      <c r="P11" s="17"/>
    </row>
    <row r="12" spans="2:16" ht="15" x14ac:dyDescent="0.25">
      <c r="B12" s="221">
        <f t="shared" si="5"/>
        <v>10</v>
      </c>
      <c r="C12" s="447" t="s">
        <v>556</v>
      </c>
      <c r="D12" s="546">
        <f>Výdavky!H534</f>
        <v>12479787</v>
      </c>
      <c r="E12" s="546">
        <f>Výdavky!I534</f>
        <v>81381</v>
      </c>
      <c r="F12" s="546">
        <f t="shared" si="0"/>
        <v>12561168</v>
      </c>
      <c r="G12" s="814">
        <f>Výdavky!L534</f>
        <v>363107</v>
      </c>
      <c r="H12" s="814">
        <f>Výdavky!M534</f>
        <v>0</v>
      </c>
      <c r="I12" s="814">
        <f t="shared" si="1"/>
        <v>363107</v>
      </c>
      <c r="J12" s="819">
        <f t="shared" si="4"/>
        <v>12842894</v>
      </c>
      <c r="K12" s="819">
        <f t="shared" si="4"/>
        <v>81381</v>
      </c>
      <c r="L12" s="819">
        <f t="shared" si="3"/>
        <v>12924275</v>
      </c>
    </row>
    <row r="13" spans="2:16" ht="15" x14ac:dyDescent="0.25">
      <c r="B13" s="221">
        <f t="shared" si="5"/>
        <v>11</v>
      </c>
      <c r="C13" s="447" t="s">
        <v>595</v>
      </c>
      <c r="D13" s="546">
        <f>Výdavky!H1334</f>
        <v>1326350</v>
      </c>
      <c r="E13" s="546">
        <f>Výdavky!I1334</f>
        <v>0</v>
      </c>
      <c r="F13" s="546">
        <f t="shared" si="0"/>
        <v>1326350</v>
      </c>
      <c r="G13" s="814">
        <f>Výdavky!L1334</f>
        <v>70600</v>
      </c>
      <c r="H13" s="814">
        <f>Výdavky!M1334</f>
        <v>0</v>
      </c>
      <c r="I13" s="814">
        <f t="shared" si="1"/>
        <v>70600</v>
      </c>
      <c r="J13" s="819">
        <f t="shared" si="4"/>
        <v>1396950</v>
      </c>
      <c r="K13" s="819">
        <f t="shared" si="4"/>
        <v>0</v>
      </c>
      <c r="L13" s="819">
        <f t="shared" si="3"/>
        <v>1396950</v>
      </c>
    </row>
    <row r="14" spans="2:16" ht="15" x14ac:dyDescent="0.25">
      <c r="B14" s="221">
        <f t="shared" si="5"/>
        <v>12</v>
      </c>
      <c r="C14" s="447" t="s">
        <v>557</v>
      </c>
      <c r="D14" s="546">
        <f>Výdavky!H1450</f>
        <v>320400</v>
      </c>
      <c r="E14" s="546">
        <f>Výdavky!I1450</f>
        <v>0</v>
      </c>
      <c r="F14" s="546">
        <f t="shared" si="0"/>
        <v>320400</v>
      </c>
      <c r="G14" s="814">
        <f>Výdavky!L1450</f>
        <v>21520</v>
      </c>
      <c r="H14" s="814">
        <f>Výdavky!M1450</f>
        <v>0</v>
      </c>
      <c r="I14" s="814">
        <f t="shared" si="1"/>
        <v>21520</v>
      </c>
      <c r="J14" s="819">
        <f t="shared" si="4"/>
        <v>341920</v>
      </c>
      <c r="K14" s="819">
        <f t="shared" si="4"/>
        <v>0</v>
      </c>
      <c r="L14" s="819">
        <f t="shared" si="3"/>
        <v>341920</v>
      </c>
    </row>
    <row r="15" spans="2:16" ht="15" x14ac:dyDescent="0.25">
      <c r="B15" s="221">
        <f t="shared" si="5"/>
        <v>13</v>
      </c>
      <c r="C15" s="447" t="s">
        <v>558</v>
      </c>
      <c r="D15" s="546">
        <f>Výdavky!H1505</f>
        <v>3780596</v>
      </c>
      <c r="E15" s="546">
        <f>Výdavky!I1505</f>
        <v>0</v>
      </c>
      <c r="F15" s="546">
        <f t="shared" si="0"/>
        <v>3780596</v>
      </c>
      <c r="G15" s="814">
        <f>Výdavky!L1505</f>
        <v>164685</v>
      </c>
      <c r="H15" s="814">
        <f>Výdavky!M1505</f>
        <v>0</v>
      </c>
      <c r="I15" s="814">
        <f t="shared" si="1"/>
        <v>164685</v>
      </c>
      <c r="J15" s="819">
        <f t="shared" si="4"/>
        <v>3945281</v>
      </c>
      <c r="K15" s="819">
        <f>E15+H15</f>
        <v>0</v>
      </c>
      <c r="L15" s="819">
        <f t="shared" si="3"/>
        <v>3945281</v>
      </c>
    </row>
    <row r="16" spans="2:16" ht="15" x14ac:dyDescent="0.25">
      <c r="B16" s="221">
        <f t="shared" si="5"/>
        <v>14</v>
      </c>
      <c r="C16" s="447" t="s">
        <v>559</v>
      </c>
      <c r="D16" s="546">
        <f>Výdavky!H1619</f>
        <v>2050208</v>
      </c>
      <c r="E16" s="546">
        <f>Výdavky!I1619</f>
        <v>0</v>
      </c>
      <c r="F16" s="546">
        <f t="shared" si="0"/>
        <v>2050208</v>
      </c>
      <c r="G16" s="814">
        <f>Výdavky!L1619</f>
        <v>0</v>
      </c>
      <c r="H16" s="814">
        <f>Výdavky!M1619</f>
        <v>0</v>
      </c>
      <c r="I16" s="814">
        <f t="shared" si="1"/>
        <v>0</v>
      </c>
      <c r="J16" s="819">
        <f t="shared" si="4"/>
        <v>2050208</v>
      </c>
      <c r="K16" s="819">
        <f t="shared" si="4"/>
        <v>0</v>
      </c>
      <c r="L16" s="819">
        <f t="shared" si="3"/>
        <v>2050208</v>
      </c>
    </row>
    <row r="17" spans="1:15" ht="15" x14ac:dyDescent="0.25">
      <c r="B17" s="221">
        <f t="shared" si="5"/>
        <v>15</v>
      </c>
      <c r="C17" s="447" t="s">
        <v>560</v>
      </c>
      <c r="D17" s="546">
        <f>Výdavky!H1794</f>
        <v>150250</v>
      </c>
      <c r="E17" s="546">
        <f>Výdavky!I1794</f>
        <v>0</v>
      </c>
      <c r="F17" s="546">
        <f t="shared" si="0"/>
        <v>150250</v>
      </c>
      <c r="G17" s="814">
        <f>Výdavky!L1794</f>
        <v>0</v>
      </c>
      <c r="H17" s="814">
        <f>Výdavky!M1794</f>
        <v>0</v>
      </c>
      <c r="I17" s="814">
        <f t="shared" si="1"/>
        <v>0</v>
      </c>
      <c r="J17" s="819">
        <f t="shared" si="4"/>
        <v>150250</v>
      </c>
      <c r="K17" s="819">
        <f t="shared" si="4"/>
        <v>0</v>
      </c>
      <c r="L17" s="819">
        <f t="shared" si="3"/>
        <v>150250</v>
      </c>
    </row>
    <row r="18" spans="1:15" ht="10.5" customHeight="1" x14ac:dyDescent="0.25">
      <c r="B18" s="221">
        <f t="shared" si="5"/>
        <v>16</v>
      </c>
      <c r="C18" s="931" t="s">
        <v>192</v>
      </c>
      <c r="D18" s="938">
        <f>D3-D4</f>
        <v>3203857</v>
      </c>
      <c r="E18" s="938">
        <f t="shared" ref="E18" si="6">E3-E4</f>
        <v>0</v>
      </c>
      <c r="F18" s="938">
        <f t="shared" si="0"/>
        <v>3203857</v>
      </c>
      <c r="G18" s="815"/>
      <c r="H18" s="926"/>
      <c r="I18" s="926"/>
      <c r="J18" s="922"/>
      <c r="K18" s="922"/>
      <c r="L18" s="922"/>
    </row>
    <row r="19" spans="1:15" ht="6" customHeight="1" x14ac:dyDescent="0.25">
      <c r="B19" s="221">
        <f t="shared" si="5"/>
        <v>17</v>
      </c>
      <c r="C19" s="932"/>
      <c r="D19" s="939"/>
      <c r="E19" s="939"/>
      <c r="F19" s="939">
        <f t="shared" si="0"/>
        <v>0</v>
      </c>
      <c r="G19" s="816"/>
      <c r="H19" s="927"/>
      <c r="I19" s="927"/>
      <c r="J19" s="923"/>
      <c r="K19" s="923"/>
      <c r="L19" s="923"/>
    </row>
    <row r="20" spans="1:15" ht="6" customHeight="1" x14ac:dyDescent="0.25">
      <c r="B20" s="221">
        <f t="shared" si="5"/>
        <v>18</v>
      </c>
      <c r="C20" s="936" t="s">
        <v>568</v>
      </c>
      <c r="D20" s="547"/>
      <c r="E20" s="942"/>
      <c r="F20" s="942"/>
      <c r="G20" s="928">
        <f>G3-G4</f>
        <v>-1972456</v>
      </c>
      <c r="H20" s="928">
        <f t="shared" ref="H20" si="7">H3-H4</f>
        <v>0</v>
      </c>
      <c r="I20" s="928">
        <f t="shared" si="1"/>
        <v>-1972456</v>
      </c>
      <c r="J20" s="924"/>
      <c r="K20" s="924"/>
      <c r="L20" s="924"/>
    </row>
    <row r="21" spans="1:15" ht="10.5" customHeight="1" x14ac:dyDescent="0.25">
      <c r="B21" s="221">
        <f t="shared" si="5"/>
        <v>19</v>
      </c>
      <c r="C21" s="937"/>
      <c r="D21" s="548"/>
      <c r="E21" s="943"/>
      <c r="F21" s="943"/>
      <c r="G21" s="929"/>
      <c r="H21" s="929"/>
      <c r="I21" s="929">
        <f t="shared" si="1"/>
        <v>0</v>
      </c>
      <c r="J21" s="925"/>
      <c r="K21" s="925"/>
      <c r="L21" s="925"/>
    </row>
    <row r="22" spans="1:15" ht="16.5" customHeight="1" thickBot="1" x14ac:dyDescent="0.3">
      <c r="A22" s="19"/>
      <c r="B22" s="222">
        <f>B21+1</f>
        <v>20</v>
      </c>
      <c r="C22" s="440" t="s">
        <v>569</v>
      </c>
      <c r="D22" s="549"/>
      <c r="E22" s="549"/>
      <c r="F22" s="549"/>
      <c r="G22" s="817"/>
      <c r="H22" s="818"/>
      <c r="I22" s="818"/>
      <c r="J22" s="820">
        <f>J3-J4</f>
        <v>1231401</v>
      </c>
      <c r="K22" s="820">
        <f t="shared" ref="K22" si="8">K3-K4</f>
        <v>0</v>
      </c>
      <c r="L22" s="820">
        <f t="shared" si="3"/>
        <v>1231401</v>
      </c>
    </row>
    <row r="23" spans="1:15" s="19" customFormat="1" ht="5.25" customHeight="1" thickBot="1" x14ac:dyDescent="0.25">
      <c r="A23" s="25"/>
      <c r="B23" s="578"/>
      <c r="C23" s="272"/>
      <c r="D23" s="273"/>
      <c r="E23" s="273"/>
      <c r="F23" s="273"/>
      <c r="G23" s="273"/>
      <c r="H23" s="273"/>
      <c r="I23" s="273"/>
      <c r="J23" s="247"/>
      <c r="K23" s="247"/>
      <c r="L23" s="247"/>
    </row>
    <row r="24" spans="1:15" ht="16.5" customHeight="1" thickBot="1" x14ac:dyDescent="0.25">
      <c r="A24" s="19"/>
      <c r="B24" s="940" t="s">
        <v>548</v>
      </c>
      <c r="C24" s="941"/>
      <c r="D24" s="941"/>
      <c r="E24" s="941"/>
      <c r="F24" s="941"/>
      <c r="G24" s="941"/>
      <c r="H24" s="941"/>
      <c r="I24" s="941"/>
      <c r="J24" s="941"/>
      <c r="K24" s="821"/>
      <c r="L24" s="844"/>
    </row>
    <row r="25" spans="1:15" ht="14.25" customHeight="1" thickTop="1" x14ac:dyDescent="0.25">
      <c r="A25" s="19"/>
      <c r="B25" s="445">
        <f>B22+1</f>
        <v>21</v>
      </c>
      <c r="C25" s="573" t="s">
        <v>196</v>
      </c>
      <c r="D25" s="574"/>
      <c r="E25" s="574"/>
      <c r="F25" s="574"/>
      <c r="G25" s="574"/>
      <c r="H25" s="574"/>
      <c r="I25" s="574"/>
      <c r="J25" s="604">
        <f>SUM(J26:J29)</f>
        <v>5555683</v>
      </c>
      <c r="K25" s="604">
        <f t="shared" ref="K25" si="9">SUM(K26:K29)</f>
        <v>0</v>
      </c>
      <c r="L25" s="604">
        <f>J25+K25</f>
        <v>5555683</v>
      </c>
      <c r="O25" s="17"/>
    </row>
    <row r="26" spans="1:15" ht="14.25" customHeight="1" x14ac:dyDescent="0.25">
      <c r="A26" s="19"/>
      <c r="B26" s="420">
        <f>B25+1</f>
        <v>22</v>
      </c>
      <c r="C26" s="421" t="s">
        <v>709</v>
      </c>
      <c r="D26" s="422"/>
      <c r="E26" s="422"/>
      <c r="F26" s="422"/>
      <c r="G26" s="422"/>
      <c r="H26" s="422"/>
      <c r="I26" s="422"/>
      <c r="J26" s="609">
        <f>2600000-600000</f>
        <v>2000000</v>
      </c>
      <c r="K26" s="609"/>
      <c r="L26" s="609">
        <f t="shared" ref="L26:L43" si="10">J26+K26</f>
        <v>2000000</v>
      </c>
      <c r="O26" s="17"/>
    </row>
    <row r="27" spans="1:15" ht="14.25" customHeight="1" x14ac:dyDescent="0.25">
      <c r="A27" s="19"/>
      <c r="B27" s="420">
        <f>B26+1</f>
        <v>23</v>
      </c>
      <c r="C27" s="421" t="s">
        <v>633</v>
      </c>
      <c r="D27" s="422"/>
      <c r="E27" s="422"/>
      <c r="F27" s="422"/>
      <c r="G27" s="422"/>
      <c r="H27" s="422"/>
      <c r="I27" s="422"/>
      <c r="J27" s="605">
        <f>1000000+111189</f>
        <v>1111189</v>
      </c>
      <c r="K27" s="605"/>
      <c r="L27" s="605">
        <f t="shared" si="10"/>
        <v>1111189</v>
      </c>
    </row>
    <row r="28" spans="1:15" ht="14.25" customHeight="1" x14ac:dyDescent="0.25">
      <c r="A28" s="19"/>
      <c r="B28" s="420">
        <f t="shared" ref="B28:B29" si="11">B27+1</f>
        <v>24</v>
      </c>
      <c r="C28" s="421" t="s">
        <v>796</v>
      </c>
      <c r="D28" s="422"/>
      <c r="E28" s="422"/>
      <c r="F28" s="422"/>
      <c r="G28" s="422"/>
      <c r="H28" s="422"/>
      <c r="I28" s="422"/>
      <c r="J28" s="605">
        <v>43025</v>
      </c>
      <c r="K28" s="605"/>
      <c r="L28" s="605">
        <f t="shared" si="10"/>
        <v>43025</v>
      </c>
    </row>
    <row r="29" spans="1:15" ht="14.25" customHeight="1" x14ac:dyDescent="0.25">
      <c r="A29" s="19"/>
      <c r="B29" s="420">
        <f t="shared" si="11"/>
        <v>25</v>
      </c>
      <c r="C29" s="421" t="s">
        <v>797</v>
      </c>
      <c r="D29" s="422"/>
      <c r="E29" s="422"/>
      <c r="F29" s="422"/>
      <c r="G29" s="422"/>
      <c r="H29" s="422"/>
      <c r="I29" s="422"/>
      <c r="J29" s="605">
        <v>2401469</v>
      </c>
      <c r="K29" s="605"/>
      <c r="L29" s="605">
        <f t="shared" si="10"/>
        <v>2401469</v>
      </c>
    </row>
    <row r="30" spans="1:15" ht="15.75" customHeight="1" x14ac:dyDescent="0.25">
      <c r="A30" s="19"/>
      <c r="B30" s="445">
        <v>26</v>
      </c>
      <c r="C30" s="573" t="s">
        <v>197</v>
      </c>
      <c r="D30" s="574"/>
      <c r="E30" s="574"/>
      <c r="F30" s="574"/>
      <c r="G30" s="574"/>
      <c r="H30" s="574"/>
      <c r="I30" s="574"/>
      <c r="J30" s="606">
        <f>J31+J36+J37</f>
        <v>6787084</v>
      </c>
      <c r="K30" s="606">
        <f t="shared" ref="K30" si="12">K31+K36+K37</f>
        <v>0</v>
      </c>
      <c r="L30" s="606">
        <f t="shared" si="10"/>
        <v>6787084</v>
      </c>
      <c r="O30" s="17"/>
    </row>
    <row r="31" spans="1:15" ht="14.25" customHeight="1" x14ac:dyDescent="0.25">
      <c r="A31" s="19"/>
      <c r="B31" s="219">
        <f t="shared" ref="B31:B42" si="13">B30+1</f>
        <v>27</v>
      </c>
      <c r="C31" s="128" t="s">
        <v>194</v>
      </c>
      <c r="D31" s="129"/>
      <c r="E31" s="129"/>
      <c r="F31" s="129"/>
      <c r="G31" s="129"/>
      <c r="H31" s="129"/>
      <c r="I31" s="129"/>
      <c r="J31" s="605">
        <f>SUM(J32:J35)</f>
        <v>4301789</v>
      </c>
      <c r="K31" s="605">
        <f t="shared" ref="K31" si="14">SUM(K32:K35)</f>
        <v>0</v>
      </c>
      <c r="L31" s="605">
        <f t="shared" si="10"/>
        <v>4301789</v>
      </c>
    </row>
    <row r="32" spans="1:15" ht="13.5" customHeight="1" x14ac:dyDescent="0.2">
      <c r="A32" s="19"/>
      <c r="B32" s="220">
        <f t="shared" si="13"/>
        <v>28</v>
      </c>
      <c r="C32" s="575" t="s">
        <v>198</v>
      </c>
      <c r="D32" s="119"/>
      <c r="E32" s="119"/>
      <c r="F32" s="119"/>
      <c r="G32" s="119"/>
      <c r="H32" s="119"/>
      <c r="I32" s="119"/>
      <c r="J32" s="607">
        <v>812885</v>
      </c>
      <c r="K32" s="607"/>
      <c r="L32" s="607">
        <f t="shared" si="10"/>
        <v>812885</v>
      </c>
    </row>
    <row r="33" spans="1:12" ht="13.5" customHeight="1" x14ac:dyDescent="0.2">
      <c r="A33" s="19"/>
      <c r="B33" s="220">
        <f>B32+1</f>
        <v>29</v>
      </c>
      <c r="C33" s="575" t="s">
        <v>545</v>
      </c>
      <c r="D33" s="576"/>
      <c r="E33" s="576"/>
      <c r="F33" s="576"/>
      <c r="G33" s="576"/>
      <c r="H33" s="576"/>
      <c r="I33" s="576"/>
      <c r="J33" s="607">
        <v>286495</v>
      </c>
      <c r="K33" s="607"/>
      <c r="L33" s="607">
        <f t="shared" si="10"/>
        <v>286495</v>
      </c>
    </row>
    <row r="34" spans="1:12" ht="13.5" customHeight="1" x14ac:dyDescent="0.2">
      <c r="A34" s="19"/>
      <c r="B34" s="220">
        <f t="shared" ref="B34:B35" si="15">B33+1</f>
        <v>30</v>
      </c>
      <c r="C34" s="575" t="s">
        <v>798</v>
      </c>
      <c r="D34" s="576"/>
      <c r="E34" s="576"/>
      <c r="F34" s="576"/>
      <c r="G34" s="576"/>
      <c r="H34" s="576"/>
      <c r="I34" s="576"/>
      <c r="J34" s="607">
        <v>2401469</v>
      </c>
      <c r="K34" s="607"/>
      <c r="L34" s="607">
        <f t="shared" si="10"/>
        <v>2401469</v>
      </c>
    </row>
    <row r="35" spans="1:12" ht="13.5" customHeight="1" x14ac:dyDescent="0.2">
      <c r="A35" s="19"/>
      <c r="B35" s="220">
        <f t="shared" si="15"/>
        <v>31</v>
      </c>
      <c r="C35" s="123" t="s">
        <v>193</v>
      </c>
      <c r="D35" s="119"/>
      <c r="E35" s="119"/>
      <c r="F35" s="119"/>
      <c r="G35" s="119"/>
      <c r="H35" s="119"/>
      <c r="I35" s="119"/>
      <c r="J35" s="607">
        <v>800940</v>
      </c>
      <c r="K35" s="607"/>
      <c r="L35" s="607">
        <f t="shared" si="10"/>
        <v>800940</v>
      </c>
    </row>
    <row r="36" spans="1:12" ht="14.25" customHeight="1" x14ac:dyDescent="0.25">
      <c r="A36" s="19"/>
      <c r="B36" s="220">
        <f>B35+1</f>
        <v>32</v>
      </c>
      <c r="C36" s="128" t="s">
        <v>195</v>
      </c>
      <c r="D36" s="129"/>
      <c r="E36" s="129"/>
      <c r="F36" s="129"/>
      <c r="G36" s="129"/>
      <c r="H36" s="129"/>
      <c r="I36" s="129"/>
      <c r="J36" s="605">
        <f>22000+2000</f>
        <v>24000</v>
      </c>
      <c r="K36" s="605"/>
      <c r="L36" s="605">
        <f t="shared" si="10"/>
        <v>24000</v>
      </c>
    </row>
    <row r="37" spans="1:12" ht="14.25" customHeight="1" x14ac:dyDescent="0.25">
      <c r="A37" s="19"/>
      <c r="B37" s="219">
        <f t="shared" si="13"/>
        <v>33</v>
      </c>
      <c r="C37" s="128" t="s">
        <v>734</v>
      </c>
      <c r="D37" s="129"/>
      <c r="E37" s="129"/>
      <c r="F37" s="129"/>
      <c r="G37" s="129"/>
      <c r="H37" s="129"/>
      <c r="I37" s="129"/>
      <c r="J37" s="605">
        <f>SUM(J38:J42)</f>
        <v>2461295</v>
      </c>
      <c r="K37" s="605">
        <f t="shared" ref="K37" si="16">SUM(K38:K42)</f>
        <v>0</v>
      </c>
      <c r="L37" s="605">
        <f t="shared" si="10"/>
        <v>2461295</v>
      </c>
    </row>
    <row r="38" spans="1:12" ht="14.25" customHeight="1" x14ac:dyDescent="0.2">
      <c r="A38" s="19"/>
      <c r="B38" s="220">
        <f t="shared" si="13"/>
        <v>34</v>
      </c>
      <c r="C38" s="575" t="s">
        <v>735</v>
      </c>
      <c r="D38" s="119"/>
      <c r="E38" s="119"/>
      <c r="F38" s="119"/>
      <c r="G38" s="119"/>
      <c r="H38" s="119"/>
      <c r="I38" s="119"/>
      <c r="J38" s="607">
        <v>228816</v>
      </c>
      <c r="K38" s="607"/>
      <c r="L38" s="607">
        <f t="shared" si="10"/>
        <v>228816</v>
      </c>
    </row>
    <row r="39" spans="1:12" ht="14.25" customHeight="1" x14ac:dyDescent="0.2">
      <c r="A39" s="19"/>
      <c r="B39" s="220">
        <f>B38+1</f>
        <v>35</v>
      </c>
      <c r="C39" s="575" t="s">
        <v>736</v>
      </c>
      <c r="D39" s="576"/>
      <c r="E39" s="576"/>
      <c r="F39" s="576"/>
      <c r="G39" s="576"/>
      <c r="H39" s="576"/>
      <c r="I39" s="576"/>
      <c r="J39" s="607">
        <v>1162800</v>
      </c>
      <c r="K39" s="607"/>
      <c r="L39" s="607">
        <f t="shared" si="10"/>
        <v>1162800</v>
      </c>
    </row>
    <row r="40" spans="1:12" ht="14.25" customHeight="1" x14ac:dyDescent="0.2">
      <c r="A40" s="19"/>
      <c r="B40" s="220">
        <f t="shared" si="13"/>
        <v>36</v>
      </c>
      <c r="C40" s="123" t="s">
        <v>737</v>
      </c>
      <c r="D40" s="119"/>
      <c r="E40" s="119"/>
      <c r="F40" s="119"/>
      <c r="G40" s="119"/>
      <c r="H40" s="119"/>
      <c r="I40" s="119"/>
      <c r="J40" s="607">
        <v>885000</v>
      </c>
      <c r="K40" s="607"/>
      <c r="L40" s="607">
        <f t="shared" si="10"/>
        <v>885000</v>
      </c>
    </row>
    <row r="41" spans="1:12" ht="14.25" customHeight="1" x14ac:dyDescent="0.2">
      <c r="A41" s="19"/>
      <c r="B41" s="220">
        <f t="shared" si="13"/>
        <v>37</v>
      </c>
      <c r="C41" s="123" t="s">
        <v>737</v>
      </c>
      <c r="D41" s="119"/>
      <c r="E41" s="119"/>
      <c r="F41" s="119"/>
      <c r="G41" s="119"/>
      <c r="H41" s="119"/>
      <c r="I41" s="119"/>
      <c r="J41" s="607">
        <v>58679</v>
      </c>
      <c r="K41" s="607"/>
      <c r="L41" s="607">
        <f t="shared" si="10"/>
        <v>58679</v>
      </c>
    </row>
    <row r="42" spans="1:12" ht="14.25" customHeight="1" thickBot="1" x14ac:dyDescent="0.25">
      <c r="A42" s="19"/>
      <c r="B42" s="220">
        <f t="shared" si="13"/>
        <v>38</v>
      </c>
      <c r="C42" s="123" t="s">
        <v>737</v>
      </c>
      <c r="D42" s="119"/>
      <c r="E42" s="119"/>
      <c r="F42" s="119"/>
      <c r="G42" s="119"/>
      <c r="H42" s="119"/>
      <c r="I42" s="119"/>
      <c r="J42" s="607">
        <v>126000</v>
      </c>
      <c r="K42" s="607"/>
      <c r="L42" s="607">
        <f t="shared" si="10"/>
        <v>126000</v>
      </c>
    </row>
    <row r="43" spans="1:12" ht="20.25" customHeight="1" thickTop="1" thickBot="1" x14ac:dyDescent="0.3">
      <c r="A43" s="19"/>
      <c r="B43" s="218">
        <f>B36+1</f>
        <v>33</v>
      </c>
      <c r="C43" s="577" t="s">
        <v>187</v>
      </c>
      <c r="D43" s="173"/>
      <c r="E43" s="173"/>
      <c r="F43" s="173"/>
      <c r="G43" s="173"/>
      <c r="H43" s="173"/>
      <c r="I43" s="173"/>
      <c r="J43" s="608">
        <f>J22+J25-J30</f>
        <v>0</v>
      </c>
      <c r="K43" s="608">
        <f t="shared" ref="K43" si="17">K22+K25-K30</f>
        <v>0</v>
      </c>
      <c r="L43" s="608">
        <f t="shared" si="10"/>
        <v>0</v>
      </c>
    </row>
    <row r="44" spans="1:12" ht="4.5" customHeight="1" x14ac:dyDescent="0.2">
      <c r="A44" s="19"/>
      <c r="B44" s="274"/>
      <c r="C44" s="275"/>
      <c r="D44" s="133"/>
      <c r="E44" s="133"/>
      <c r="F44" s="133"/>
      <c r="G44" s="133"/>
      <c r="H44" s="133"/>
      <c r="I44" s="133"/>
      <c r="J44" s="133"/>
      <c r="K44" s="133"/>
      <c r="L44" s="133"/>
    </row>
    <row r="45" spans="1:12" ht="39.75" customHeight="1" x14ac:dyDescent="0.2">
      <c r="A45" s="19"/>
      <c r="B45" s="944" t="s">
        <v>190</v>
      </c>
      <c r="C45" s="944"/>
      <c r="D45" s="944"/>
      <c r="E45" s="944"/>
      <c r="F45" s="944"/>
      <c r="G45" s="944"/>
      <c r="H45" s="944"/>
      <c r="I45" s="944"/>
      <c r="J45" s="944"/>
      <c r="K45" s="944"/>
      <c r="L45" s="944"/>
    </row>
    <row r="46" spans="1:12" ht="39" customHeight="1" x14ac:dyDescent="0.2">
      <c r="A46" s="19"/>
      <c r="B46" s="945" t="s">
        <v>632</v>
      </c>
      <c r="C46" s="945"/>
      <c r="D46" s="945"/>
      <c r="E46" s="945"/>
      <c r="F46" s="945"/>
      <c r="G46" s="945"/>
      <c r="H46" s="945"/>
      <c r="I46" s="945"/>
      <c r="J46" s="945"/>
      <c r="K46" s="945"/>
      <c r="L46" s="945"/>
    </row>
    <row r="47" spans="1:12" ht="45" customHeight="1" x14ac:dyDescent="0.2">
      <c r="B47" s="930"/>
      <c r="C47" s="930"/>
      <c r="D47" s="930"/>
      <c r="E47" s="930"/>
      <c r="F47" s="930"/>
      <c r="G47" s="930"/>
      <c r="H47" s="930"/>
      <c r="I47" s="930"/>
      <c r="J47" s="930"/>
      <c r="K47" s="787"/>
      <c r="L47" s="787"/>
    </row>
    <row r="48" spans="1:12" x14ac:dyDescent="0.2">
      <c r="C48" s="133"/>
    </row>
    <row r="49" spans="3:15" x14ac:dyDescent="0.2">
      <c r="C49" s="151"/>
      <c r="D49" s="17"/>
      <c r="E49" s="17"/>
      <c r="F49" s="17"/>
      <c r="G49" s="17"/>
      <c r="H49" s="17"/>
      <c r="I49" s="17"/>
      <c r="J49" s="17"/>
      <c r="K49" s="17"/>
      <c r="L49" s="17"/>
      <c r="O49" s="17"/>
    </row>
    <row r="50" spans="3:15" x14ac:dyDescent="0.2">
      <c r="C50" s="133"/>
      <c r="D50" s="17"/>
      <c r="E50" s="17"/>
      <c r="F50" s="17"/>
      <c r="G50" s="17"/>
      <c r="H50" s="17"/>
      <c r="I50" s="17"/>
      <c r="J50" s="17"/>
      <c r="K50" s="17"/>
      <c r="L50" s="17"/>
    </row>
    <row r="51" spans="3:15" x14ac:dyDescent="0.2">
      <c r="C51" s="133"/>
      <c r="D51" s="17"/>
      <c r="E51" s="17"/>
      <c r="F51" s="17"/>
      <c r="J51" s="17"/>
      <c r="K51" s="17"/>
      <c r="L51" s="17"/>
      <c r="O51" s="17"/>
    </row>
    <row r="52" spans="3:15" x14ac:dyDescent="0.2">
      <c r="C52" s="133"/>
      <c r="D52" s="17"/>
      <c r="E52" s="17"/>
      <c r="F52" s="17"/>
      <c r="G52" s="17"/>
      <c r="H52" s="17"/>
      <c r="I52" s="17"/>
      <c r="J52" s="17"/>
      <c r="K52" s="17"/>
      <c r="L52" s="17"/>
    </row>
    <row r="53" spans="3:15" x14ac:dyDescent="0.2">
      <c r="C53" s="753"/>
      <c r="D53" s="17"/>
      <c r="E53" s="17"/>
      <c r="F53" s="17"/>
      <c r="G53" s="17"/>
      <c r="H53" s="17"/>
      <c r="I53" s="17"/>
      <c r="J53" s="17"/>
      <c r="K53" s="17"/>
      <c r="L53" s="17"/>
    </row>
    <row r="54" spans="3:15" x14ac:dyDescent="0.2">
      <c r="C54" s="753"/>
      <c r="D54" s="17"/>
      <c r="E54" s="17"/>
      <c r="F54" s="17"/>
      <c r="G54" s="17"/>
      <c r="H54" s="17"/>
      <c r="I54" s="17"/>
      <c r="J54" s="17"/>
      <c r="K54" s="17"/>
      <c r="L54" s="17"/>
    </row>
    <row r="55" spans="3:15" x14ac:dyDescent="0.2">
      <c r="C55" s="753"/>
      <c r="D55" s="17"/>
      <c r="E55" s="17"/>
      <c r="F55" s="17"/>
      <c r="G55" s="17"/>
      <c r="H55" s="17"/>
      <c r="I55" s="17"/>
      <c r="J55" s="17"/>
      <c r="K55" s="17"/>
      <c r="L55" s="17"/>
    </row>
    <row r="56" spans="3:15" x14ac:dyDescent="0.2">
      <c r="C56" s="753"/>
      <c r="D56" s="17"/>
      <c r="E56" s="17"/>
      <c r="F56" s="17"/>
      <c r="G56" s="17"/>
      <c r="H56" s="17"/>
      <c r="I56" s="17"/>
      <c r="J56" s="17"/>
      <c r="K56" s="17"/>
      <c r="L56" s="17"/>
    </row>
    <row r="57" spans="3:15" x14ac:dyDescent="0.2">
      <c r="C57" s="753"/>
      <c r="D57" s="17"/>
      <c r="E57" s="17"/>
      <c r="F57" s="17"/>
      <c r="G57" s="17"/>
      <c r="H57" s="17"/>
      <c r="I57" s="17"/>
      <c r="J57" s="17"/>
      <c r="K57" s="17"/>
      <c r="L57" s="17"/>
    </row>
    <row r="58" spans="3:15" x14ac:dyDescent="0.2">
      <c r="C58" s="753"/>
      <c r="D58" s="17"/>
      <c r="E58" s="17"/>
      <c r="F58" s="17"/>
      <c r="G58" s="17"/>
      <c r="H58" s="17"/>
      <c r="I58" s="17"/>
      <c r="J58" s="17"/>
      <c r="K58" s="17"/>
      <c r="L58" s="17"/>
    </row>
    <row r="59" spans="3:15" x14ac:dyDescent="0.2">
      <c r="C59" s="753"/>
      <c r="D59" s="17"/>
      <c r="E59" s="17"/>
      <c r="F59" s="17"/>
      <c r="G59" s="17"/>
      <c r="H59" s="17"/>
      <c r="I59" s="17"/>
      <c r="J59" s="17"/>
      <c r="K59" s="17"/>
      <c r="L59" s="17"/>
    </row>
    <row r="60" spans="3:15" x14ac:dyDescent="0.2">
      <c r="C60" s="753"/>
      <c r="D60" s="17"/>
      <c r="E60" s="17"/>
      <c r="F60" s="17"/>
      <c r="G60" s="17"/>
      <c r="H60" s="17"/>
      <c r="I60" s="17"/>
      <c r="J60" s="17"/>
      <c r="K60" s="17"/>
      <c r="L60" s="17"/>
    </row>
    <row r="61" spans="3:15" x14ac:dyDescent="0.2">
      <c r="C61" s="753"/>
      <c r="D61" s="17"/>
      <c r="E61" s="17"/>
      <c r="F61" s="17"/>
      <c r="G61" s="17"/>
      <c r="H61" s="17"/>
      <c r="I61" s="17"/>
      <c r="J61" s="17"/>
      <c r="K61" s="17"/>
      <c r="L61" s="17"/>
    </row>
    <row r="62" spans="3:15" x14ac:dyDescent="0.2">
      <c r="C62" s="753"/>
      <c r="D62" s="17"/>
      <c r="E62" s="17"/>
      <c r="F62" s="17"/>
      <c r="G62" s="17"/>
      <c r="H62" s="17"/>
      <c r="I62" s="17"/>
      <c r="J62" s="17"/>
      <c r="K62" s="17"/>
      <c r="L62" s="17"/>
    </row>
    <row r="63" spans="3:15" x14ac:dyDescent="0.2">
      <c r="C63" s="753"/>
      <c r="D63" s="17"/>
      <c r="E63" s="17"/>
      <c r="F63" s="17"/>
      <c r="G63" s="17"/>
      <c r="H63" s="17"/>
      <c r="I63" s="17"/>
      <c r="J63" s="17"/>
      <c r="K63" s="17"/>
      <c r="L63" s="17"/>
    </row>
    <row r="64" spans="3:15" x14ac:dyDescent="0.2">
      <c r="C64" s="133"/>
    </row>
    <row r="65" spans="3:12" x14ac:dyDescent="0.2">
      <c r="C65" s="754"/>
      <c r="D65" s="238"/>
      <c r="E65" s="238"/>
      <c r="F65" s="238"/>
      <c r="G65" s="238"/>
      <c r="H65" s="238"/>
      <c r="I65" s="238"/>
      <c r="J65" s="238"/>
      <c r="K65" s="238"/>
      <c r="L65" s="238"/>
    </row>
    <row r="66" spans="3:12" x14ac:dyDescent="0.2">
      <c r="C66" s="133"/>
    </row>
    <row r="67" spans="3:12" x14ac:dyDescent="0.2">
      <c r="C67" s="133"/>
    </row>
    <row r="68" spans="3:12" x14ac:dyDescent="0.2">
      <c r="C68" s="133"/>
    </row>
    <row r="69" spans="3:12" x14ac:dyDescent="0.2">
      <c r="C69" s="133"/>
    </row>
    <row r="70" spans="3:12" x14ac:dyDescent="0.2">
      <c r="C70" s="133"/>
    </row>
    <row r="71" spans="3:12" x14ac:dyDescent="0.2">
      <c r="C71" s="133"/>
    </row>
    <row r="72" spans="3:12" x14ac:dyDescent="0.2">
      <c r="C72" s="133"/>
    </row>
    <row r="73" spans="3:12" x14ac:dyDescent="0.2">
      <c r="C73" s="133"/>
    </row>
    <row r="74" spans="3:12" x14ac:dyDescent="0.2">
      <c r="C74" s="133"/>
    </row>
    <row r="75" spans="3:12" x14ac:dyDescent="0.2">
      <c r="C75" s="133"/>
    </row>
    <row r="76" spans="3:12" x14ac:dyDescent="0.2">
      <c r="C76" s="133"/>
    </row>
    <row r="77" spans="3:12" x14ac:dyDescent="0.2">
      <c r="C77" s="133"/>
    </row>
    <row r="78" spans="3:12" x14ac:dyDescent="0.2">
      <c r="C78" s="133"/>
    </row>
    <row r="79" spans="3:12" x14ac:dyDescent="0.2">
      <c r="C79" s="133"/>
    </row>
    <row r="80" spans="3:12" x14ac:dyDescent="0.2">
      <c r="C80" s="133"/>
    </row>
    <row r="81" spans="3:3" x14ac:dyDescent="0.2">
      <c r="C81" s="133"/>
    </row>
    <row r="82" spans="3:3" x14ac:dyDescent="0.2">
      <c r="C82" s="133"/>
    </row>
    <row r="83" spans="3:3" x14ac:dyDescent="0.2">
      <c r="C83" s="133"/>
    </row>
    <row r="84" spans="3:3" x14ac:dyDescent="0.2">
      <c r="C84" s="133"/>
    </row>
    <row r="85" spans="3:3" x14ac:dyDescent="0.2">
      <c r="C85" s="133"/>
    </row>
    <row r="86" spans="3:3" x14ac:dyDescent="0.2">
      <c r="C86" s="133"/>
    </row>
    <row r="87" spans="3:3" x14ac:dyDescent="0.2">
      <c r="C87" s="133"/>
    </row>
  </sheetData>
  <mergeCells count="24">
    <mergeCell ref="B47:J47"/>
    <mergeCell ref="C18:C19"/>
    <mergeCell ref="B2:C2"/>
    <mergeCell ref="B1:J1"/>
    <mergeCell ref="G20:G21"/>
    <mergeCell ref="C20:C21"/>
    <mergeCell ref="D18:D19"/>
    <mergeCell ref="B24:J24"/>
    <mergeCell ref="J20:J21"/>
    <mergeCell ref="J18:J19"/>
    <mergeCell ref="E18:E19"/>
    <mergeCell ref="F18:F19"/>
    <mergeCell ref="E20:E21"/>
    <mergeCell ref="F20:F21"/>
    <mergeCell ref="B45:L45"/>
    <mergeCell ref="B46:L46"/>
    <mergeCell ref="L18:L19"/>
    <mergeCell ref="K20:K21"/>
    <mergeCell ref="L20:L21"/>
    <mergeCell ref="H18:H19"/>
    <mergeCell ref="I18:I19"/>
    <mergeCell ref="H20:H21"/>
    <mergeCell ref="I20:I21"/>
    <mergeCell ref="K18:K19"/>
  </mergeCells>
  <phoneticPr fontId="1" type="noConversion"/>
  <pageMargins left="0.78740157480314965" right="0.19685039370078741" top="0.23622047244094491" bottom="0.19685039370078741" header="0.23622047244094491" footer="0.19685039370078741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3</vt:i4>
      </vt:variant>
    </vt:vector>
  </HeadingPairs>
  <TitlesOfParts>
    <vt:vector size="6" baseType="lpstr">
      <vt:lpstr>Príjmy</vt:lpstr>
      <vt:lpstr>Výdavky</vt:lpstr>
      <vt:lpstr>Sumarizácia</vt:lpstr>
      <vt:lpstr>Príjmy!Oblasť_tlače</vt:lpstr>
      <vt:lpstr>Sumarizácia!Oblasť_tlače</vt:lpstr>
      <vt:lpstr>Výdavky!Oblasť_tlače</vt:lpstr>
    </vt:vector>
  </TitlesOfParts>
  <Company>MÚ Trenčín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MUTN</dc:creator>
  <cp:lastModifiedBy>Žilková Andrea, Ing.</cp:lastModifiedBy>
  <cp:lastPrinted>2015-11-30T11:53:31Z</cp:lastPrinted>
  <dcterms:created xsi:type="dcterms:W3CDTF">2006-06-21T07:20:26Z</dcterms:created>
  <dcterms:modified xsi:type="dcterms:W3CDTF">2015-12-07T11:38:44Z</dcterms:modified>
</cp:coreProperties>
</file>