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205" tabRatio="910" activeTab="14"/>
  </bookViews>
  <sheets>
    <sheet name="BP" sheetId="1" r:id="rId1"/>
    <sheet name="KP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P9" sheetId="11" r:id="rId11"/>
    <sheet name="P10" sheetId="12" r:id="rId12"/>
    <sheet name="P11" sheetId="13" r:id="rId13"/>
    <sheet name="P12" sheetId="14" r:id="rId14"/>
    <sheet name="SUM" sheetId="15" r:id="rId15"/>
  </sheets>
  <definedNames>
    <definedName name="_xlnm.Print_Area" localSheetId="0">'BP'!$B$1:$J$180</definedName>
    <definedName name="_xlnm.Print_Area" localSheetId="1">'KP'!$B$3:$I$39</definedName>
    <definedName name="_xlnm.Print_Area" localSheetId="2">'P1'!$B$2:$V$34</definedName>
    <definedName name="_xlnm.Print_Area" localSheetId="11">'P10'!$B$2:$V$30</definedName>
    <definedName name="_xlnm.Print_Area" localSheetId="12">'P11'!$B$2:$T$39</definedName>
    <definedName name="_xlnm.Print_Area" localSheetId="13">'P12'!$B$2:$W$23</definedName>
    <definedName name="_xlnm.Print_Area" localSheetId="3">'P2'!$B$2:$T$16</definedName>
    <definedName name="_xlnm.Print_Area" localSheetId="4">'P3'!$B$2:$V$50</definedName>
    <definedName name="_xlnm.Print_Area" localSheetId="5">'P4'!$B$2:$V$34</definedName>
    <definedName name="_xlnm.Print_Area" localSheetId="6">'P5'!$B$2:$V$25</definedName>
    <definedName name="_xlnm.Print_Area" localSheetId="7">'P6'!$B$2:$U$19</definedName>
    <definedName name="_xlnm.Print_Area" localSheetId="8">'P7'!$B$2:$V$66</definedName>
    <definedName name="_xlnm.Print_Area" localSheetId="9">'P8'!$B$2:$V$46</definedName>
    <definedName name="_xlnm.Print_Area" localSheetId="10">'P9'!$B$2:$V$35</definedName>
    <definedName name="_xlnm.Print_Area" localSheetId="14">'SUM'!$B$2:$L$47</definedName>
  </definedNames>
  <calcPr fullCalcOnLoad="1"/>
</workbook>
</file>

<file path=xl/sharedStrings.xml><?xml version="1.0" encoding="utf-8"?>
<sst xmlns="http://schemas.openxmlformats.org/spreadsheetml/2006/main" count="915" uniqueCount="495">
  <si>
    <t xml:space="preserve">         - za služby technickej dokumentácie</t>
  </si>
  <si>
    <t>Verejná zeleň</t>
  </si>
  <si>
    <t>Hlásenie pobytu občanov a register obyvateľov</t>
  </si>
  <si>
    <t>Príspevky neštátnym subjektom</t>
  </si>
  <si>
    <t>ukazovateľ</t>
  </si>
  <si>
    <t>1</t>
  </si>
  <si>
    <t>2</t>
  </si>
  <si>
    <t>3</t>
  </si>
  <si>
    <t>4</t>
  </si>
  <si>
    <t>5</t>
  </si>
  <si>
    <t>ekonomická klasifikácia</t>
  </si>
  <si>
    <t>Bežné výdavky</t>
  </si>
  <si>
    <t>Bežné príjmy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</si>
  <si>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</si>
  <si>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</si>
  <si>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</si>
  <si>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</si>
  <si>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</si>
  <si>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</si>
  <si>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</si>
  <si>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</si>
  <si>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</si>
  <si>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</si>
  <si>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</si>
  <si>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</si>
  <si>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</si>
  <si>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</si>
  <si>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</si>
  <si>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</si>
  <si>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</si>
  <si>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</si>
  <si>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</si>
  <si>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</si>
  <si>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</si>
  <si>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</si>
  <si>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</si>
  <si>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</si>
  <si>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012</t>
  </si>
  <si>
    <t>daň za užívanie verejného priestranstva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</si>
  <si>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</si>
  <si>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</si>
  <si>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</si>
  <si>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</si>
  <si>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</si>
  <si>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</si>
  <si>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</si>
  <si>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</si>
  <si>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 xml:space="preserve"> - prenájom budov</t>
  </si>
  <si>
    <t xml:space="preserve"> - prenájom bytových a nebytových priestorov</t>
  </si>
  <si>
    <t>220</t>
  </si>
  <si>
    <t>Administratívne a iné poplatky a platby</t>
  </si>
  <si>
    <t>221</t>
  </si>
  <si>
    <t>004</t>
  </si>
  <si>
    <t>administratívne poplatky - ostatné</t>
  </si>
  <si>
    <t xml:space="preserve"> - ostatné poplatky</t>
  </si>
  <si>
    <t>222</t>
  </si>
  <si>
    <t>pokuty a penále za porušenie predpisov</t>
  </si>
  <si>
    <t>223</t>
  </si>
  <si>
    <t>poplatky a platby za predaj výrobkov,tovarov a služieb</t>
  </si>
  <si>
    <t>229</t>
  </si>
  <si>
    <t>005</t>
  </si>
  <si>
    <t>240</t>
  </si>
  <si>
    <t>Úroky z domácich úverov,pôžičiek a vkladov</t>
  </si>
  <si>
    <t>290</t>
  </si>
  <si>
    <t>Iné nedaňové príjmy</t>
  </si>
  <si>
    <t>292</t>
  </si>
  <si>
    <t>008</t>
  </si>
  <si>
    <t>z výťažkov z lotérií a iných podobných hier</t>
  </si>
  <si>
    <t>ostatné</t>
  </si>
  <si>
    <t>MESTSKÉ HOSPODÁRSTVO A SPRÁVA LESOV m.r.o.</t>
  </si>
  <si>
    <t xml:space="preserve">   - za predaj výrobkov, tovarov a služieb </t>
  </si>
  <si>
    <t>iné príjmy z činnosti</t>
  </si>
  <si>
    <t>SOCIÁLNE SLUŽBY MESTA TRENČÍN   m.r.o.</t>
  </si>
  <si>
    <t xml:space="preserve">Detské jasle </t>
  </si>
  <si>
    <t>Zariadenie opatrovateľskej služby</t>
  </si>
  <si>
    <t>Opatrovateľská služba</t>
  </si>
  <si>
    <t>rozvoz stravy</t>
  </si>
  <si>
    <t>príjmy z prenajatých budov, priestorov a objektov</t>
  </si>
  <si>
    <r>
      <t>ŠKOLSKÉ ZARIADENIA MESTA TRENČÍN m.r.o</t>
    </r>
    <r>
      <rPr>
        <b/>
        <i/>
        <sz val="10"/>
        <rFont val="Arial CE"/>
        <family val="2"/>
      </rPr>
      <t>.</t>
    </r>
  </si>
  <si>
    <t>za stravovanie</t>
  </si>
  <si>
    <t>Spoločný stavebný úrad</t>
  </si>
  <si>
    <t>z mestských lesov - stredisko Soblahov</t>
  </si>
  <si>
    <t>Zimný štadión</t>
  </si>
  <si>
    <t>Stavebný poriadok, vyvlastňovacie konanie, doprava</t>
  </si>
  <si>
    <t>z prenajatých budov,garáží a objektov</t>
  </si>
  <si>
    <t>za materské školy a školské družiny</t>
  </si>
  <si>
    <t>poplatky za školské družiny</t>
  </si>
  <si>
    <t>poplatky a platby za bývanie a zaopatrenie</t>
  </si>
  <si>
    <t>300</t>
  </si>
  <si>
    <t>GRANTY  A  TRANSFERY</t>
  </si>
  <si>
    <t>312</t>
  </si>
  <si>
    <t>Transfery v rámci verejnej správy</t>
  </si>
  <si>
    <t>Zo štátneho rozpočtu</t>
  </si>
  <si>
    <t>Dotácia na sociálne zabezpečenie</t>
  </si>
  <si>
    <t>Dotácia na matriku</t>
  </si>
  <si>
    <t>Školský úrad</t>
  </si>
  <si>
    <t>ŠFRB</t>
  </si>
  <si>
    <t>BEŽNÉ PRÍJMY SPOLU:</t>
  </si>
  <si>
    <t>príjmy z vlastníctva</t>
  </si>
  <si>
    <t xml:space="preserve"> - výherné prístroje</t>
  </si>
  <si>
    <t>poplatok za znečisťovanie ovzdušia</t>
  </si>
  <si>
    <t>z trhovísk</t>
  </si>
  <si>
    <t>za vodné, stočné, el.energiu, paru, plyn a teplo</t>
  </si>
  <si>
    <t>Správa a údržba pozemných komunikácií</t>
  </si>
  <si>
    <t xml:space="preserve">   z toho:</t>
  </si>
  <si>
    <t xml:space="preserve">        Program 4:   Služby občanom</t>
  </si>
  <si>
    <t xml:space="preserve">        Program 3:   Interné služby mesta</t>
  </si>
  <si>
    <t>Výkon funkcie primátora</t>
  </si>
  <si>
    <t>Zasadnutia orgánov mesta</t>
  </si>
  <si>
    <t>Ochrana pred požiarmi</t>
  </si>
  <si>
    <t>Právne služby</t>
  </si>
  <si>
    <t>Verejné osvetlenie</t>
  </si>
  <si>
    <t>Detské jasle</t>
  </si>
  <si>
    <t>Kluby dôchodcov</t>
  </si>
  <si>
    <t>Pochovanie občana</t>
  </si>
  <si>
    <t>Organizácia občianskych obradov</t>
  </si>
  <si>
    <t>Činnosť matriky</t>
  </si>
  <si>
    <t>Verejné toalety</t>
  </si>
  <si>
    <t>Civilná ochrana</t>
  </si>
  <si>
    <t>Zneškodňovanie odpadu</t>
  </si>
  <si>
    <t>Materské školy</t>
  </si>
  <si>
    <t>Základné školy</t>
  </si>
  <si>
    <t>Školské jedálne</t>
  </si>
  <si>
    <t>Podpora kultúrnych podujatí</t>
  </si>
  <si>
    <t>Podpora kultúrnych stredísk</t>
  </si>
  <si>
    <t>Organizácia kultúrnych aktivít</t>
  </si>
  <si>
    <t>Kultúrna spolupráca</t>
  </si>
  <si>
    <t>Bazovského galéria</t>
  </si>
  <si>
    <t>Podpora športových podujatí</t>
  </si>
  <si>
    <t>Dotácie na šport</t>
  </si>
  <si>
    <t>Športová hala</t>
  </si>
  <si>
    <t>Futbalový štadión</t>
  </si>
  <si>
    <t>Plavárne</t>
  </si>
  <si>
    <t>Mobilná ľadová plocha</t>
  </si>
  <si>
    <t>Karanténna stanica</t>
  </si>
  <si>
    <t>Fontány</t>
  </si>
  <si>
    <t>Výkon funkcie prednostu</t>
  </si>
  <si>
    <t xml:space="preserve"> - vzdelávacie poukazy</t>
  </si>
  <si>
    <t>z účtov z finančného hospodárenia</t>
  </si>
  <si>
    <t>Základná umelecká škola m.r.o.</t>
  </si>
  <si>
    <t xml:space="preserve">ZÁKLADNÉ ŠKOLY, ZARIADENIA PRE ZÁUJMOVÉ </t>
  </si>
  <si>
    <t>VZDELÁVANIE A ŠKOLSKÉ JEDÁLNE s p.s.</t>
  </si>
  <si>
    <t>poplatky - cudzí stravníci</t>
  </si>
  <si>
    <t xml:space="preserve"> - ostatné</t>
  </si>
  <si>
    <t xml:space="preserve"> - prenesené kompetencie</t>
  </si>
  <si>
    <t>daň za psa</t>
  </si>
  <si>
    <t>Prepravná služba</t>
  </si>
  <si>
    <t>Podprogram</t>
  </si>
  <si>
    <t>Prvok/Projekt</t>
  </si>
  <si>
    <t>Manažment mesta</t>
  </si>
  <si>
    <t>Normotvorná činnosť mesta</t>
  </si>
  <si>
    <t>Kontrola činnosti samosprávy</t>
  </si>
  <si>
    <t>Členstvo v samosprávnych organizáciách a združeniach</t>
  </si>
  <si>
    <t>Zabezpečovanie volieb</t>
  </si>
  <si>
    <t>Hnuteľný majetok mesta</t>
  </si>
  <si>
    <t>Nebytové priestory</t>
  </si>
  <si>
    <t>Pozemky</t>
  </si>
  <si>
    <t>Verejné obstarávanie</t>
  </si>
  <si>
    <t>Prevádzka a údržba budov</t>
  </si>
  <si>
    <t>Vzdelávanie zamestnancov mesta</t>
  </si>
  <si>
    <t>Mestský informačný systém</t>
  </si>
  <si>
    <t>Autodoprava</t>
  </si>
  <si>
    <t>Preventívna ochrana zamestnancov</t>
  </si>
  <si>
    <t>Klientské centrum</t>
  </si>
  <si>
    <t xml:space="preserve">PROGRAM 3:  INTERNÉ   SLUŽBY </t>
  </si>
  <si>
    <t xml:space="preserve">PROGRAM 3:     Interné služby </t>
  </si>
  <si>
    <t xml:space="preserve">PROGRAM 4:  SLUŽBY  OBČANOM </t>
  </si>
  <si>
    <t xml:space="preserve">PROGRAM 4:     Služby občanom </t>
  </si>
  <si>
    <t>Prevádzka mestských trhovísk</t>
  </si>
  <si>
    <t>PROGRAM 5:  BEZPEČNOSŤ</t>
  </si>
  <si>
    <t>PROGRAM 5:     Bezpečnosť</t>
  </si>
  <si>
    <t>Zabezpečovanie verejného poriadku</t>
  </si>
  <si>
    <t>Kamerový systém mesta</t>
  </si>
  <si>
    <t>Výstavba a rekonštrukcia pozemných komunikácií</t>
  </si>
  <si>
    <t>Voľno časové vzdelávanie</t>
  </si>
  <si>
    <t>Športová infraštruktúra</t>
  </si>
  <si>
    <t>Ochrana prostredia pre život</t>
  </si>
  <si>
    <t>Jednorazová pomoc občanom v hmotnej núdzi</t>
  </si>
  <si>
    <t>Krízové centrum</t>
  </si>
  <si>
    <t>Podpora seniorov</t>
  </si>
  <si>
    <t>Terénna opatrovateľská služba</t>
  </si>
  <si>
    <t>Obnova rodinných pomerov</t>
  </si>
  <si>
    <t xml:space="preserve">            - Trenčianske hradné slávnosti</t>
  </si>
  <si>
    <t xml:space="preserve">            - Trenčianske historické slávnosti</t>
  </si>
  <si>
    <t>poplatok za opatrovateľskú službu - matky s deťmi</t>
  </si>
  <si>
    <t>poplatok za jasle</t>
  </si>
  <si>
    <t>stravovanie v detských jasliach</t>
  </si>
  <si>
    <t>stravovanie v materskej škole</t>
  </si>
  <si>
    <t>Poradenstvo - bytové problémy</t>
  </si>
  <si>
    <t>poplatok za opatrovateľskú službu - choroba</t>
  </si>
  <si>
    <t>ubytovanie, zaopatrenie, stravovanie -  celoročný pobyt</t>
  </si>
  <si>
    <t>ubytovanie, zaopatrenie, stravovanie - denný a týžd.pobyt</t>
  </si>
  <si>
    <t>Komunikácia s verejnými inštitúciami v mene mesta</t>
  </si>
  <si>
    <t xml:space="preserve">   - Dotácie na činnosť </t>
  </si>
  <si>
    <t xml:space="preserve">   - Dotácie na reprezentáciu a výnimočné akcie</t>
  </si>
  <si>
    <t>poplatok za opatrovateľskú službu - staroba</t>
  </si>
  <si>
    <t>poplatok za opatrovateľskú službu - invalidita</t>
  </si>
  <si>
    <t>Manažment SSMT m.r.o.</t>
  </si>
  <si>
    <t xml:space="preserve">  - SSMT m.r.o.  </t>
  </si>
  <si>
    <t xml:space="preserve">  - Dotácia na prevádzku a činnosť </t>
  </si>
  <si>
    <t>Centrum seniorov Sihoť</t>
  </si>
  <si>
    <t xml:space="preserve"> - materiálno technické vybavenie</t>
  </si>
  <si>
    <t xml:space="preserve"> - vzdelávacie poukazy, doprava žiakov</t>
  </si>
  <si>
    <t xml:space="preserve"> - asistent učiteľa</t>
  </si>
  <si>
    <t>Centrum voľného času mr.o.</t>
  </si>
  <si>
    <t xml:space="preserve">Politika vzdelávania </t>
  </si>
  <si>
    <t>Odmeňovanie žiakov, učiteľov, knihy pre prvákov</t>
  </si>
  <si>
    <t>Manažment ŠZMT m.r.o.</t>
  </si>
  <si>
    <t xml:space="preserve"> - štátná dotácia - predškolský vek</t>
  </si>
  <si>
    <t xml:space="preserve"> - materiálno - technické vybavenie</t>
  </si>
  <si>
    <t>Dotácia - predškolský vek</t>
  </si>
  <si>
    <t>Grantová podpora v oblasti cestovného ruchu</t>
  </si>
  <si>
    <t>PROGRAM 1:  MANAŽMENT A PLÁNOVANIE</t>
  </si>
  <si>
    <t>PROGRAM 1:     Manažment a plánovanie</t>
  </si>
  <si>
    <t>Marketingové plánovanie</t>
  </si>
  <si>
    <t>Cestovný ruch</t>
  </si>
  <si>
    <t>Kultúrno-informačné centrum n.o.</t>
  </si>
  <si>
    <t>Bývanie</t>
  </si>
  <si>
    <t>Správa bytového fondu</t>
  </si>
  <si>
    <t>Štátny fond rozvoja bývania</t>
  </si>
  <si>
    <t>Výstavba RD v súvislosti s MŽT</t>
  </si>
  <si>
    <t xml:space="preserve">  - SSMT m.r.o. </t>
  </si>
  <si>
    <t xml:space="preserve">SSMT m.r.o. </t>
  </si>
  <si>
    <t xml:space="preserve">  - SSMT m.r.o.</t>
  </si>
  <si>
    <t xml:space="preserve">  - z toho: MHSL m.r.o. </t>
  </si>
  <si>
    <t xml:space="preserve">  - z toho: Dotácia na prevádzku a činnosť</t>
  </si>
  <si>
    <t>Autobusová doprava</t>
  </si>
  <si>
    <t>Zvoz a odvoz odpadu</t>
  </si>
  <si>
    <t>Cintorínske a pohrebné služby</t>
  </si>
  <si>
    <t>Miestne médiá</t>
  </si>
  <si>
    <t xml:space="preserve">Činnosť a prevádzka mestského úradu </t>
  </si>
  <si>
    <t>PROGRAM 2:  PROPAGÁCIA  A  CESTOVNÝ  RUCH</t>
  </si>
  <si>
    <t>PROGRAM 6:   DOPRAVA</t>
  </si>
  <si>
    <t>PROGRAM 6:     Doprava</t>
  </si>
  <si>
    <t>PROGRAM 7:   VZDELÁVANIE</t>
  </si>
  <si>
    <t>PROGRAM 7:     Vzdelávanie</t>
  </si>
  <si>
    <t>PROGRAM 8:  ŠPORT</t>
  </si>
  <si>
    <t>PROGRAM 8:     Šport</t>
  </si>
  <si>
    <t xml:space="preserve">     - z toho:</t>
  </si>
  <si>
    <t xml:space="preserve">      - z toho:</t>
  </si>
  <si>
    <t xml:space="preserve">    z toho:</t>
  </si>
  <si>
    <t xml:space="preserve"> - Grantový program-dotácie na kult.podujatia a činnosť</t>
  </si>
  <si>
    <t xml:space="preserve">  - z toho: Dotácie v oblasti ochrany ŽP</t>
  </si>
  <si>
    <t xml:space="preserve">        Program 1:   Manažment a plánovanie</t>
  </si>
  <si>
    <t xml:space="preserve">        Program 2:   Propagácia a cestovný ruch </t>
  </si>
  <si>
    <t xml:space="preserve">        Program 5:   Bezpečnosť</t>
  </si>
  <si>
    <t xml:space="preserve">        Program 6:   Doprava</t>
  </si>
  <si>
    <t xml:space="preserve">        Program 7:   Vzdelávanie</t>
  </si>
  <si>
    <t xml:space="preserve">        Program 8: Šport</t>
  </si>
  <si>
    <t xml:space="preserve">        Program 9: Kultúra</t>
  </si>
  <si>
    <t>PROGRAM 9:  KULTÚRA</t>
  </si>
  <si>
    <t>PROGRAM  9:     Kultúra</t>
  </si>
  <si>
    <t>PROGRAM 10:     Životné prostredie</t>
  </si>
  <si>
    <t xml:space="preserve">        Program 10: Životné prostredie</t>
  </si>
  <si>
    <t>PROGRAM 11:  SOCIÁLNE  SLUŽBY</t>
  </si>
  <si>
    <t>PROGRAM 11:     Sociálne služby</t>
  </si>
  <si>
    <t xml:space="preserve">        Program 11: Sociálne služby</t>
  </si>
  <si>
    <t>PROGRAM 12:  ROZVOJ  MESTA  A  BÝVANIE</t>
  </si>
  <si>
    <t>PROGRAM 12:     Rozvoj mesta a bývanie</t>
  </si>
  <si>
    <t xml:space="preserve">        Program 12: Rozvoj mesta a bývanie</t>
  </si>
  <si>
    <t>Daňová a rozpočtová agenda mesta a účtovníctvo</t>
  </si>
  <si>
    <t>Strategické plánovanie</t>
  </si>
  <si>
    <t>Manažérstvo kvality</t>
  </si>
  <si>
    <t>Odpadové a vodné hospodárstvo</t>
  </si>
  <si>
    <t>Rozvoj mesta</t>
  </si>
  <si>
    <t>Domov - penzión pre dôchodcov</t>
  </si>
  <si>
    <t xml:space="preserve">Mobiliár mesta a detské ihriská </t>
  </si>
  <si>
    <t>6</t>
  </si>
  <si>
    <t xml:space="preserve">Externá komunikácia mesta </t>
  </si>
  <si>
    <t>Prezentácia mesta</t>
  </si>
  <si>
    <t>Príjmy</t>
  </si>
  <si>
    <t>Výdavky</t>
  </si>
  <si>
    <t>7</t>
  </si>
  <si>
    <t>Územné plánovanie mesta</t>
  </si>
  <si>
    <t>Hosp.správa a evidencia majetku mesta</t>
  </si>
  <si>
    <t>Podporná činnosť MHSL m.r.o.</t>
  </si>
  <si>
    <t xml:space="preserve">  - Dotácia na prevádzku a činnosť letnej plavárne</t>
  </si>
  <si>
    <t>ubytovanie, zaopatrenie, stravovanie - 24 hod.starostlivosť</t>
  </si>
  <si>
    <t xml:space="preserve"> - Dotácie na podujatia nad 6 638 €:</t>
  </si>
  <si>
    <t>poplatok za komunálne odpady a drobné stavebné odpady</t>
  </si>
  <si>
    <t>Kapitálové príjmy</t>
  </si>
  <si>
    <t>230</t>
  </si>
  <si>
    <t>231</t>
  </si>
  <si>
    <t>príjem z predaja kapitálových aktív</t>
  </si>
  <si>
    <t xml:space="preserve">  - budov</t>
  </si>
  <si>
    <t xml:space="preserve">  - byty </t>
  </si>
  <si>
    <t>233</t>
  </si>
  <si>
    <t>Príjem z predaja pozemkov a nehmotných aktív</t>
  </si>
  <si>
    <t xml:space="preserve"> - pozemkov</t>
  </si>
  <si>
    <t xml:space="preserve"> - pozemkov v priemyselnej zóne Zámostie</t>
  </si>
  <si>
    <t xml:space="preserve"> </t>
  </si>
  <si>
    <t>GRANTY A TRANSFERY</t>
  </si>
  <si>
    <t>KAPITÁLOVÉ PRÍJMY SPOLU:</t>
  </si>
  <si>
    <t>PRÍJMY SPOLU:</t>
  </si>
  <si>
    <t>Kapitálové výdavky</t>
  </si>
  <si>
    <t>PROGRAM 2:  Propagácia a cestovný ruch</t>
  </si>
  <si>
    <t xml:space="preserve"> - MHaSL m.r.o.</t>
  </si>
  <si>
    <t xml:space="preserve">   - Rekonštrukcia VO </t>
  </si>
  <si>
    <t>ŠZMT m.r.o. - ŠKD</t>
  </si>
  <si>
    <t>Školy a šk.zariadenia s p.s.  - ŠKD</t>
  </si>
  <si>
    <t>Školy a školské zariadenia s p.s.</t>
  </si>
  <si>
    <t xml:space="preserve">ŠZMT m.r.o. </t>
  </si>
  <si>
    <t xml:space="preserve">  - Dotácia na prevádzku a činnosť krytej plavárne</t>
  </si>
  <si>
    <r>
      <t xml:space="preserve">F I N A N Č N É   O P E R Á C I E </t>
    </r>
    <r>
      <rPr>
        <b/>
        <i/>
        <vertAlign val="superscript"/>
        <sz val="12"/>
        <rFont val="Arial CE"/>
        <family val="0"/>
      </rPr>
      <t>*</t>
    </r>
  </si>
  <si>
    <t>Výsledok hospodárenia</t>
  </si>
  <si>
    <t xml:space="preserve">            - Sám na javisku</t>
  </si>
  <si>
    <t>R O Z  P O Č E T      2 0 1 1</t>
  </si>
  <si>
    <t>Zariadenie pre seniorov</t>
  </si>
  <si>
    <t xml:space="preserve">Bežný rozpočet, kapitálový rozpočet, finančné operácie - sumarizácia </t>
  </si>
  <si>
    <t xml:space="preserve"> - oprávnené ekonomické náklady DD</t>
  </si>
  <si>
    <t xml:space="preserve"> - posudková činnosť</t>
  </si>
  <si>
    <t xml:space="preserve">  - z toho: Dotácia na prevádzku a činnosť - FŠ Opatová</t>
  </si>
  <si>
    <t>Reprentácia mesta v zahraničí</t>
  </si>
  <si>
    <t xml:space="preserve">            - Čaro Vianoc</t>
  </si>
  <si>
    <t>Súkromná MŠ Slimáčik</t>
  </si>
  <si>
    <t xml:space="preserve"> - z toho: MHSL m.r.o. </t>
  </si>
  <si>
    <t xml:space="preserve">            - Jazz pod hradom</t>
  </si>
  <si>
    <t xml:space="preserve">  - z toho:dotácia na činnosť Centra seniorov Sihoť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</si>
  <si>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</si>
  <si>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Výkon funkcie zástupcov primátora</t>
  </si>
  <si>
    <t>Bežný      rozpočet</t>
  </si>
  <si>
    <t xml:space="preserve"> Kapitálový    rozpočet</t>
  </si>
  <si>
    <t>PRÍJMY spolu</t>
  </si>
  <si>
    <t xml:space="preserve"> - SSMT m.r.o. </t>
  </si>
  <si>
    <t xml:space="preserve"> - údržba MsÚ</t>
  </si>
  <si>
    <t>Kapitálové  výdavky</t>
  </si>
  <si>
    <t xml:space="preserve"> - úroky + poplatky</t>
  </si>
  <si>
    <t xml:space="preserve">  - prevádzka </t>
  </si>
  <si>
    <t xml:space="preserve"> - ŠJ Gymázium FUTURUM</t>
  </si>
  <si>
    <t xml:space="preserve">            - Artcentrum Synagóga</t>
  </si>
  <si>
    <t xml:space="preserve"> - ZŠ Na dolinách - statika</t>
  </si>
  <si>
    <t xml:space="preserve"> - KS Istebník - Z2010</t>
  </si>
  <si>
    <t xml:space="preserve"> - KS Hviezda - Z2010</t>
  </si>
  <si>
    <t xml:space="preserve">  - Rekultivácia skládky odpadu-splátka MP</t>
  </si>
  <si>
    <t xml:space="preserve"> - výstavba RD - Z2010</t>
  </si>
  <si>
    <t xml:space="preserve"> - výstavba RD - Z2010 - SLSP</t>
  </si>
  <si>
    <t xml:space="preserve"> - výkup RD - Z2010</t>
  </si>
  <si>
    <t>PROGRAM 10:  PROSTREDIE PRE ŽIVOT</t>
  </si>
  <si>
    <t xml:space="preserve"> - mzdy</t>
  </si>
  <si>
    <t xml:space="preserve"> - odvody</t>
  </si>
  <si>
    <t xml:space="preserve"> - INFO</t>
  </si>
  <si>
    <t xml:space="preserve"> - TVT</t>
  </si>
  <si>
    <t xml:space="preserve"> - výstavba RD - nevyfakt.časť zo zml.+ obj.</t>
  </si>
  <si>
    <t xml:space="preserve"> - energie</t>
  </si>
  <si>
    <t xml:space="preserve"> - ZÁVAZKY  2010</t>
  </si>
  <si>
    <t xml:space="preserve"> - POHODA festival</t>
  </si>
  <si>
    <t xml:space="preserve"> - Nová letná plaváreň - elektrina</t>
  </si>
  <si>
    <t xml:space="preserve"> - Nová letná plaváreň - stráženie a poistenie</t>
  </si>
  <si>
    <t xml:space="preserve">  - z toho: MHSL m.r.o. - prevádzka KS</t>
  </si>
  <si>
    <t xml:space="preserve"> - výstavba RD - Hamaj a Dorušinec</t>
  </si>
  <si>
    <t xml:space="preserve"> -  Nová letná plaváreň - fakt.2011 - KR</t>
  </si>
  <si>
    <t xml:space="preserve">Rozpočet     spolu </t>
  </si>
  <si>
    <t xml:space="preserve"> - z toho elektronické aukcie</t>
  </si>
  <si>
    <t xml:space="preserve"> - ZÁVAZKY 2010</t>
  </si>
  <si>
    <r>
      <t xml:space="preserve">  - ZÁVAZKY 2010: </t>
    </r>
    <r>
      <rPr>
        <sz val="9"/>
        <rFont val="Arial CE"/>
        <family val="0"/>
      </rPr>
      <t>Rozšírenie cintorína TN-Kubra</t>
    </r>
  </si>
  <si>
    <r>
      <t xml:space="preserve">  - ZÁVAZKY 2010: </t>
    </r>
    <r>
      <rPr>
        <sz val="9"/>
        <rFont val="Arial CE"/>
        <family val="0"/>
      </rPr>
      <t>Nový mestský cintorín</t>
    </r>
  </si>
  <si>
    <t xml:space="preserve"> - DOPLATOK STRATY ZA ROK 2010</t>
  </si>
  <si>
    <t xml:space="preserve"> - zálohy na rok 2O11</t>
  </si>
  <si>
    <t xml:space="preserve"> - údržba komunikácií v roku 2011</t>
  </si>
  <si>
    <t xml:space="preserve"> - Výkup pozemkov JVO</t>
  </si>
  <si>
    <r>
      <t xml:space="preserve"> - ZÁVAZKY 2010: </t>
    </r>
    <r>
      <rPr>
        <sz val="9"/>
        <rFont val="Arial CE"/>
        <family val="0"/>
      </rPr>
      <t>komunikácie a križovatky</t>
    </r>
  </si>
  <si>
    <t xml:space="preserve"> - ODPAD 2011</t>
  </si>
  <si>
    <t xml:space="preserve"> - Verejná zeleň 2011</t>
  </si>
  <si>
    <r>
      <t xml:space="preserve"> - ZÁVAZKY 2010:</t>
    </r>
    <r>
      <rPr>
        <i/>
        <sz val="9"/>
        <rFont val="Arial CE"/>
        <family val="0"/>
      </rPr>
      <t>Rekonštrukcia VO</t>
    </r>
  </si>
  <si>
    <r>
      <t xml:space="preserve"> - ZÁVAZKY 2010:</t>
    </r>
    <r>
      <rPr>
        <sz val="9"/>
        <rFont val="Arial CE"/>
        <family val="0"/>
      </rPr>
      <t>Riešenie bioodpadov</t>
    </r>
  </si>
  <si>
    <r>
      <t xml:space="preserve"> - ZÁVAZKY 2010: </t>
    </r>
    <r>
      <rPr>
        <sz val="9"/>
        <rFont val="Arial CE"/>
        <family val="0"/>
      </rPr>
      <t>Rekultivácia sklády</t>
    </r>
  </si>
  <si>
    <r>
      <t xml:space="preserve"> - ZÁVAZKY 2010: </t>
    </r>
    <r>
      <rPr>
        <sz val="9"/>
        <rFont val="Arial CE"/>
        <family val="0"/>
      </rPr>
      <t>Tepel.zdroje-SLSP</t>
    </r>
  </si>
  <si>
    <r>
      <t xml:space="preserve"> - ZÁVAZKY 2010:  </t>
    </r>
    <r>
      <rPr>
        <sz val="9"/>
        <rFont val="Arial CE"/>
        <family val="0"/>
      </rPr>
      <t>Rekonštrukcia 3 ZŠ</t>
    </r>
  </si>
  <si>
    <r>
      <t xml:space="preserve"> - ZÁVAZKY  2010: </t>
    </r>
    <r>
      <rPr>
        <sz val="9"/>
        <rFont val="Arial CE"/>
        <family val="0"/>
      </rPr>
      <t>Nová letná plaváreň</t>
    </r>
  </si>
  <si>
    <r>
      <t xml:space="preserve"> - ZÁVAZKY  2010: </t>
    </r>
    <r>
      <rPr>
        <sz val="9"/>
        <rFont val="Arial CE"/>
        <family val="0"/>
      </rPr>
      <t>Nová letná plaváreň - SLSP</t>
    </r>
  </si>
  <si>
    <r>
      <t xml:space="preserve"> - ZÁVAZKY  2010</t>
    </r>
    <r>
      <rPr>
        <sz val="9"/>
        <rFont val="Arial CE"/>
        <family val="0"/>
      </rPr>
      <t>: Park Pod Juhom</t>
    </r>
  </si>
  <si>
    <t xml:space="preserve"> - NOVÝ ÚZEMNÝ PLÁN + arch.štúdia</t>
  </si>
  <si>
    <t xml:space="preserve"> - ZáVAZKY  2010: Tepelné zdroje</t>
  </si>
  <si>
    <t>Prebytok bežného rozpočtu</t>
  </si>
  <si>
    <t>Prebytok kapitálového rozpočtu</t>
  </si>
  <si>
    <t>Prebytok rozpočtu spolu</t>
  </si>
  <si>
    <t xml:space="preserve"> - Modernizácia železničnej trate</t>
  </si>
  <si>
    <t xml:space="preserve"> - Juhovýchodný obchvat  - LOT</t>
  </si>
  <si>
    <t xml:space="preserve"> - Nový most - pozemky </t>
  </si>
  <si>
    <t>Rekonštrukcia 3 Základných škôl - refundácia z EÚ</t>
  </si>
  <si>
    <t xml:space="preserve"> - ostatná prezentácia </t>
  </si>
  <si>
    <t>Dexia banka Slovensko a.s. - istina z poskytnutých úverov</t>
  </si>
  <si>
    <t>Slovenská sporiteľňa a.s. - istina z poskytnutých úverov</t>
  </si>
  <si>
    <t xml:space="preserve"> - Rok 2011</t>
  </si>
  <si>
    <t xml:space="preserve"> - Dotácia na činnosť DHZ</t>
  </si>
  <si>
    <t xml:space="preserve"> - Rekonštrukcia 3 ZŠ - nevyfakt.časť zo ZoD</t>
  </si>
  <si>
    <t xml:space="preserve">  - z toho: Poistenie</t>
  </si>
  <si>
    <t xml:space="preserve">  - z toho: Prevádzka zimného štadióna</t>
  </si>
  <si>
    <t xml:space="preserve">  - Prevádzka krytej a letnej plavárne</t>
  </si>
  <si>
    <t xml:space="preserve">  - Poistenie</t>
  </si>
  <si>
    <t xml:space="preserve">  - z toho: MsÚ</t>
  </si>
  <si>
    <t xml:space="preserve">  - domov - Modernizácia železničnej trate</t>
  </si>
  <si>
    <t xml:space="preserve"> - tovary a služby</t>
  </si>
  <si>
    <t xml:space="preserve">821 005 - Splácanie istín z bankových úverov dlhodobých,    z toho: </t>
  </si>
  <si>
    <t>821 007 - Splácanie istín z ostatných úverov  dlhodobých - ŠFRB</t>
  </si>
  <si>
    <t xml:space="preserve">821 004 - Splácanie istín z bankových úverov krátkodobých,    z toho: </t>
  </si>
  <si>
    <t xml:space="preserve">  - splatenie krátkodobého úveru z Dexia banky Slovensko a.s.</t>
  </si>
  <si>
    <r>
      <rPr>
        <sz val="10"/>
        <rFont val="Arial CE"/>
        <family val="0"/>
      </rPr>
      <t>513 001: Bankové úvery krátkodobé</t>
    </r>
    <r>
      <rPr>
        <b/>
        <sz val="11"/>
        <rFont val="Arial CE"/>
        <family val="0"/>
      </rPr>
      <t>: Prekleňovací úver na rekonštrukciu 3 ZŠ zo SLSP a.s.</t>
    </r>
  </si>
  <si>
    <t>P r í j m y *</t>
  </si>
  <si>
    <t>V ý d a v k y *</t>
  </si>
  <si>
    <t>Tatra banka a.s. - istina z poskytnutých úverov</t>
  </si>
  <si>
    <t xml:space="preserve">  - splatenie preklenovacieho úveru na rekonštrukciu 3 Základných škôl: SLSP a.s.</t>
  </si>
  <si>
    <t xml:space="preserve">            - MDD</t>
  </si>
  <si>
    <t xml:space="preserve">            - Považský pohár</t>
  </si>
  <si>
    <t xml:space="preserve">            - Pri trenčianskej bráne</t>
  </si>
  <si>
    <t>Schválený rozpočet na rok 2011 dňa 19.5.2011</t>
  </si>
  <si>
    <t>% plnenia</t>
  </si>
  <si>
    <t xml:space="preserve"> - tepelné zdroje</t>
  </si>
  <si>
    <t xml:space="preserve"> - materiál</t>
  </si>
  <si>
    <t xml:space="preserve"> - energie, telekomunikácie</t>
  </si>
  <si>
    <t xml:space="preserve"> - údržba</t>
  </si>
  <si>
    <t xml:space="preserve"> - tvorba SF</t>
  </si>
  <si>
    <t xml:space="preserve"> - stravenky</t>
  </si>
  <si>
    <t xml:space="preserve"> - vrátenie príjmov minulých rokov</t>
  </si>
  <si>
    <t xml:space="preserve"> - ostatné služby</t>
  </si>
  <si>
    <t xml:space="preserve"> - dohody</t>
  </si>
  <si>
    <t xml:space="preserve"> - v tom: NFM - vzdelávanie</t>
  </si>
  <si>
    <t>Súkromná MŠ Valachová 7.1.1.</t>
  </si>
  <si>
    <t>Súkromná MŠ Masariková 7.1.2.</t>
  </si>
  <si>
    <t xml:space="preserve"> - plyn, tepelné zdroje</t>
  </si>
  <si>
    <t xml:space="preserve"> - ŠZŠI - hmotná núdza</t>
  </si>
  <si>
    <t>ŠSZČ Piaristické gymnázium J. Braneckého 7.3.1.</t>
  </si>
  <si>
    <t>ŠSZČ sv. Andreja Svorada a Benedikta 7.3.2.</t>
  </si>
  <si>
    <t>SZUŠ - Bebjaková, L.Novomeského 7.3.3.</t>
  </si>
  <si>
    <t>SZUŠ - Berecová, Gagarinova ul. 7.3.4.</t>
  </si>
  <si>
    <t>ŠKD sv. Andreja Svorada a Benedikta 7.3.5.</t>
  </si>
  <si>
    <t xml:space="preserve"> - energie, tepelné zdroje</t>
  </si>
  <si>
    <t xml:space="preserve"> - ŠJ pri Piaristické gymnázium J.Braneckého 7.4.2.</t>
  </si>
  <si>
    <t xml:space="preserve"> - ŠJ ZŠ FUTURUM 7.4.26.</t>
  </si>
  <si>
    <t xml:space="preserve"> - ŠJ pri ZŠ sv. Andrea Svorada a Benedikta 7.4.3.</t>
  </si>
  <si>
    <t xml:space="preserve">  - prevádzka tepelných zdrojov</t>
  </si>
  <si>
    <t>Schválený rozpočet Mesta Trenčín na rok 2011 dňa 19.5.2011</t>
  </si>
  <si>
    <t>006</t>
  </si>
  <si>
    <t>z náhrad poistného plnenia</t>
  </si>
  <si>
    <t>z dobropisov</t>
  </si>
  <si>
    <t>311</t>
  </si>
  <si>
    <t>Dot.VÚ ŠR ÚPSVR - strava, školské potreby</t>
  </si>
  <si>
    <t>Nórsky finančný mechanizmus-vzdelávanie zamestnancov</t>
  </si>
  <si>
    <t>z mestských lesov - stredisko Brezina</t>
  </si>
  <si>
    <t>Centrum voľného času m.r.o.</t>
  </si>
  <si>
    <t>242</t>
  </si>
  <si>
    <t>vratky</t>
  </si>
  <si>
    <t xml:space="preserve"> - MHSL</t>
  </si>
  <si>
    <t>453: nevyčerpané dotácie z roku 2010</t>
  </si>
  <si>
    <t>455: postúpené pohľadávky /Tebys/</t>
  </si>
  <si>
    <t xml:space="preserve"> -  v tom: ZÁVAZKY 2010</t>
  </si>
  <si>
    <t xml:space="preserve"> -  záväzky 2010</t>
  </si>
  <si>
    <t>Z vkladov</t>
  </si>
  <si>
    <t>Ostatné príjmy</t>
  </si>
  <si>
    <t>017</t>
  </si>
  <si>
    <t>Vratky</t>
  </si>
  <si>
    <t>cudzí stravníci</t>
  </si>
  <si>
    <t>úroky</t>
  </si>
  <si>
    <t>dary</t>
  </si>
  <si>
    <t>za zber surovín</t>
  </si>
  <si>
    <t>dobropisy</t>
  </si>
  <si>
    <t>príjmy z dobropisov</t>
  </si>
  <si>
    <t>019</t>
  </si>
  <si>
    <t>príjmy z refundácie</t>
  </si>
  <si>
    <t>Rozpočet Mesta Trenčín na rok 2011</t>
  </si>
  <si>
    <t>MHSL m.r.o.</t>
  </si>
  <si>
    <t>Pokuty, penále a iné sankcie</t>
  </si>
  <si>
    <t xml:space="preserve">Rozpočet Mesta Trenčín na rok 2011 </t>
  </si>
  <si>
    <t>rodinné prídavky</t>
  </si>
  <si>
    <t>Plnenie %</t>
  </si>
  <si>
    <t>Plnenie rozpočtu k 30.6.2011</t>
  </si>
  <si>
    <t>Plnenie bežného rozpočtu k 30.6.2011</t>
  </si>
  <si>
    <t>Plnenie kapitálového rozpočtu k 30.6.2011</t>
  </si>
  <si>
    <t>Plnenie rozpočtu spolu k 30.6.2011</t>
  </si>
  <si>
    <t>Plnenie Programového rozpočtu Mesta Trenčín k 30.6.2011</t>
  </si>
  <si>
    <t xml:space="preserve"> - údržba vojnových hrobov</t>
  </si>
  <si>
    <t xml:space="preserve">            - Ora et Ars 9.1.12.</t>
  </si>
  <si>
    <t xml:space="preserve">            - Art kino metro 9.1.9.</t>
  </si>
  <si>
    <t xml:space="preserve"> - hrobové miesta</t>
  </si>
  <si>
    <t>poplatky za predaj výrobkov, tovarov a služieb</t>
  </si>
  <si>
    <t>ostatné - úroky, dobropisy, vratky, granty</t>
  </si>
  <si>
    <t>454: prevod hospodárskeho výsledku z roku 2010</t>
  </si>
  <si>
    <t>* - na preklenutie časového nesúladu medzi príjmami a výdavkami rozpočtu sa môže čerpať kontokorentný úver spolu vo výške 6 000 tis. € (z toho vo výške 4 000 tis. € z ČSOB a.s. a vo výške 2 000 tis. € z Dexia banky Slovensko a.s.)  s tým, že do konca roka 2011 bude predmetný úver splatený, úver čerpaný k 30.6.2011 vo výške: 3 304 581 €</t>
  </si>
  <si>
    <t xml:space="preserve"> - plaváreň</t>
  </si>
  <si>
    <t>Dotácia na úhradu cestovných nákladov žiakov</t>
  </si>
  <si>
    <t>Dotácia na osobné náklady asistentov učiteľov</t>
  </si>
  <si>
    <t>Dotácia na vzdelávacie poukazy</t>
  </si>
  <si>
    <t>Dotácia na zabezpečenie starostlivosti o vojnové hroby</t>
  </si>
  <si>
    <t>Prenesený výkon štátnej správy starostlivosti o životné prostredie</t>
  </si>
  <si>
    <t>Dotácia na výkon samosprávnych funkcií</t>
  </si>
  <si>
    <t>Prídavky na deti</t>
  </si>
  <si>
    <t>Príspevok na podporu regionálnej a miestnej zamestnanosti</t>
  </si>
  <si>
    <t>Dotácia na prenesené kompetencie na odchodné</t>
  </si>
  <si>
    <t>Dotácia na sčítanie ľudu 2011</t>
  </si>
  <si>
    <t>Dotácie na základné vzdelanie s bežnou starostlivosťou mzdy,odvody, tovary a služby</t>
  </si>
  <si>
    <t>Rozvoj vzdelávania, kvalifikácie a odb.prípravy zamestnancov mesta</t>
  </si>
  <si>
    <t xml:space="preserve"> - transfery - PN</t>
  </si>
  <si>
    <t xml:space="preserve">Schválený rozpočet na rok 2011 </t>
  </si>
  <si>
    <t>Príspevok na aktivačnú činnosť formou menších obecných služieb</t>
  </si>
  <si>
    <t xml:space="preserve">% plnenia 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</si>
</sst>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#,##0.000"/>
    <numFmt numFmtId="175" formatCode="0.000"/>
    <numFmt numFmtId="176" formatCode="#,##0.0000"/>
    <numFmt numFmtId="177" formatCode="0.0000"/>
    <numFmt numFmtId="178" formatCode="0.0%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[$€-2]\ #\ ##,000_);[Red]\([$€-2]\ #\ ##,000\)"/>
    <numFmt numFmtId="183" formatCode="_-* #,##0.0\ _S_k_-;\-* #,##0.0\ _S_k_-;_-* &quot;-&quot;??\ _S_k_-;_-@_-"/>
    <numFmt numFmtId="184" formatCode="_-* #,##0\ _S_k_-;\-* #,##0\ _S_k_-;_-* &quot;-&quot;??\ _S_k_-;_-@_-"/>
    <numFmt numFmtId="185" formatCode="_-* #,##0.0\ _€_-;\-* #,##0.0\ _€_-;_-* &quot;-&quot;??\ _€_-;_-@_-"/>
    <numFmt numFmtId="186" formatCode="_-* #,##0\ _€_-;\-* #,##0\ _€_-;_-* &quot;-&quot;??\ _€_-;_-@_-"/>
    <numFmt numFmtId="187" formatCode="0.000000"/>
    <numFmt numFmtId="188" formatCode="0.00000"/>
    <numFmt numFmtId="189" formatCode="0.0000000"/>
    <numFmt numFmtId="190" formatCode="_-* #,##0.000\ _S_k_-;\-* #,##0.000\ _S_k_-;_-* &quot;-&quot;??\ _S_k_-;_-@_-"/>
  </numFmts>
  <fonts count="102">
    <font>
      <sz val="10"/>
      <name val="Arial"/>
      <family val="0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b/>
      <i/>
      <sz val="12"/>
      <name val="Arial CE"/>
      <family val="0"/>
    </font>
    <font>
      <b/>
      <sz val="10"/>
      <name val="Arial"/>
      <family val="2"/>
    </font>
    <font>
      <sz val="12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b/>
      <sz val="9"/>
      <color indexed="8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Arial CE"/>
      <family val="0"/>
    </font>
    <font>
      <b/>
      <sz val="9"/>
      <color indexed="9"/>
      <name val="Arial CE"/>
      <family val="0"/>
    </font>
    <font>
      <b/>
      <sz val="9"/>
      <color indexed="9"/>
      <name val="Arial"/>
      <family val="2"/>
    </font>
    <font>
      <b/>
      <i/>
      <sz val="11"/>
      <color indexed="9"/>
      <name val="Arial CE"/>
      <family val="0"/>
    </font>
    <font>
      <b/>
      <sz val="15"/>
      <color indexed="18"/>
      <name val="Tahoma"/>
      <family val="2"/>
    </font>
    <font>
      <b/>
      <i/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1"/>
      <color indexed="9"/>
      <name val="Arial CE"/>
      <family val="2"/>
    </font>
    <font>
      <sz val="10"/>
      <color indexed="9"/>
      <name val="Arial"/>
      <family val="2"/>
    </font>
    <font>
      <b/>
      <sz val="8"/>
      <color indexed="9"/>
      <name val="Arial CE"/>
      <family val="0"/>
    </font>
    <font>
      <b/>
      <sz val="10"/>
      <color indexed="9"/>
      <name val="Arial"/>
      <family val="2"/>
    </font>
    <font>
      <b/>
      <sz val="14"/>
      <color indexed="56"/>
      <name val="Arial Black"/>
      <family val="2"/>
    </font>
    <font>
      <b/>
      <sz val="14"/>
      <color indexed="9"/>
      <name val="Arial CE"/>
      <family val="0"/>
    </font>
    <font>
      <b/>
      <sz val="8"/>
      <name val="Arial"/>
      <family val="2"/>
    </font>
    <font>
      <sz val="11"/>
      <color indexed="9"/>
      <name val="Arial CE"/>
      <family val="0"/>
    </font>
    <font>
      <b/>
      <sz val="12"/>
      <name val="Arial CE"/>
      <family val="2"/>
    </font>
    <font>
      <sz val="8"/>
      <color indexed="9"/>
      <name val="Arial CE"/>
      <family val="0"/>
    </font>
    <font>
      <b/>
      <sz val="22"/>
      <color indexed="18"/>
      <name val="Tahoma"/>
      <family val="2"/>
    </font>
    <font>
      <b/>
      <i/>
      <sz val="9"/>
      <color indexed="9"/>
      <name val="Arial CE"/>
      <family val="0"/>
    </font>
    <font>
      <sz val="9"/>
      <name val="Arial"/>
      <family val="2"/>
    </font>
    <font>
      <sz val="10"/>
      <color indexed="9"/>
      <name val="Arial CE"/>
      <family val="0"/>
    </font>
    <font>
      <b/>
      <sz val="9"/>
      <name val="Arial"/>
      <family val="2"/>
    </font>
    <font>
      <sz val="9"/>
      <color indexed="10"/>
      <name val="Arial CE"/>
      <family val="0"/>
    </font>
    <font>
      <b/>
      <sz val="8"/>
      <color indexed="9"/>
      <name val="Arial"/>
      <family val="2"/>
    </font>
    <font>
      <b/>
      <i/>
      <vertAlign val="superscript"/>
      <sz val="12"/>
      <name val="Arial CE"/>
      <family val="0"/>
    </font>
    <font>
      <sz val="10"/>
      <color indexed="10"/>
      <name val="Arial CE"/>
      <family val="0"/>
    </font>
    <font>
      <b/>
      <sz val="12"/>
      <color indexed="9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i/>
      <sz val="14"/>
      <color indexed="9"/>
      <name val="Arial CE"/>
      <family val="2"/>
    </font>
    <font>
      <sz val="14"/>
      <color indexed="9"/>
      <name val="Arial"/>
      <family val="2"/>
    </font>
    <font>
      <b/>
      <sz val="10"/>
      <color indexed="9"/>
      <name val="Arial CE"/>
      <family val="0"/>
    </font>
    <font>
      <sz val="11"/>
      <name val="Arial CE"/>
      <family val="0"/>
    </font>
    <font>
      <b/>
      <i/>
      <sz val="12"/>
      <color indexed="9"/>
      <name val="Arial CE"/>
      <family val="0"/>
    </font>
    <font>
      <i/>
      <sz val="11"/>
      <name val="Arial CE"/>
      <family val="0"/>
    </font>
    <font>
      <sz val="11"/>
      <name val="Wingdings"/>
      <family val="0"/>
    </font>
    <font>
      <sz val="8"/>
      <color indexed="18"/>
      <name val="Arial CE"/>
      <family val="2"/>
    </font>
    <font>
      <sz val="6"/>
      <color indexed="18"/>
      <name val="Arial CE"/>
      <family val="2"/>
    </font>
    <font>
      <b/>
      <sz val="10"/>
      <color indexed="1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56"/>
      <name val="Arial CE"/>
      <family val="2"/>
    </font>
    <font>
      <sz val="8"/>
      <color indexed="9"/>
      <name val="Arial"/>
      <family val="2"/>
    </font>
    <font>
      <b/>
      <i/>
      <sz val="9"/>
      <color indexed="8"/>
      <name val="Arial CE"/>
      <family val="0"/>
    </font>
    <font>
      <b/>
      <i/>
      <sz val="16"/>
      <color indexed="9"/>
      <name val="Arial CE"/>
      <family val="2"/>
    </font>
    <font>
      <b/>
      <sz val="16"/>
      <color indexed="9"/>
      <name val="Arial CE"/>
      <family val="2"/>
    </font>
    <font>
      <sz val="9"/>
      <color indexed="8"/>
      <name val="Arial CE"/>
      <family val="0"/>
    </font>
    <font>
      <b/>
      <sz val="12"/>
      <color indexed="9"/>
      <name val="Arial"/>
      <family val="2"/>
    </font>
    <font>
      <b/>
      <sz val="10"/>
      <color indexed="56"/>
      <name val="Arial CE"/>
      <family val="0"/>
    </font>
    <font>
      <b/>
      <sz val="20"/>
      <color indexed="18"/>
      <name val="Arial CE"/>
      <family val="2"/>
    </font>
    <font>
      <sz val="20"/>
      <color indexed="18"/>
      <name val="Arial CE"/>
      <family val="2"/>
    </font>
    <font>
      <sz val="9"/>
      <color indexed="9"/>
      <name val="Arial"/>
      <family val="2"/>
    </font>
    <font>
      <b/>
      <sz val="18"/>
      <color indexed="30"/>
      <name val="Arial Black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 CE"/>
      <family val="0"/>
    </font>
    <font>
      <b/>
      <sz val="12"/>
      <name val="Arial"/>
      <family val="2"/>
    </font>
    <font>
      <b/>
      <sz val="20"/>
      <color indexed="12"/>
      <name val="Tahoma"/>
      <family val="2"/>
    </font>
    <font>
      <sz val="9"/>
      <color indexed="9"/>
      <name val="Arial CE"/>
      <family val="0"/>
    </font>
    <font>
      <b/>
      <i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</fills>
  <borders count="1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62"/>
      </right>
      <top style="thin"/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double"/>
    </border>
    <border>
      <left>
        <color indexed="63"/>
      </left>
      <right style="thin">
        <color indexed="62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8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7" borderId="8" applyNumberFormat="0" applyAlignment="0" applyProtection="0"/>
    <xf numFmtId="0" fontId="98" fillId="19" borderId="8" applyNumberFormat="0" applyAlignment="0" applyProtection="0"/>
    <xf numFmtId="0" fontId="99" fillId="19" borderId="9" applyNumberFormat="0" applyAlignment="0" applyProtection="0"/>
    <xf numFmtId="0" fontId="100" fillId="0" borderId="0" applyNumberFormat="0" applyFill="0" applyBorder="0" applyAlignment="0" applyProtection="0"/>
    <xf numFmtId="0" fontId="101" fillId="3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23" borderId="0" applyNumberFormat="0" applyBorder="0" applyAlignment="0" applyProtection="0"/>
  </cellStyleXfs>
  <cellXfs count="125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24" borderId="1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12" fillId="8" borderId="11" xfId="0" applyFont="1" applyFill="1" applyBorder="1" applyAlignment="1">
      <alignment horizontal="center"/>
    </xf>
    <xf numFmtId="0" fontId="15" fillId="8" borderId="18" xfId="0" applyFont="1" applyFill="1" applyBorder="1" applyAlignment="1">
      <alignment/>
    </xf>
    <xf numFmtId="0" fontId="3" fillId="8" borderId="19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1" fillId="18" borderId="20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5" fillId="8" borderId="21" xfId="0" applyFont="1" applyFill="1" applyBorder="1" applyAlignment="1">
      <alignment/>
    </xf>
    <xf numFmtId="0" fontId="3" fillId="8" borderId="22" xfId="0" applyFont="1" applyFill="1" applyBorder="1" applyAlignment="1">
      <alignment/>
    </xf>
    <xf numFmtId="0" fontId="0" fillId="0" borderId="0" xfId="0" applyFill="1" applyAlignment="1">
      <alignment/>
    </xf>
    <xf numFmtId="0" fontId="1" fillId="18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0" fontId="3" fillId="18" borderId="24" xfId="0" applyFont="1" applyFill="1" applyBorder="1" applyAlignment="1">
      <alignment/>
    </xf>
    <xf numFmtId="0" fontId="3" fillId="18" borderId="25" xfId="0" applyFont="1" applyFill="1" applyBorder="1" applyAlignment="1">
      <alignment/>
    </xf>
    <xf numFmtId="0" fontId="27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0" fontId="15" fillId="8" borderId="28" xfId="0" applyFont="1" applyFill="1" applyBorder="1" applyAlignment="1">
      <alignment/>
    </xf>
    <xf numFmtId="0" fontId="3" fillId="8" borderId="29" xfId="0" applyFont="1" applyFill="1" applyBorder="1" applyAlignment="1">
      <alignment/>
    </xf>
    <xf numFmtId="49" fontId="3" fillId="25" borderId="13" xfId="0" applyNumberFormat="1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49" fontId="2" fillId="25" borderId="11" xfId="0" applyNumberFormat="1" applyFont="1" applyFill="1" applyBorder="1" applyAlignment="1">
      <alignment horizontal="center"/>
    </xf>
    <xf numFmtId="49" fontId="2" fillId="25" borderId="13" xfId="0" applyNumberFormat="1" applyFont="1" applyFill="1" applyBorder="1" applyAlignment="1">
      <alignment horizontal="center"/>
    </xf>
    <xf numFmtId="49" fontId="3" fillId="25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24" borderId="21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49" fontId="3" fillId="24" borderId="13" xfId="0" applyNumberFormat="1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0" fontId="5" fillId="24" borderId="21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0" fontId="3" fillId="0" borderId="21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3" fillId="0" borderId="21" xfId="0" applyFont="1" applyFill="1" applyBorder="1" applyAlignment="1">
      <alignment/>
    </xf>
    <xf numFmtId="49" fontId="4" fillId="24" borderId="13" xfId="0" applyNumberFormat="1" applyFont="1" applyFill="1" applyBorder="1" applyAlignment="1">
      <alignment horizontal="center"/>
    </xf>
    <xf numFmtId="49" fontId="2" fillId="24" borderId="12" xfId="0" applyNumberFormat="1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3" fillId="0" borderId="18" xfId="0" applyFont="1" applyBorder="1" applyAlignment="1">
      <alignment/>
    </xf>
    <xf numFmtId="49" fontId="4" fillId="24" borderId="11" xfId="0" applyNumberFormat="1" applyFont="1" applyFill="1" applyBorder="1" applyAlignment="1">
      <alignment horizontal="center"/>
    </xf>
    <xf numFmtId="49" fontId="4" fillId="24" borderId="14" xfId="0" applyNumberFormat="1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0" fontId="5" fillId="24" borderId="18" xfId="0" applyFont="1" applyFill="1" applyBorder="1" applyAlignment="1">
      <alignment/>
    </xf>
    <xf numFmtId="0" fontId="13" fillId="0" borderId="18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49" fontId="4" fillId="24" borderId="14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49" fontId="3" fillId="24" borderId="11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3" fillId="2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18" fillId="24" borderId="21" xfId="0" applyFont="1" applyFill="1" applyBorder="1" applyAlignment="1">
      <alignment/>
    </xf>
    <xf numFmtId="0" fontId="14" fillId="0" borderId="18" xfId="0" applyFont="1" applyBorder="1" applyAlignment="1">
      <alignment/>
    </xf>
    <xf numFmtId="0" fontId="3" fillId="24" borderId="14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24" borderId="0" xfId="0" applyFill="1" applyAlignment="1">
      <alignment/>
    </xf>
    <xf numFmtId="0" fontId="12" fillId="24" borderId="13" xfId="0" applyFont="1" applyFill="1" applyBorder="1" applyAlignment="1">
      <alignment horizontal="center"/>
    </xf>
    <xf numFmtId="0" fontId="3" fillId="18" borderId="31" xfId="0" applyFont="1" applyFill="1" applyBorder="1" applyAlignment="1">
      <alignment/>
    </xf>
    <xf numFmtId="0" fontId="15" fillId="8" borderId="12" xfId="0" applyFont="1" applyFill="1" applyBorder="1" applyAlignment="1">
      <alignment/>
    </xf>
    <xf numFmtId="0" fontId="15" fillId="8" borderId="14" xfId="0" applyFont="1" applyFill="1" applyBorder="1" applyAlignment="1">
      <alignment/>
    </xf>
    <xf numFmtId="49" fontId="6" fillId="25" borderId="1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6" fillId="8" borderId="22" xfId="0" applyFont="1" applyFill="1" applyBorder="1" applyAlignment="1">
      <alignment/>
    </xf>
    <xf numFmtId="0" fontId="3" fillId="8" borderId="12" xfId="0" applyFont="1" applyFill="1" applyBorder="1" applyAlignment="1">
      <alignment/>
    </xf>
    <xf numFmtId="49" fontId="6" fillId="25" borderId="2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18" fillId="2" borderId="22" xfId="0" applyFont="1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6" fillId="2" borderId="19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2" xfId="0" applyFont="1" applyFill="1" applyBorder="1" applyAlignment="1">
      <alignment horizontal="left"/>
    </xf>
    <xf numFmtId="0" fontId="1" fillId="2" borderId="22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34" fillId="0" borderId="0" xfId="0" applyFont="1" applyAlignment="1">
      <alignment/>
    </xf>
    <xf numFmtId="4" fontId="0" fillId="0" borderId="0" xfId="0" applyNumberFormat="1" applyAlignment="1">
      <alignment/>
    </xf>
    <xf numFmtId="3" fontId="5" fillId="8" borderId="12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5" fillId="8" borderId="13" xfId="0" applyNumberFormat="1" applyFont="1" applyFill="1" applyBorder="1" applyAlignment="1">
      <alignment/>
    </xf>
    <xf numFmtId="3" fontId="5" fillId="8" borderId="14" xfId="0" applyNumberFormat="1" applyFont="1" applyFill="1" applyBorder="1" applyAlignment="1">
      <alignment/>
    </xf>
    <xf numFmtId="3" fontId="5" fillId="8" borderId="11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 horizontal="right"/>
    </xf>
    <xf numFmtId="3" fontId="5" fillId="8" borderId="33" xfId="0" applyNumberFormat="1" applyFont="1" applyFill="1" applyBorder="1" applyAlignment="1">
      <alignment/>
    </xf>
    <xf numFmtId="3" fontId="5" fillId="8" borderId="27" xfId="0" applyNumberFormat="1" applyFont="1" applyFill="1" applyBorder="1" applyAlignment="1">
      <alignment/>
    </xf>
    <xf numFmtId="3" fontId="5" fillId="8" borderId="26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5" fillId="8" borderId="34" xfId="0" applyNumberFormat="1" applyFont="1" applyFill="1" applyBorder="1" applyAlignment="1">
      <alignment/>
    </xf>
    <xf numFmtId="0" fontId="24" fillId="24" borderId="0" xfId="0" applyFont="1" applyFill="1" applyBorder="1" applyAlignment="1">
      <alignment horizontal="center" vertical="center" wrapText="1"/>
    </xf>
    <xf numFmtId="3" fontId="3" fillId="24" borderId="0" xfId="0" applyNumberFormat="1" applyFont="1" applyFill="1" applyBorder="1" applyAlignment="1">
      <alignment horizontal="right"/>
    </xf>
    <xf numFmtId="3" fontId="6" fillId="24" borderId="0" xfId="0" applyNumberFormat="1" applyFont="1" applyFill="1" applyBorder="1" applyAlignment="1">
      <alignment horizontal="right"/>
    </xf>
    <xf numFmtId="0" fontId="0" fillId="24" borderId="0" xfId="0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3" fontId="5" fillId="24" borderId="15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59" fillId="2" borderId="20" xfId="0" applyFont="1" applyFill="1" applyBorder="1" applyAlignment="1">
      <alignment/>
    </xf>
    <xf numFmtId="49" fontId="60" fillId="2" borderId="35" xfId="0" applyNumberFormat="1" applyFont="1" applyFill="1" applyBorder="1" applyAlignment="1">
      <alignment horizontal="center"/>
    </xf>
    <xf numFmtId="0" fontId="59" fillId="2" borderId="0" xfId="0" applyFont="1" applyFill="1" applyBorder="1" applyAlignment="1">
      <alignment/>
    </xf>
    <xf numFmtId="0" fontId="59" fillId="2" borderId="35" xfId="0" applyFont="1" applyFill="1" applyBorder="1" applyAlignment="1">
      <alignment/>
    </xf>
    <xf numFmtId="0" fontId="59" fillId="2" borderId="23" xfId="0" applyFont="1" applyFill="1" applyBorder="1" applyAlignment="1">
      <alignment/>
    </xf>
    <xf numFmtId="49" fontId="60" fillId="2" borderId="31" xfId="0" applyNumberFormat="1" applyFont="1" applyFill="1" applyBorder="1" applyAlignment="1">
      <alignment horizontal="center"/>
    </xf>
    <xf numFmtId="49" fontId="60" fillId="2" borderId="36" xfId="0" applyNumberFormat="1" applyFont="1" applyFill="1" applyBorder="1" applyAlignment="1">
      <alignment horizontal="center"/>
    </xf>
    <xf numFmtId="0" fontId="61" fillId="2" borderId="37" xfId="0" applyFont="1" applyFill="1" applyBorder="1" applyAlignment="1">
      <alignment/>
    </xf>
    <xf numFmtId="0" fontId="59" fillId="2" borderId="31" xfId="0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3" fontId="62" fillId="0" borderId="0" xfId="0" applyNumberFormat="1" applyFont="1" applyFill="1" applyAlignment="1">
      <alignment/>
    </xf>
    <xf numFmtId="3" fontId="62" fillId="24" borderId="0" xfId="0" applyNumberFormat="1" applyFont="1" applyFill="1" applyAlignment="1">
      <alignment/>
    </xf>
    <xf numFmtId="3" fontId="63" fillId="0" borderId="0" xfId="0" applyNumberFormat="1" applyFont="1" applyAlignment="1">
      <alignment/>
    </xf>
    <xf numFmtId="3" fontId="0" fillId="24" borderId="0" xfId="0" applyNumberFormat="1" applyFill="1" applyAlignment="1">
      <alignment/>
    </xf>
    <xf numFmtId="3" fontId="36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3" fontId="23" fillId="24" borderId="0" xfId="0" applyNumberFormat="1" applyFont="1" applyFill="1" applyBorder="1" applyAlignment="1">
      <alignment/>
    </xf>
    <xf numFmtId="0" fontId="30" fillId="26" borderId="38" xfId="0" applyFont="1" applyFill="1" applyBorder="1" applyAlignment="1">
      <alignment horizontal="left" vertical="center"/>
    </xf>
    <xf numFmtId="0" fontId="30" fillId="26" borderId="39" xfId="0" applyFont="1" applyFill="1" applyBorder="1" applyAlignment="1">
      <alignment horizontal="left" vertical="center"/>
    </xf>
    <xf numFmtId="0" fontId="30" fillId="26" borderId="37" xfId="0" applyFont="1" applyFill="1" applyBorder="1" applyAlignment="1">
      <alignment horizontal="left" vertical="center"/>
    </xf>
    <xf numFmtId="0" fontId="9" fillId="24" borderId="0" xfId="0" applyFont="1" applyFill="1" applyBorder="1" applyAlignment="1">
      <alignment/>
    </xf>
    <xf numFmtId="0" fontId="30" fillId="26" borderId="4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0" fontId="7" fillId="8" borderId="12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5" fillId="24" borderId="12" xfId="0" applyFont="1" applyFill="1" applyBorder="1" applyAlignment="1">
      <alignment/>
    </xf>
    <xf numFmtId="3" fontId="5" fillId="24" borderId="15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13" fillId="24" borderId="12" xfId="0" applyFont="1" applyFill="1" applyBorder="1" applyAlignment="1">
      <alignment/>
    </xf>
    <xf numFmtId="49" fontId="4" fillId="8" borderId="11" xfId="0" applyNumberFormat="1" applyFont="1" applyFill="1" applyBorder="1" applyAlignment="1">
      <alignment horizontal="center"/>
    </xf>
    <xf numFmtId="49" fontId="3" fillId="8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24" borderId="16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39" fillId="27" borderId="11" xfId="0" applyNumberFormat="1" applyFont="1" applyFill="1" applyBorder="1" applyAlignment="1">
      <alignment horizontal="center"/>
    </xf>
    <xf numFmtId="49" fontId="39" fillId="27" borderId="12" xfId="0" applyNumberFormat="1" applyFont="1" applyFill="1" applyBorder="1" applyAlignment="1">
      <alignment horizontal="center"/>
    </xf>
    <xf numFmtId="0" fontId="26" fillId="27" borderId="34" xfId="0" applyFont="1" applyFill="1" applyBorder="1" applyAlignment="1">
      <alignment/>
    </xf>
    <xf numFmtId="0" fontId="3" fillId="24" borderId="41" xfId="0" applyFont="1" applyFill="1" applyBorder="1" applyAlignment="1">
      <alignment horizontal="center"/>
    </xf>
    <xf numFmtId="49" fontId="39" fillId="27" borderId="42" xfId="0" applyNumberFormat="1" applyFont="1" applyFill="1" applyBorder="1" applyAlignment="1">
      <alignment horizontal="center"/>
    </xf>
    <xf numFmtId="49" fontId="39" fillId="27" borderId="43" xfId="0" applyNumberFormat="1" applyFont="1" applyFill="1" applyBorder="1" applyAlignment="1">
      <alignment horizontal="center"/>
    </xf>
    <xf numFmtId="0" fontId="26" fillId="27" borderId="43" xfId="0" applyFont="1" applyFill="1" applyBorder="1" applyAlignment="1">
      <alignment/>
    </xf>
    <xf numFmtId="0" fontId="2" fillId="24" borderId="16" xfId="0" applyFont="1" applyFill="1" applyBorder="1" applyAlignment="1">
      <alignment horizontal="center"/>
    </xf>
    <xf numFmtId="49" fontId="4" fillId="28" borderId="27" xfId="0" applyNumberFormat="1" applyFont="1" applyFill="1" applyBorder="1" applyAlignment="1">
      <alignment horizontal="center"/>
    </xf>
    <xf numFmtId="49" fontId="4" fillId="28" borderId="33" xfId="0" applyNumberFormat="1" applyFont="1" applyFill="1" applyBorder="1" applyAlignment="1">
      <alignment horizontal="center"/>
    </xf>
    <xf numFmtId="49" fontId="2" fillId="28" borderId="33" xfId="0" applyNumberFormat="1" applyFont="1" applyFill="1" applyBorder="1" applyAlignment="1">
      <alignment horizontal="center"/>
    </xf>
    <xf numFmtId="0" fontId="64" fillId="28" borderId="44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12" fillId="8" borderId="12" xfId="0" applyNumberFormat="1" applyFont="1" applyFill="1" applyBorder="1" applyAlignment="1">
      <alignment horizontal="center" vertical="center"/>
    </xf>
    <xf numFmtId="49" fontId="12" fillId="8" borderId="13" xfId="0" applyNumberFormat="1" applyFont="1" applyFill="1" applyBorder="1" applyAlignment="1">
      <alignment horizontal="center" vertical="center"/>
    </xf>
    <xf numFmtId="49" fontId="6" fillId="8" borderId="12" xfId="0" applyNumberFormat="1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12" fillId="8" borderId="14" xfId="0" applyNumberFormat="1" applyFont="1" applyFill="1" applyBorder="1" applyAlignment="1">
      <alignment horizontal="center" vertical="center"/>
    </xf>
    <xf numFmtId="49" fontId="12" fillId="8" borderId="11" xfId="0" applyNumberFormat="1" applyFont="1" applyFill="1" applyBorder="1" applyAlignment="1">
      <alignment horizontal="center" vertical="center"/>
    </xf>
    <xf numFmtId="49" fontId="6" fillId="8" borderId="14" xfId="0" applyNumberFormat="1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vertical="center"/>
    </xf>
    <xf numFmtId="0" fontId="38" fillId="8" borderId="18" xfId="0" applyFont="1" applyFill="1" applyBorder="1" applyAlignment="1">
      <alignment vertical="center"/>
    </xf>
    <xf numFmtId="0" fontId="38" fillId="8" borderId="21" xfId="0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39" fillId="26" borderId="37" xfId="0" applyFont="1" applyFill="1" applyBorder="1" applyAlignment="1">
      <alignment/>
    </xf>
    <xf numFmtId="0" fontId="39" fillId="26" borderId="25" xfId="0" applyFont="1" applyFill="1" applyBorder="1" applyAlignment="1">
      <alignment/>
    </xf>
    <xf numFmtId="3" fontId="5" fillId="8" borderId="15" xfId="0" applyNumberFormat="1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horizontal="right"/>
    </xf>
    <xf numFmtId="3" fontId="5" fillId="8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8" borderId="4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40" fillId="0" borderId="0" xfId="0" applyFont="1" applyAlignment="1">
      <alignment/>
    </xf>
    <xf numFmtId="49" fontId="0" fillId="24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right"/>
    </xf>
    <xf numFmtId="3" fontId="3" fillId="2" borderId="46" xfId="0" applyNumberFormat="1" applyFont="1" applyFill="1" applyBorder="1" applyAlignment="1">
      <alignment/>
    </xf>
    <xf numFmtId="3" fontId="23" fillId="26" borderId="31" xfId="0" applyNumberFormat="1" applyFont="1" applyFill="1" applyBorder="1" applyAlignment="1">
      <alignment vertical="center"/>
    </xf>
    <xf numFmtId="3" fontId="23" fillId="26" borderId="3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23" fillId="26" borderId="23" xfId="0" applyNumberFormat="1" applyFont="1" applyFill="1" applyBorder="1" applyAlignment="1">
      <alignment vertical="center"/>
    </xf>
    <xf numFmtId="0" fontId="39" fillId="26" borderId="37" xfId="0" applyFont="1" applyFill="1" applyBorder="1" applyAlignment="1">
      <alignment vertical="center"/>
    </xf>
    <xf numFmtId="0" fontId="39" fillId="26" borderId="25" xfId="0" applyFont="1" applyFill="1" applyBorder="1" applyAlignment="1">
      <alignment vertical="center"/>
    </xf>
    <xf numFmtId="3" fontId="26" fillId="24" borderId="0" xfId="0" applyNumberFormat="1" applyFont="1" applyFill="1" applyBorder="1" applyAlignment="1">
      <alignment vertical="center"/>
    </xf>
    <xf numFmtId="0" fontId="39" fillId="26" borderId="47" xfId="0" applyFont="1" applyFill="1" applyBorder="1" applyAlignment="1">
      <alignment vertical="center"/>
    </xf>
    <xf numFmtId="0" fontId="39" fillId="26" borderId="48" xfId="0" applyFont="1" applyFill="1" applyBorder="1" applyAlignment="1">
      <alignment vertical="center"/>
    </xf>
    <xf numFmtId="3" fontId="23" fillId="26" borderId="49" xfId="0" applyNumberFormat="1" applyFont="1" applyFill="1" applyBorder="1" applyAlignment="1">
      <alignment vertical="center"/>
    </xf>
    <xf numFmtId="3" fontId="23" fillId="26" borderId="50" xfId="0" applyNumberFormat="1" applyFont="1" applyFill="1" applyBorder="1" applyAlignment="1">
      <alignment vertical="center"/>
    </xf>
    <xf numFmtId="3" fontId="23" fillId="26" borderId="51" xfId="0" applyNumberFormat="1" applyFont="1" applyFill="1" applyBorder="1" applyAlignment="1">
      <alignment vertical="center"/>
    </xf>
    <xf numFmtId="3" fontId="3" fillId="2" borderId="52" xfId="0" applyNumberFormat="1" applyFont="1" applyFill="1" applyBorder="1" applyAlignment="1">
      <alignment/>
    </xf>
    <xf numFmtId="3" fontId="9" fillId="24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/>
    </xf>
    <xf numFmtId="3" fontId="5" fillId="8" borderId="16" xfId="0" applyNumberFormat="1" applyFont="1" applyFill="1" applyBorder="1" applyAlignment="1">
      <alignment/>
    </xf>
    <xf numFmtId="3" fontId="3" fillId="2" borderId="53" xfId="0" applyNumberFormat="1" applyFont="1" applyFill="1" applyBorder="1" applyAlignment="1">
      <alignment horizontal="right"/>
    </xf>
    <xf numFmtId="3" fontId="65" fillId="24" borderId="0" xfId="0" applyNumberFormat="1" applyFont="1" applyFill="1" applyBorder="1" applyAlignment="1">
      <alignment/>
    </xf>
    <xf numFmtId="0" fontId="39" fillId="26" borderId="31" xfId="0" applyFont="1" applyFill="1" applyBorder="1" applyAlignment="1">
      <alignment vertical="center"/>
    </xf>
    <xf numFmtId="3" fontId="5" fillId="8" borderId="54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55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3" fontId="3" fillId="24" borderId="0" xfId="0" applyNumberFormat="1" applyFont="1" applyFill="1" applyBorder="1" applyAlignment="1">
      <alignment horizontal="center" vertical="center" wrapText="1"/>
    </xf>
    <xf numFmtId="3" fontId="4" fillId="24" borderId="0" xfId="0" applyNumberFormat="1" applyFont="1" applyFill="1" applyBorder="1" applyAlignment="1">
      <alignment vertical="center"/>
    </xf>
    <xf numFmtId="3" fontId="5" fillId="2" borderId="56" xfId="0" applyNumberFormat="1" applyFont="1" applyFill="1" applyBorder="1" applyAlignment="1">
      <alignment/>
    </xf>
    <xf numFmtId="3" fontId="2" fillId="2" borderId="52" xfId="0" applyNumberFormat="1" applyFont="1" applyFill="1" applyBorder="1" applyAlignment="1">
      <alignment/>
    </xf>
    <xf numFmtId="3" fontId="3" fillId="2" borderId="52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5" borderId="52" xfId="0" applyNumberFormat="1" applyFont="1" applyFill="1" applyBorder="1" applyAlignment="1">
      <alignment/>
    </xf>
    <xf numFmtId="0" fontId="5" fillId="25" borderId="19" xfId="0" applyFont="1" applyFill="1" applyBorder="1" applyAlignment="1">
      <alignment/>
    </xf>
    <xf numFmtId="3" fontId="3" fillId="6" borderId="52" xfId="0" applyNumberFormat="1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44" fillId="6" borderId="22" xfId="0" applyFont="1" applyFill="1" applyBorder="1" applyAlignment="1">
      <alignment/>
    </xf>
    <xf numFmtId="0" fontId="5" fillId="6" borderId="22" xfId="0" applyFont="1" applyFill="1" applyBorder="1" applyAlignment="1">
      <alignment/>
    </xf>
    <xf numFmtId="3" fontId="3" fillId="6" borderId="52" xfId="0" applyNumberFormat="1" applyFont="1" applyFill="1" applyBorder="1" applyAlignment="1">
      <alignment/>
    </xf>
    <xf numFmtId="0" fontId="42" fillId="2" borderId="22" xfId="0" applyFont="1" applyFill="1" applyBorder="1" applyAlignment="1">
      <alignment/>
    </xf>
    <xf numFmtId="0" fontId="5" fillId="25" borderId="22" xfId="0" applyFont="1" applyFill="1" applyBorder="1" applyAlignment="1">
      <alignment/>
    </xf>
    <xf numFmtId="0" fontId="39" fillId="26" borderId="58" xfId="0" applyFont="1" applyFill="1" applyBorder="1" applyAlignment="1">
      <alignment vertical="center"/>
    </xf>
    <xf numFmtId="0" fontId="39" fillId="26" borderId="59" xfId="0" applyFont="1" applyFill="1" applyBorder="1" applyAlignment="1">
      <alignment vertical="center"/>
    </xf>
    <xf numFmtId="3" fontId="23" fillId="26" borderId="60" xfId="0" applyNumberFormat="1" applyFont="1" applyFill="1" applyBorder="1" applyAlignment="1">
      <alignment vertical="center"/>
    </xf>
    <xf numFmtId="3" fontId="23" fillId="26" borderId="61" xfId="0" applyNumberFormat="1" applyFont="1" applyFill="1" applyBorder="1" applyAlignment="1">
      <alignment vertical="center"/>
    </xf>
    <xf numFmtId="3" fontId="23" fillId="26" borderId="62" xfId="0" applyNumberFormat="1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/>
    </xf>
    <xf numFmtId="3" fontId="6" fillId="25" borderId="14" xfId="0" applyNumberFormat="1" applyFont="1" applyFill="1" applyBorder="1" applyAlignment="1">
      <alignment horizontal="right"/>
    </xf>
    <xf numFmtId="3" fontId="6" fillId="25" borderId="11" xfId="0" applyNumberFormat="1" applyFont="1" applyFill="1" applyBorder="1" applyAlignment="1">
      <alignment horizontal="right"/>
    </xf>
    <xf numFmtId="3" fontId="6" fillId="25" borderId="11" xfId="0" applyNumberFormat="1" applyFont="1" applyFill="1" applyBorder="1" applyAlignment="1">
      <alignment/>
    </xf>
    <xf numFmtId="3" fontId="6" fillId="25" borderId="12" xfId="0" applyNumberFormat="1" applyFont="1" applyFill="1" applyBorder="1" applyAlignment="1">
      <alignment horizontal="right"/>
    </xf>
    <xf numFmtId="3" fontId="6" fillId="25" borderId="13" xfId="0" applyNumberFormat="1" applyFont="1" applyFill="1" applyBorder="1" applyAlignment="1">
      <alignment horizontal="right"/>
    </xf>
    <xf numFmtId="3" fontId="6" fillId="25" borderId="13" xfId="0" applyNumberFormat="1" applyFont="1" applyFill="1" applyBorder="1" applyAlignment="1">
      <alignment/>
    </xf>
    <xf numFmtId="3" fontId="45" fillId="2" borderId="12" xfId="0" applyNumberFormat="1" applyFont="1" applyFill="1" applyBorder="1" applyAlignment="1">
      <alignment horizontal="right"/>
    </xf>
    <xf numFmtId="3" fontId="45" fillId="2" borderId="13" xfId="0" applyNumberFormat="1" applyFont="1" applyFill="1" applyBorder="1" applyAlignment="1">
      <alignment horizontal="right"/>
    </xf>
    <xf numFmtId="3" fontId="45" fillId="2" borderId="13" xfId="0" applyNumberFormat="1" applyFont="1" applyFill="1" applyBorder="1" applyAlignment="1">
      <alignment/>
    </xf>
    <xf numFmtId="3" fontId="6" fillId="25" borderId="63" xfId="0" applyNumberFormat="1" applyFont="1" applyFill="1" applyBorder="1" applyAlignment="1">
      <alignment horizontal="right"/>
    </xf>
    <xf numFmtId="3" fontId="6" fillId="25" borderId="64" xfId="0" applyNumberFormat="1" applyFont="1" applyFill="1" applyBorder="1" applyAlignment="1">
      <alignment horizontal="right"/>
    </xf>
    <xf numFmtId="3" fontId="6" fillId="25" borderId="17" xfId="0" applyNumberFormat="1" applyFont="1" applyFill="1" applyBorder="1" applyAlignment="1">
      <alignment horizontal="right"/>
    </xf>
    <xf numFmtId="3" fontId="6" fillId="25" borderId="26" xfId="0" applyNumberFormat="1" applyFont="1" applyFill="1" applyBorder="1" applyAlignment="1">
      <alignment horizontal="right"/>
    </xf>
    <xf numFmtId="3" fontId="6" fillId="25" borderId="26" xfId="0" applyNumberFormat="1" applyFont="1" applyFill="1" applyBorder="1" applyAlignment="1">
      <alignment/>
    </xf>
    <xf numFmtId="3" fontId="6" fillId="25" borderId="10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>
      <alignment horizontal="right"/>
    </xf>
    <xf numFmtId="3" fontId="6" fillId="2" borderId="64" xfId="0" applyNumberFormat="1" applyFont="1" applyFill="1" applyBorder="1" applyAlignment="1">
      <alignment horizontal="right"/>
    </xf>
    <xf numFmtId="3" fontId="6" fillId="2" borderId="17" xfId="0" applyNumberFormat="1" applyFont="1" applyFill="1" applyBorder="1" applyAlignment="1">
      <alignment horizontal="right"/>
    </xf>
    <xf numFmtId="3" fontId="6" fillId="2" borderId="26" xfId="0" applyNumberFormat="1" applyFont="1" applyFill="1" applyBorder="1" applyAlignment="1">
      <alignment horizontal="right"/>
    </xf>
    <xf numFmtId="3" fontId="6" fillId="2" borderId="26" xfId="0" applyNumberFormat="1" applyFont="1" applyFill="1" applyBorder="1" applyAlignment="1">
      <alignment/>
    </xf>
    <xf numFmtId="3" fontId="6" fillId="6" borderId="12" xfId="0" applyNumberFormat="1" applyFont="1" applyFill="1" applyBorder="1" applyAlignment="1">
      <alignment horizontal="right"/>
    </xf>
    <xf numFmtId="3" fontId="6" fillId="6" borderId="13" xfId="0" applyNumberFormat="1" applyFont="1" applyFill="1" applyBorder="1" applyAlignment="1">
      <alignment horizontal="right"/>
    </xf>
    <xf numFmtId="3" fontId="6" fillId="6" borderId="13" xfId="0" applyNumberFormat="1" applyFont="1" applyFill="1" applyBorder="1" applyAlignment="1">
      <alignment/>
    </xf>
    <xf numFmtId="3" fontId="6" fillId="6" borderId="14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/>
    </xf>
    <xf numFmtId="3" fontId="6" fillId="2" borderId="65" xfId="0" applyNumberFormat="1" applyFont="1" applyFill="1" applyBorder="1" applyAlignment="1">
      <alignment horizontal="right"/>
    </xf>
    <xf numFmtId="3" fontId="6" fillId="6" borderId="11" xfId="0" applyNumberFormat="1" applyFont="1" applyFill="1" applyBorder="1" applyAlignment="1">
      <alignment horizontal="right"/>
    </xf>
    <xf numFmtId="3" fontId="6" fillId="6" borderId="11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6" fillId="2" borderId="63" xfId="0" applyNumberFormat="1" applyFont="1" applyFill="1" applyBorder="1" applyAlignment="1">
      <alignment horizontal="right"/>
    </xf>
    <xf numFmtId="3" fontId="6" fillId="6" borderId="63" xfId="0" applyNumberFormat="1" applyFont="1" applyFill="1" applyBorder="1" applyAlignment="1">
      <alignment horizontal="right"/>
    </xf>
    <xf numFmtId="3" fontId="6" fillId="6" borderId="64" xfId="0" applyNumberFormat="1" applyFont="1" applyFill="1" applyBorder="1" applyAlignment="1">
      <alignment horizontal="right"/>
    </xf>
    <xf numFmtId="3" fontId="6" fillId="2" borderId="66" xfId="0" applyNumberFormat="1" applyFont="1" applyFill="1" applyBorder="1" applyAlignment="1">
      <alignment horizontal="right"/>
    </xf>
    <xf numFmtId="3" fontId="5" fillId="2" borderId="63" xfId="0" applyNumberFormat="1" applyFont="1" applyFill="1" applyBorder="1" applyAlignment="1">
      <alignment horizontal="right"/>
    </xf>
    <xf numFmtId="3" fontId="5" fillId="2" borderId="64" xfId="0" applyNumberFormat="1" applyFont="1" applyFill="1" applyBorder="1" applyAlignment="1">
      <alignment horizontal="right"/>
    </xf>
    <xf numFmtId="3" fontId="6" fillId="2" borderId="53" xfId="0" applyNumberFormat="1" applyFont="1" applyFill="1" applyBorder="1" applyAlignment="1">
      <alignment horizontal="right"/>
    </xf>
    <xf numFmtId="3" fontId="6" fillId="6" borderId="10" xfId="0" applyNumberFormat="1" applyFont="1" applyFill="1" applyBorder="1" applyAlignment="1">
      <alignment horizontal="right"/>
    </xf>
    <xf numFmtId="3" fontId="5" fillId="6" borderId="63" xfId="0" applyNumberFormat="1" applyFont="1" applyFill="1" applyBorder="1" applyAlignment="1">
      <alignment horizontal="right"/>
    </xf>
    <xf numFmtId="3" fontId="6" fillId="2" borderId="67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3" fontId="5" fillId="25" borderId="15" xfId="0" applyNumberFormat="1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6" fillId="8" borderId="12" xfId="0" applyNumberFormat="1" applyFont="1" applyFill="1" applyBorder="1" applyAlignment="1">
      <alignment/>
    </xf>
    <xf numFmtId="3" fontId="6" fillId="25" borderId="12" xfId="0" applyNumberFormat="1" applyFont="1" applyFill="1" applyBorder="1" applyAlignment="1">
      <alignment/>
    </xf>
    <xf numFmtId="3" fontId="6" fillId="25" borderId="13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2" borderId="52" xfId="0" applyNumberFormat="1" applyFont="1" applyFill="1" applyBorder="1" applyAlignment="1">
      <alignment/>
    </xf>
    <xf numFmtId="3" fontId="6" fillId="2" borderId="57" xfId="0" applyNumberFormat="1" applyFont="1" applyFill="1" applyBorder="1" applyAlignment="1">
      <alignment/>
    </xf>
    <xf numFmtId="3" fontId="6" fillId="25" borderId="6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2" borderId="46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 horizontal="right"/>
    </xf>
    <xf numFmtId="3" fontId="3" fillId="25" borderId="57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32" fillId="26" borderId="6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26" borderId="39" xfId="0" applyFont="1" applyFill="1" applyBorder="1" applyAlignment="1">
      <alignment horizontal="left" vertical="center"/>
    </xf>
    <xf numFmtId="3" fontId="3" fillId="2" borderId="70" xfId="0" applyNumberFormat="1" applyFont="1" applyFill="1" applyBorder="1" applyAlignment="1">
      <alignment/>
    </xf>
    <xf numFmtId="3" fontId="3" fillId="2" borderId="68" xfId="0" applyNumberFormat="1" applyFont="1" applyFill="1" applyBorder="1" applyAlignment="1">
      <alignment/>
    </xf>
    <xf numFmtId="3" fontId="5" fillId="6" borderId="66" xfId="0" applyNumberFormat="1" applyFont="1" applyFill="1" applyBorder="1" applyAlignment="1">
      <alignment horizontal="right"/>
    </xf>
    <xf numFmtId="0" fontId="3" fillId="8" borderId="33" xfId="0" applyFont="1" applyFill="1" applyBorder="1" applyAlignment="1">
      <alignment/>
    </xf>
    <xf numFmtId="3" fontId="7" fillId="8" borderId="12" xfId="0" applyNumberFormat="1" applyFont="1" applyFill="1" applyBorder="1" applyAlignment="1">
      <alignment/>
    </xf>
    <xf numFmtId="3" fontId="7" fillId="8" borderId="13" xfId="0" applyNumberFormat="1" applyFont="1" applyFill="1" applyBorder="1" applyAlignment="1">
      <alignment/>
    </xf>
    <xf numFmtId="3" fontId="7" fillId="8" borderId="33" xfId="0" applyNumberFormat="1" applyFont="1" applyFill="1" applyBorder="1" applyAlignment="1">
      <alignment/>
    </xf>
    <xf numFmtId="3" fontId="7" fillId="8" borderId="27" xfId="0" applyNumberFormat="1" applyFont="1" applyFill="1" applyBorder="1" applyAlignment="1">
      <alignment/>
    </xf>
    <xf numFmtId="3" fontId="6" fillId="25" borderId="52" xfId="0" applyNumberFormat="1" applyFont="1" applyFill="1" applyBorder="1" applyAlignment="1">
      <alignment/>
    </xf>
    <xf numFmtId="3" fontId="6" fillId="2" borderId="70" xfId="0" applyNumberFormat="1" applyFont="1" applyFill="1" applyBorder="1" applyAlignment="1">
      <alignment/>
    </xf>
    <xf numFmtId="0" fontId="0" fillId="24" borderId="0" xfId="0" applyFill="1" applyBorder="1" applyAlignment="1">
      <alignment horizontal="center"/>
    </xf>
    <xf numFmtId="3" fontId="23" fillId="24" borderId="0" xfId="0" applyNumberFormat="1" applyFont="1" applyFill="1" applyBorder="1" applyAlignment="1">
      <alignment vertical="center"/>
    </xf>
    <xf numFmtId="3" fontId="6" fillId="24" borderId="0" xfId="0" applyNumberFormat="1" applyFont="1" applyFill="1" applyBorder="1" applyAlignment="1">
      <alignment/>
    </xf>
    <xf numFmtId="3" fontId="6" fillId="25" borderId="12" xfId="0" applyNumberFormat="1" applyFont="1" applyFill="1" applyBorder="1" applyAlignment="1">
      <alignment/>
    </xf>
    <xf numFmtId="3" fontId="33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 horizontal="center" vertical="center" wrapText="1"/>
    </xf>
    <xf numFmtId="3" fontId="41" fillId="24" borderId="0" xfId="0" applyNumberFormat="1" applyFont="1" applyFill="1" applyBorder="1" applyAlignment="1">
      <alignment vertical="center"/>
    </xf>
    <xf numFmtId="3" fontId="5" fillId="24" borderId="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24" borderId="12" xfId="0" applyNumberFormat="1" applyFont="1" applyFill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6" fillId="24" borderId="12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3" fillId="24" borderId="12" xfId="0" applyNumberFormat="1" applyFont="1" applyFill="1" applyBorder="1" applyAlignment="1">
      <alignment horizontal="right"/>
    </xf>
    <xf numFmtId="3" fontId="6" fillId="24" borderId="12" xfId="0" applyNumberFormat="1" applyFont="1" applyFill="1" applyBorder="1" applyAlignment="1">
      <alignment horizontal="right"/>
    </xf>
    <xf numFmtId="3" fontId="6" fillId="24" borderId="14" xfId="0" applyNumberFormat="1" applyFont="1" applyFill="1" applyBorder="1" applyAlignment="1">
      <alignment horizontal="right"/>
    </xf>
    <xf numFmtId="3" fontId="5" fillId="24" borderId="12" xfId="0" applyNumberFormat="1" applyFont="1" applyFill="1" applyBorder="1" applyAlignment="1">
      <alignment horizontal="right"/>
    </xf>
    <xf numFmtId="0" fontId="14" fillId="24" borderId="12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0" fontId="3" fillId="24" borderId="14" xfId="0" applyNumberFormat="1" applyFont="1" applyFill="1" applyBorder="1" applyAlignment="1">
      <alignment/>
    </xf>
    <xf numFmtId="0" fontId="3" fillId="24" borderId="12" xfId="0" applyNumberFormat="1" applyFont="1" applyFill="1" applyBorder="1" applyAlignment="1">
      <alignment/>
    </xf>
    <xf numFmtId="3" fontId="6" fillId="24" borderId="33" xfId="0" applyNumberFormat="1" applyFont="1" applyFill="1" applyBorder="1" applyAlignment="1">
      <alignment horizontal="right"/>
    </xf>
    <xf numFmtId="0" fontId="3" fillId="18" borderId="71" xfId="0" applyFont="1" applyFill="1" applyBorder="1" applyAlignment="1">
      <alignment/>
    </xf>
    <xf numFmtId="0" fontId="3" fillId="18" borderId="72" xfId="0" applyFont="1" applyFill="1" applyBorder="1" applyAlignment="1">
      <alignment/>
    </xf>
    <xf numFmtId="0" fontId="18" fillId="2" borderId="73" xfId="0" applyFont="1" applyFill="1" applyBorder="1" applyAlignment="1">
      <alignment/>
    </xf>
    <xf numFmtId="3" fontId="7" fillId="8" borderId="14" xfId="0" applyNumberFormat="1" applyFont="1" applyFill="1" applyBorder="1" applyAlignment="1">
      <alignment/>
    </xf>
    <xf numFmtId="3" fontId="7" fillId="8" borderId="11" xfId="0" applyNumberFormat="1" applyFont="1" applyFill="1" applyBorder="1" applyAlignment="1">
      <alignment/>
    </xf>
    <xf numFmtId="0" fontId="3" fillId="18" borderId="65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18" fillId="2" borderId="14" xfId="0" applyFont="1" applyFill="1" applyBorder="1" applyAlignment="1">
      <alignment/>
    </xf>
    <xf numFmtId="0" fontId="39" fillId="26" borderId="49" xfId="0" applyFont="1" applyFill="1" applyBorder="1" applyAlignment="1">
      <alignment vertical="center"/>
    </xf>
    <xf numFmtId="0" fontId="5" fillId="25" borderId="12" xfId="0" applyFont="1" applyFill="1" applyBorder="1" applyAlignment="1">
      <alignment/>
    </xf>
    <xf numFmtId="0" fontId="18" fillId="2" borderId="12" xfId="0" applyFont="1" applyFill="1" applyBorder="1" applyAlignment="1">
      <alignment/>
    </xf>
    <xf numFmtId="49" fontId="4" fillId="24" borderId="42" xfId="0" applyNumberFormat="1" applyFont="1" applyFill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24" borderId="43" xfId="0" applyNumberFormat="1" applyFont="1" applyFill="1" applyBorder="1" applyAlignment="1">
      <alignment horizontal="center"/>
    </xf>
    <xf numFmtId="0" fontId="3" fillId="0" borderId="74" xfId="0" applyFont="1" applyBorder="1" applyAlignment="1">
      <alignment/>
    </xf>
    <xf numFmtId="0" fontId="3" fillId="24" borderId="43" xfId="0" applyFont="1" applyFill="1" applyBorder="1" applyAlignment="1">
      <alignment/>
    </xf>
    <xf numFmtId="3" fontId="6" fillId="24" borderId="43" xfId="0" applyNumberFormat="1" applyFont="1" applyFill="1" applyBorder="1" applyAlignment="1">
      <alignment horizontal="right"/>
    </xf>
    <xf numFmtId="3" fontId="6" fillId="2" borderId="57" xfId="0" applyNumberFormat="1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3" fontId="54" fillId="20" borderId="15" xfId="0" applyNumberFormat="1" applyFont="1" applyFill="1" applyBorder="1" applyAlignment="1">
      <alignment/>
    </xf>
    <xf numFmtId="3" fontId="54" fillId="20" borderId="45" xfId="0" applyNumberFormat="1" applyFont="1" applyFill="1" applyBorder="1" applyAlignment="1">
      <alignment/>
    </xf>
    <xf numFmtId="3" fontId="54" fillId="20" borderId="10" xfId="0" applyNumberFormat="1" applyFont="1" applyFill="1" applyBorder="1" applyAlignment="1">
      <alignment/>
    </xf>
    <xf numFmtId="0" fontId="12" fillId="28" borderId="18" xfId="0" applyFont="1" applyFill="1" applyBorder="1" applyAlignment="1">
      <alignment/>
    </xf>
    <xf numFmtId="0" fontId="3" fillId="28" borderId="14" xfId="0" applyFont="1" applyFill="1" applyBorder="1" applyAlignment="1">
      <alignment/>
    </xf>
    <xf numFmtId="0" fontId="12" fillId="28" borderId="21" xfId="0" applyFont="1" applyFill="1" applyBorder="1" applyAlignment="1">
      <alignment/>
    </xf>
    <xf numFmtId="0" fontId="3" fillId="28" borderId="12" xfId="0" applyFont="1" applyFill="1" applyBorder="1" applyAlignment="1">
      <alignment/>
    </xf>
    <xf numFmtId="3" fontId="5" fillId="28" borderId="12" xfId="0" applyNumberFormat="1" applyFont="1" applyFill="1" applyBorder="1" applyAlignment="1">
      <alignment horizontal="right"/>
    </xf>
    <xf numFmtId="3" fontId="16" fillId="28" borderId="12" xfId="0" applyNumberFormat="1" applyFont="1" applyFill="1" applyBorder="1" applyAlignment="1">
      <alignment horizontal="right"/>
    </xf>
    <xf numFmtId="0" fontId="12" fillId="28" borderId="75" xfId="0" applyFont="1" applyFill="1" applyBorder="1" applyAlignment="1">
      <alignment/>
    </xf>
    <xf numFmtId="0" fontId="3" fillId="28" borderId="65" xfId="0" applyFont="1" applyFill="1" applyBorder="1" applyAlignment="1">
      <alignment/>
    </xf>
    <xf numFmtId="3" fontId="6" fillId="28" borderId="65" xfId="0" applyNumberFormat="1" applyFont="1" applyFill="1" applyBorder="1" applyAlignment="1">
      <alignment horizontal="right"/>
    </xf>
    <xf numFmtId="3" fontId="54" fillId="29" borderId="15" xfId="0" applyNumberFormat="1" applyFont="1" applyFill="1" applyBorder="1" applyAlignment="1">
      <alignment horizontal="right"/>
    </xf>
    <xf numFmtId="49" fontId="67" fillId="27" borderId="26" xfId="0" applyNumberFormat="1" applyFont="1" applyFill="1" applyBorder="1" applyAlignment="1">
      <alignment horizontal="center"/>
    </xf>
    <xf numFmtId="49" fontId="67" fillId="27" borderId="17" xfId="0" applyNumberFormat="1" applyFont="1" applyFill="1" applyBorder="1" applyAlignment="1">
      <alignment horizontal="center"/>
    </xf>
    <xf numFmtId="49" fontId="68" fillId="27" borderId="17" xfId="0" applyNumberFormat="1" applyFont="1" applyFill="1" applyBorder="1" applyAlignment="1">
      <alignment horizontal="center"/>
    </xf>
    <xf numFmtId="0" fontId="52" fillId="27" borderId="26" xfId="0" applyFont="1" applyFill="1" applyBorder="1" applyAlignment="1">
      <alignment/>
    </xf>
    <xf numFmtId="3" fontId="5" fillId="28" borderId="13" xfId="0" applyNumberFormat="1" applyFont="1" applyFill="1" applyBorder="1" applyAlignment="1">
      <alignment horizontal="right"/>
    </xf>
    <xf numFmtId="3" fontId="6" fillId="6" borderId="66" xfId="0" applyNumberFormat="1" applyFont="1" applyFill="1" applyBorder="1" applyAlignment="1">
      <alignment horizontal="right"/>
    </xf>
    <xf numFmtId="3" fontId="3" fillId="6" borderId="57" xfId="0" applyNumberFormat="1" applyFont="1" applyFill="1" applyBorder="1" applyAlignment="1">
      <alignment/>
    </xf>
    <xf numFmtId="3" fontId="30" fillId="20" borderId="22" xfId="0" applyNumberFormat="1" applyFont="1" applyFill="1" applyBorder="1" applyAlignment="1">
      <alignment horizontal="right"/>
    </xf>
    <xf numFmtId="3" fontId="30" fillId="20" borderId="19" xfId="0" applyNumberFormat="1" applyFont="1" applyFill="1" applyBorder="1" applyAlignment="1">
      <alignment horizontal="right"/>
    </xf>
    <xf numFmtId="4" fontId="55" fillId="0" borderId="19" xfId="0" applyNumberFormat="1" applyFont="1" applyBorder="1" applyAlignment="1">
      <alignment horizontal="right"/>
    </xf>
    <xf numFmtId="3" fontId="55" fillId="0" borderId="19" xfId="0" applyNumberFormat="1" applyFont="1" applyBorder="1" applyAlignment="1">
      <alignment horizontal="right"/>
    </xf>
    <xf numFmtId="3" fontId="30" fillId="20" borderId="29" xfId="0" applyNumberFormat="1" applyFont="1" applyFill="1" applyBorder="1" applyAlignment="1">
      <alignment horizontal="right" vertical="center"/>
    </xf>
    <xf numFmtId="3" fontId="30" fillId="26" borderId="76" xfId="0" applyNumberFormat="1" applyFont="1" applyFill="1" applyBorder="1" applyAlignment="1">
      <alignment horizontal="right"/>
    </xf>
    <xf numFmtId="0" fontId="5" fillId="25" borderId="14" xfId="0" applyFont="1" applyFill="1" applyBorder="1" applyAlignment="1">
      <alignment/>
    </xf>
    <xf numFmtId="0" fontId="5" fillId="25" borderId="17" xfId="0" applyFont="1" applyFill="1" applyBorder="1" applyAlignment="1">
      <alignment/>
    </xf>
    <xf numFmtId="3" fontId="55" fillId="24" borderId="77" xfId="0" applyNumberFormat="1" applyFont="1" applyFill="1" applyBorder="1" applyAlignment="1">
      <alignment horizontal="right"/>
    </xf>
    <xf numFmtId="0" fontId="9" fillId="24" borderId="18" xfId="0" applyFont="1" applyFill="1" applyBorder="1" applyAlignment="1">
      <alignment/>
    </xf>
    <xf numFmtId="0" fontId="9" fillId="24" borderId="14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6" fillId="2" borderId="45" xfId="0" applyNumberFormat="1" applyFont="1" applyFill="1" applyBorder="1" applyAlignment="1">
      <alignment horizontal="right"/>
    </xf>
    <xf numFmtId="3" fontId="6" fillId="2" borderId="7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6" fillId="2" borderId="18" xfId="0" applyNumberFormat="1" applyFont="1" applyFill="1" applyBorder="1" applyAlignment="1">
      <alignment horizontal="right"/>
    </xf>
    <xf numFmtId="3" fontId="6" fillId="2" borderId="21" xfId="0" applyNumberFormat="1" applyFont="1" applyFill="1" applyBorder="1" applyAlignment="1">
      <alignment horizontal="right"/>
    </xf>
    <xf numFmtId="3" fontId="6" fillId="2" borderId="27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6" fillId="25" borderId="46" xfId="0" applyNumberFormat="1" applyFont="1" applyFill="1" applyBorder="1" applyAlignment="1">
      <alignment/>
    </xf>
    <xf numFmtId="3" fontId="6" fillId="25" borderId="66" xfId="0" applyNumberFormat="1" applyFont="1" applyFill="1" applyBorder="1" applyAlignment="1">
      <alignment horizontal="right"/>
    </xf>
    <xf numFmtId="3" fontId="6" fillId="25" borderId="53" xfId="0" applyNumberFormat="1" applyFont="1" applyFill="1" applyBorder="1" applyAlignment="1">
      <alignment horizontal="right"/>
    </xf>
    <xf numFmtId="3" fontId="3" fillId="25" borderId="11" xfId="0" applyNumberFormat="1" applyFont="1" applyFill="1" applyBorder="1" applyAlignment="1">
      <alignment horizontal="left"/>
    </xf>
    <xf numFmtId="0" fontId="7" fillId="24" borderId="78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35" xfId="0" applyFont="1" applyFill="1" applyBorder="1" applyAlignment="1">
      <alignment/>
    </xf>
    <xf numFmtId="3" fontId="55" fillId="24" borderId="79" xfId="0" applyNumberFormat="1" applyFont="1" applyFill="1" applyBorder="1" applyAlignment="1">
      <alignment horizontal="right"/>
    </xf>
    <xf numFmtId="3" fontId="6" fillId="25" borderId="67" xfId="0" applyNumberFormat="1" applyFont="1" applyFill="1" applyBorder="1" applyAlignment="1">
      <alignment horizontal="right"/>
    </xf>
    <xf numFmtId="3" fontId="6" fillId="25" borderId="57" xfId="0" applyNumberFormat="1" applyFont="1" applyFill="1" applyBorder="1" applyAlignment="1">
      <alignment/>
    </xf>
    <xf numFmtId="3" fontId="6" fillId="25" borderId="70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right"/>
    </xf>
    <xf numFmtId="3" fontId="6" fillId="25" borderId="52" xfId="0" applyNumberFormat="1" applyFont="1" applyFill="1" applyBorder="1" applyAlignment="1">
      <alignment/>
    </xf>
    <xf numFmtId="3" fontId="6" fillId="2" borderId="52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3" fontId="5" fillId="2" borderId="66" xfId="0" applyNumberFormat="1" applyFont="1" applyFill="1" applyBorder="1" applyAlignment="1">
      <alignment horizontal="right"/>
    </xf>
    <xf numFmtId="3" fontId="6" fillId="2" borderId="80" xfId="0" applyNumberFormat="1" applyFont="1" applyFill="1" applyBorder="1" applyAlignment="1">
      <alignment horizontal="right"/>
    </xf>
    <xf numFmtId="0" fontId="3" fillId="0" borderId="33" xfId="0" applyFont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18" fillId="2" borderId="29" xfId="0" applyFont="1" applyFill="1" applyBorder="1" applyAlignment="1">
      <alignment/>
    </xf>
    <xf numFmtId="3" fontId="6" fillId="2" borderId="33" xfId="0" applyNumberFormat="1" applyFont="1" applyFill="1" applyBorder="1" applyAlignment="1">
      <alignment horizontal="right"/>
    </xf>
    <xf numFmtId="3" fontId="6" fillId="2" borderId="27" xfId="0" applyNumberFormat="1" applyFont="1" applyFill="1" applyBorder="1" applyAlignment="1">
      <alignment/>
    </xf>
    <xf numFmtId="0" fontId="0" fillId="0" borderId="21" xfId="0" applyBorder="1" applyAlignment="1">
      <alignment/>
    </xf>
    <xf numFmtId="3" fontId="6" fillId="2" borderId="56" xfId="0" applyNumberFormat="1" applyFont="1" applyFill="1" applyBorder="1" applyAlignment="1">
      <alignment/>
    </xf>
    <xf numFmtId="3" fontId="3" fillId="24" borderId="0" xfId="0" applyNumberFormat="1" applyFont="1" applyFill="1" applyBorder="1" applyAlignment="1">
      <alignment horizontal="left"/>
    </xf>
    <xf numFmtId="3" fontId="6" fillId="2" borderId="28" xfId="0" applyNumberFormat="1" applyFont="1" applyFill="1" applyBorder="1" applyAlignment="1">
      <alignment horizontal="right"/>
    </xf>
    <xf numFmtId="3" fontId="5" fillId="8" borderId="81" xfId="0" applyNumberFormat="1" applyFont="1" applyFill="1" applyBorder="1" applyAlignment="1">
      <alignment/>
    </xf>
    <xf numFmtId="3" fontId="6" fillId="2" borderId="16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0" fontId="37" fillId="26" borderId="49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49" fontId="1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32" fillId="24" borderId="0" xfId="0" applyFont="1" applyFill="1" applyBorder="1" applyAlignment="1">
      <alignment horizontal="center" vertical="center" wrapText="1"/>
    </xf>
    <xf numFmtId="3" fontId="2" fillId="24" borderId="0" xfId="0" applyNumberFormat="1" applyFont="1" applyFill="1" applyBorder="1" applyAlignment="1">
      <alignment/>
    </xf>
    <xf numFmtId="0" fontId="3" fillId="24" borderId="33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3" fontId="3" fillId="2" borderId="13" xfId="0" applyNumberFormat="1" applyFont="1" applyFill="1" applyBorder="1" applyAlignment="1">
      <alignment horizontal="left"/>
    </xf>
    <xf numFmtId="0" fontId="5" fillId="2" borderId="33" xfId="0" applyFont="1" applyFill="1" applyBorder="1" applyAlignment="1">
      <alignment/>
    </xf>
    <xf numFmtId="3" fontId="3" fillId="2" borderId="27" xfId="0" applyNumberFormat="1" applyFont="1" applyFill="1" applyBorder="1" applyAlignment="1">
      <alignment horizontal="left"/>
    </xf>
    <xf numFmtId="3" fontId="6" fillId="2" borderId="68" xfId="0" applyNumberFormat="1" applyFont="1" applyFill="1" applyBorder="1" applyAlignment="1">
      <alignment horizontal="right"/>
    </xf>
    <xf numFmtId="0" fontId="5" fillId="2" borderId="22" xfId="0" applyFont="1" applyFill="1" applyBorder="1" applyAlignment="1">
      <alignment/>
    </xf>
    <xf numFmtId="3" fontId="3" fillId="2" borderId="11" xfId="0" applyNumberFormat="1" applyFont="1" applyFill="1" applyBorder="1" applyAlignment="1">
      <alignment horizontal="left"/>
    </xf>
    <xf numFmtId="3" fontId="6" fillId="2" borderId="46" xfId="0" applyNumberFormat="1" applyFont="1" applyFill="1" applyBorder="1" applyAlignment="1">
      <alignment/>
    </xf>
    <xf numFmtId="0" fontId="12" fillId="2" borderId="22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3" fontId="3" fillId="2" borderId="13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left"/>
    </xf>
    <xf numFmtId="3" fontId="3" fillId="2" borderId="16" xfId="0" applyNumberFormat="1" applyFont="1" applyFill="1" applyBorder="1" applyAlignment="1">
      <alignment horizontal="left"/>
    </xf>
    <xf numFmtId="3" fontId="6" fillId="2" borderId="82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 horizontal="left"/>
    </xf>
    <xf numFmtId="3" fontId="3" fillId="25" borderId="10" xfId="0" applyNumberFormat="1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/>
    </xf>
    <xf numFmtId="4" fontId="1" fillId="24" borderId="0" xfId="0" applyNumberFormat="1" applyFont="1" applyFill="1" applyBorder="1" applyAlignment="1">
      <alignment/>
    </xf>
    <xf numFmtId="14" fontId="1" fillId="24" borderId="0" xfId="0" applyNumberFormat="1" applyFont="1" applyFill="1" applyBorder="1" applyAlignment="1">
      <alignment horizontal="center"/>
    </xf>
    <xf numFmtId="4" fontId="0" fillId="24" borderId="0" xfId="0" applyNumberFormat="1" applyFill="1" applyBorder="1" applyAlignment="1">
      <alignment/>
    </xf>
    <xf numFmtId="4" fontId="1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3" fontId="3" fillId="2" borderId="82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49" fontId="0" fillId="24" borderId="0" xfId="0" applyNumberForma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14" fontId="0" fillId="24" borderId="0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7" fillId="24" borderId="83" xfId="0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0" fontId="11" fillId="0" borderId="33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3" fillId="0" borderId="28" xfId="0" applyFont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3" fontId="49" fillId="29" borderId="12" xfId="0" applyNumberFormat="1" applyFont="1" applyFill="1" applyBorder="1" applyAlignment="1">
      <alignment horizontal="right" vertical="center"/>
    </xf>
    <xf numFmtId="3" fontId="49" fillId="29" borderId="14" xfId="0" applyNumberFormat="1" applyFont="1" applyFill="1" applyBorder="1" applyAlignment="1">
      <alignment horizontal="right" vertical="center"/>
    </xf>
    <xf numFmtId="3" fontId="49" fillId="29" borderId="54" xfId="0" applyNumberFormat="1" applyFont="1" applyFill="1" applyBorder="1" applyAlignment="1">
      <alignment horizontal="right"/>
    </xf>
    <xf numFmtId="3" fontId="49" fillId="29" borderId="45" xfId="0" applyNumberFormat="1" applyFont="1" applyFill="1" applyBorder="1" applyAlignment="1">
      <alignment horizontal="right"/>
    </xf>
    <xf numFmtId="3" fontId="49" fillId="29" borderId="54" xfId="0" applyNumberFormat="1" applyFont="1" applyFill="1" applyBorder="1" applyAlignment="1">
      <alignment horizontal="right"/>
    </xf>
    <xf numFmtId="3" fontId="49" fillId="29" borderId="10" xfId="0" applyNumberFormat="1" applyFont="1" applyFill="1" applyBorder="1" applyAlignment="1">
      <alignment horizontal="right"/>
    </xf>
    <xf numFmtId="3" fontId="49" fillId="29" borderId="45" xfId="0" applyNumberFormat="1" applyFont="1" applyFill="1" applyBorder="1" applyAlignment="1">
      <alignment horizontal="right"/>
    </xf>
    <xf numFmtId="0" fontId="35" fillId="26" borderId="39" xfId="0" applyFont="1" applyFill="1" applyBorder="1" applyAlignment="1">
      <alignment horizontal="left" vertical="center"/>
    </xf>
    <xf numFmtId="3" fontId="56" fillId="26" borderId="31" xfId="0" applyNumberFormat="1" applyFont="1" applyFill="1" applyBorder="1" applyAlignment="1">
      <alignment vertical="center"/>
    </xf>
    <xf numFmtId="3" fontId="56" fillId="26" borderId="36" xfId="0" applyNumberFormat="1" applyFont="1" applyFill="1" applyBorder="1" applyAlignment="1">
      <alignment vertical="center"/>
    </xf>
    <xf numFmtId="3" fontId="56" fillId="26" borderId="23" xfId="0" applyNumberFormat="1" applyFont="1" applyFill="1" applyBorder="1" applyAlignment="1">
      <alignment vertical="center"/>
    </xf>
    <xf numFmtId="3" fontId="56" fillId="27" borderId="23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/>
    </xf>
    <xf numFmtId="3" fontId="56" fillId="26" borderId="49" xfId="0" applyNumberFormat="1" applyFont="1" applyFill="1" applyBorder="1" applyAlignment="1">
      <alignment vertical="center"/>
    </xf>
    <xf numFmtId="3" fontId="56" fillId="26" borderId="50" xfId="0" applyNumberFormat="1" applyFont="1" applyFill="1" applyBorder="1" applyAlignment="1">
      <alignment vertical="center"/>
    </xf>
    <xf numFmtId="3" fontId="56" fillId="26" borderId="51" xfId="0" applyNumberFormat="1" applyFont="1" applyFill="1" applyBorder="1" applyAlignment="1">
      <alignment vertical="center"/>
    </xf>
    <xf numFmtId="0" fontId="19" fillId="25" borderId="22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29" xfId="0" applyFont="1" applyFill="1" applyBorder="1" applyAlignment="1">
      <alignment/>
    </xf>
    <xf numFmtId="0" fontId="8" fillId="8" borderId="18" xfId="0" applyFont="1" applyFill="1" applyBorder="1" applyAlignment="1">
      <alignment/>
    </xf>
    <xf numFmtId="0" fontId="8" fillId="8" borderId="21" xfId="0" applyFont="1" applyFill="1" applyBorder="1" applyAlignment="1">
      <alignment/>
    </xf>
    <xf numFmtId="0" fontId="19" fillId="25" borderId="19" xfId="0" applyFont="1" applyFill="1" applyBorder="1" applyAlignment="1">
      <alignment/>
    </xf>
    <xf numFmtId="0" fontId="57" fillId="2" borderId="19" xfId="0" applyFont="1" applyFill="1" applyBorder="1" applyAlignment="1">
      <alignment/>
    </xf>
    <xf numFmtId="3" fontId="17" fillId="2" borderId="12" xfId="0" applyNumberFormat="1" applyFont="1" applyFill="1" applyBorder="1" applyAlignment="1">
      <alignment horizontal="right"/>
    </xf>
    <xf numFmtId="3" fontId="17" fillId="2" borderId="13" xfId="0" applyNumberFormat="1" applyFont="1" applyFill="1" applyBorder="1" applyAlignment="1">
      <alignment horizontal="right"/>
    </xf>
    <xf numFmtId="3" fontId="17" fillId="2" borderId="13" xfId="0" applyNumberFormat="1" applyFont="1" applyFill="1" applyBorder="1" applyAlignment="1">
      <alignment/>
    </xf>
    <xf numFmtId="3" fontId="17" fillId="25" borderId="14" xfId="0" applyNumberFormat="1" applyFont="1" applyFill="1" applyBorder="1" applyAlignment="1">
      <alignment horizontal="right"/>
    </xf>
    <xf numFmtId="3" fontId="17" fillId="25" borderId="11" xfId="0" applyNumberFormat="1" applyFont="1" applyFill="1" applyBorder="1" applyAlignment="1">
      <alignment horizontal="right"/>
    </xf>
    <xf numFmtId="3" fontId="17" fillId="25" borderId="11" xfId="0" applyNumberFormat="1" applyFont="1" applyFill="1" applyBorder="1" applyAlignment="1">
      <alignment/>
    </xf>
    <xf numFmtId="3" fontId="17" fillId="25" borderId="12" xfId="0" applyNumberFormat="1" applyFont="1" applyFill="1" applyBorder="1" applyAlignment="1">
      <alignment horizontal="right"/>
    </xf>
    <xf numFmtId="3" fontId="17" fillId="25" borderId="13" xfId="0" applyNumberFormat="1" applyFont="1" applyFill="1" applyBorder="1" applyAlignment="1">
      <alignment horizontal="right"/>
    </xf>
    <xf numFmtId="3" fontId="17" fillId="25" borderId="13" xfId="0" applyNumberFormat="1" applyFont="1" applyFill="1" applyBorder="1" applyAlignment="1">
      <alignment/>
    </xf>
    <xf numFmtId="3" fontId="17" fillId="2" borderId="33" xfId="0" applyNumberFormat="1" applyFont="1" applyFill="1" applyBorder="1" applyAlignment="1">
      <alignment horizontal="right"/>
    </xf>
    <xf numFmtId="3" fontId="17" fillId="2" borderId="27" xfId="0" applyNumberFormat="1" applyFont="1" applyFill="1" applyBorder="1" applyAlignment="1">
      <alignment horizontal="right"/>
    </xf>
    <xf numFmtId="3" fontId="17" fillId="2" borderId="27" xfId="0" applyNumberFormat="1" applyFont="1" applyFill="1" applyBorder="1" applyAlignment="1">
      <alignment/>
    </xf>
    <xf numFmtId="3" fontId="17" fillId="2" borderId="14" xfId="0" applyNumberFormat="1" applyFont="1" applyFill="1" applyBorder="1" applyAlignment="1">
      <alignment horizontal="right"/>
    </xf>
    <xf numFmtId="3" fontId="17" fillId="2" borderId="11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69" fillId="2" borderId="13" xfId="0" applyNumberFormat="1" applyFont="1" applyFill="1" applyBorder="1" applyAlignment="1">
      <alignment/>
    </xf>
    <xf numFmtId="0" fontId="12" fillId="2" borderId="29" xfId="0" applyFont="1" applyFill="1" applyBorder="1" applyAlignment="1">
      <alignment/>
    </xf>
    <xf numFmtId="0" fontId="3" fillId="17" borderId="15" xfId="0" applyFont="1" applyFill="1" applyBorder="1" applyAlignment="1">
      <alignment horizontal="center"/>
    </xf>
    <xf numFmtId="0" fontId="19" fillId="17" borderId="78" xfId="0" applyFont="1" applyFill="1" applyBorder="1" applyAlignment="1">
      <alignment/>
    </xf>
    <xf numFmtId="0" fontId="50" fillId="17" borderId="21" xfId="0" applyFont="1" applyFill="1" applyBorder="1" applyAlignment="1">
      <alignment/>
    </xf>
    <xf numFmtId="0" fontId="50" fillId="17" borderId="12" xfId="0" applyFont="1" applyFill="1" applyBorder="1" applyAlignment="1">
      <alignment/>
    </xf>
    <xf numFmtId="3" fontId="19" fillId="17" borderId="84" xfId="0" applyNumberFormat="1" applyFont="1" applyFill="1" applyBorder="1" applyAlignment="1">
      <alignment horizontal="right"/>
    </xf>
    <xf numFmtId="0" fontId="39" fillId="23" borderId="15" xfId="0" applyFont="1" applyFill="1" applyBorder="1" applyAlignment="1">
      <alignment horizontal="center"/>
    </xf>
    <xf numFmtId="3" fontId="30" fillId="23" borderId="84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56" fillId="29" borderId="25" xfId="0" applyNumberFormat="1" applyFont="1" applyFill="1" applyBorder="1" applyAlignment="1">
      <alignment vertical="center"/>
    </xf>
    <xf numFmtId="3" fontId="30" fillId="30" borderId="85" xfId="0" applyNumberFormat="1" applyFont="1" applyFill="1" applyBorder="1" applyAlignment="1">
      <alignment/>
    </xf>
    <xf numFmtId="3" fontId="6" fillId="25" borderId="19" xfId="0" applyNumberFormat="1" applyFont="1" applyFill="1" applyBorder="1" applyAlignment="1">
      <alignment horizontal="right"/>
    </xf>
    <xf numFmtId="3" fontId="6" fillId="2" borderId="19" xfId="0" applyNumberFormat="1" applyFont="1" applyFill="1" applyBorder="1" applyAlignment="1">
      <alignment horizontal="right"/>
    </xf>
    <xf numFmtId="3" fontId="30" fillId="30" borderId="19" xfId="0" applyNumberFormat="1" applyFont="1" applyFill="1" applyBorder="1" applyAlignment="1">
      <alignment/>
    </xf>
    <xf numFmtId="3" fontId="30" fillId="30" borderId="29" xfId="0" applyNumberFormat="1" applyFont="1" applyFill="1" applyBorder="1" applyAlignment="1">
      <alignment/>
    </xf>
    <xf numFmtId="3" fontId="24" fillId="30" borderId="84" xfId="0" applyNumberFormat="1" applyFont="1" applyFill="1" applyBorder="1" applyAlignment="1">
      <alignment/>
    </xf>
    <xf numFmtId="3" fontId="6" fillId="25" borderId="86" xfId="0" applyNumberFormat="1" applyFont="1" applyFill="1" applyBorder="1" applyAlignment="1">
      <alignment horizontal="right"/>
    </xf>
    <xf numFmtId="3" fontId="6" fillId="2" borderId="86" xfId="0" applyNumberFormat="1" applyFont="1" applyFill="1" applyBorder="1" applyAlignment="1">
      <alignment horizontal="right"/>
    </xf>
    <xf numFmtId="3" fontId="6" fillId="2" borderId="77" xfId="0" applyNumberFormat="1" applyFont="1" applyFill="1" applyBorder="1" applyAlignment="1">
      <alignment horizontal="right"/>
    </xf>
    <xf numFmtId="3" fontId="6" fillId="2" borderId="84" xfId="0" applyNumberFormat="1" applyFont="1" applyFill="1" applyBorder="1" applyAlignment="1">
      <alignment horizontal="right"/>
    </xf>
    <xf numFmtId="3" fontId="24" fillId="30" borderId="77" xfId="0" applyNumberFormat="1" applyFont="1" applyFill="1" applyBorder="1" applyAlignment="1">
      <alignment/>
    </xf>
    <xf numFmtId="3" fontId="24" fillId="30" borderId="87" xfId="0" applyNumberFormat="1" applyFont="1" applyFill="1" applyBorder="1" applyAlignment="1">
      <alignment/>
    </xf>
    <xf numFmtId="3" fontId="56" fillId="29" borderId="88" xfId="0" applyNumberFormat="1" applyFont="1" applyFill="1" applyBorder="1" applyAlignment="1">
      <alignment vertical="center"/>
    </xf>
    <xf numFmtId="3" fontId="6" fillId="2" borderId="22" xfId="0" applyNumberFormat="1" applyFont="1" applyFill="1" applyBorder="1" applyAlignment="1">
      <alignment horizontal="right"/>
    </xf>
    <xf numFmtId="3" fontId="6" fillId="25" borderId="77" xfId="0" applyNumberFormat="1" applyFont="1" applyFill="1" applyBorder="1" applyAlignment="1">
      <alignment horizontal="right"/>
    </xf>
    <xf numFmtId="3" fontId="6" fillId="25" borderId="89" xfId="0" applyNumberFormat="1" applyFont="1" applyFill="1" applyBorder="1" applyAlignment="1">
      <alignment horizontal="right"/>
    </xf>
    <xf numFmtId="3" fontId="6" fillId="25" borderId="77" xfId="0" applyNumberFormat="1" applyFont="1" applyFill="1" applyBorder="1" applyAlignment="1">
      <alignment/>
    </xf>
    <xf numFmtId="3" fontId="6" fillId="25" borderId="89" xfId="0" applyNumberFormat="1" applyFont="1" applyFill="1" applyBorder="1" applyAlignment="1">
      <alignment/>
    </xf>
    <xf numFmtId="3" fontId="6" fillId="2" borderId="87" xfId="0" applyNumberFormat="1" applyFont="1" applyFill="1" applyBorder="1" applyAlignment="1">
      <alignment horizontal="right"/>
    </xf>
    <xf numFmtId="3" fontId="3" fillId="2" borderId="84" xfId="0" applyNumberFormat="1" applyFont="1" applyFill="1" applyBorder="1" applyAlignment="1">
      <alignment horizontal="left"/>
    </xf>
    <xf numFmtId="3" fontId="3" fillId="25" borderId="77" xfId="0" applyNumberFormat="1" applyFont="1" applyFill="1" applyBorder="1" applyAlignment="1">
      <alignment horizontal="left"/>
    </xf>
    <xf numFmtId="3" fontId="17" fillId="2" borderId="84" xfId="0" applyNumberFormat="1" applyFont="1" applyFill="1" applyBorder="1" applyAlignment="1">
      <alignment/>
    </xf>
    <xf numFmtId="3" fontId="3" fillId="2" borderId="87" xfId="0" applyNumberFormat="1" applyFont="1" applyFill="1" applyBorder="1" applyAlignment="1">
      <alignment horizontal="left"/>
    </xf>
    <xf numFmtId="3" fontId="26" fillId="29" borderId="88" xfId="0" applyNumberFormat="1" applyFont="1" applyFill="1" applyBorder="1" applyAlignment="1">
      <alignment vertical="center"/>
    </xf>
    <xf numFmtId="3" fontId="3" fillId="2" borderId="77" xfId="0" applyNumberFormat="1" applyFont="1" applyFill="1" applyBorder="1" applyAlignment="1">
      <alignment horizontal="right"/>
    </xf>
    <xf numFmtId="3" fontId="6" fillId="2" borderId="89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/>
    </xf>
    <xf numFmtId="3" fontId="6" fillId="6" borderId="19" xfId="0" applyNumberFormat="1" applyFont="1" applyFill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6" fillId="2" borderId="32" xfId="0" applyNumberFormat="1" applyFont="1" applyFill="1" applyBorder="1" applyAlignment="1">
      <alignment horizontal="right"/>
    </xf>
    <xf numFmtId="3" fontId="23" fillId="29" borderId="88" xfId="0" applyNumberFormat="1" applyFont="1" applyFill="1" applyBorder="1" applyAlignment="1">
      <alignment vertical="center"/>
    </xf>
    <xf numFmtId="3" fontId="5" fillId="2" borderId="79" xfId="0" applyNumberFormat="1" applyFont="1" applyFill="1" applyBorder="1" applyAlignment="1">
      <alignment/>
    </xf>
    <xf numFmtId="3" fontId="6" fillId="6" borderId="86" xfId="0" applyNumberFormat="1" applyFont="1" applyFill="1" applyBorder="1" applyAlignment="1">
      <alignment horizontal="right"/>
    </xf>
    <xf numFmtId="3" fontId="6" fillId="6" borderId="77" xfId="0" applyNumberFormat="1" applyFont="1" applyFill="1" applyBorder="1" applyAlignment="1">
      <alignment horizontal="right"/>
    </xf>
    <xf numFmtId="3" fontId="5" fillId="2" borderId="86" xfId="0" applyNumberFormat="1" applyFont="1" applyFill="1" applyBorder="1" applyAlignment="1">
      <alignment horizontal="right"/>
    </xf>
    <xf numFmtId="3" fontId="26" fillId="29" borderId="25" xfId="0" applyNumberFormat="1" applyFont="1" applyFill="1" applyBorder="1" applyAlignment="1">
      <alignment vertical="center"/>
    </xf>
    <xf numFmtId="3" fontId="6" fillId="25" borderId="84" xfId="0" applyNumberFormat="1" applyFont="1" applyFill="1" applyBorder="1" applyAlignment="1">
      <alignment/>
    </xf>
    <xf numFmtId="3" fontId="6" fillId="2" borderId="77" xfId="0" applyNumberFormat="1" applyFont="1" applyFill="1" applyBorder="1" applyAlignment="1">
      <alignment/>
    </xf>
    <xf numFmtId="3" fontId="6" fillId="2" borderId="90" xfId="0" applyNumberFormat="1" applyFont="1" applyFill="1" applyBorder="1" applyAlignment="1">
      <alignment horizontal="right"/>
    </xf>
    <xf numFmtId="3" fontId="6" fillId="25" borderId="22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6" fillId="24" borderId="28" xfId="0" applyNumberFormat="1" applyFont="1" applyFill="1" applyBorder="1" applyAlignment="1">
      <alignment horizontal="right"/>
    </xf>
    <xf numFmtId="178" fontId="0" fillId="0" borderId="0" xfId="49" applyNumberFormat="1" applyFont="1" applyAlignment="1">
      <alignment/>
    </xf>
    <xf numFmtId="3" fontId="0" fillId="0" borderId="0" xfId="0" applyNumberFormat="1" applyAlignment="1">
      <alignment vertical="center"/>
    </xf>
    <xf numFmtId="3" fontId="0" fillId="0" borderId="11" xfId="0" applyNumberFormat="1" applyBorder="1" applyAlignment="1">
      <alignment/>
    </xf>
    <xf numFmtId="3" fontId="44" fillId="0" borderId="11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  <xf numFmtId="3" fontId="42" fillId="0" borderId="11" xfId="0" applyNumberFormat="1" applyFont="1" applyBorder="1" applyAlignment="1">
      <alignment horizontal="right" wrapText="1"/>
    </xf>
    <xf numFmtId="3" fontId="9" fillId="0" borderId="0" xfId="0" applyNumberFormat="1" applyFont="1" applyAlignment="1">
      <alignment/>
    </xf>
    <xf numFmtId="3" fontId="6" fillId="25" borderId="57" xfId="0" applyNumberFormat="1" applyFont="1" applyFill="1" applyBorder="1" applyAlignment="1">
      <alignment horizontal="right"/>
    </xf>
    <xf numFmtId="3" fontId="6" fillId="2" borderId="57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19" fillId="15" borderId="57" xfId="0" applyNumberFormat="1" applyFont="1" applyFill="1" applyBorder="1" applyAlignment="1">
      <alignment/>
    </xf>
    <xf numFmtId="3" fontId="19" fillId="15" borderId="70" xfId="0" applyNumberFormat="1" applyFont="1" applyFill="1" applyBorder="1" applyAlignment="1">
      <alignment/>
    </xf>
    <xf numFmtId="3" fontId="6" fillId="25" borderId="70" xfId="0" applyNumberFormat="1" applyFont="1" applyFill="1" applyBorder="1" applyAlignment="1">
      <alignment horizontal="right"/>
    </xf>
    <xf numFmtId="3" fontId="19" fillId="15" borderId="68" xfId="0" applyNumberFormat="1" applyFont="1" applyFill="1" applyBorder="1" applyAlignment="1">
      <alignment/>
    </xf>
    <xf numFmtId="3" fontId="8" fillId="11" borderId="91" xfId="0" applyNumberFormat="1" applyFont="1" applyFill="1" applyBorder="1" applyAlignment="1">
      <alignment vertical="center"/>
    </xf>
    <xf numFmtId="3" fontId="55" fillId="2" borderId="84" xfId="0" applyNumberFormat="1" applyFont="1" applyFill="1" applyBorder="1" applyAlignment="1">
      <alignment/>
    </xf>
    <xf numFmtId="3" fontId="55" fillId="2" borderId="68" xfId="0" applyNumberFormat="1" applyFont="1" applyFill="1" applyBorder="1" applyAlignment="1">
      <alignment/>
    </xf>
    <xf numFmtId="3" fontId="6" fillId="2" borderId="70" xfId="0" applyNumberFormat="1" applyFont="1" applyFill="1" applyBorder="1" applyAlignment="1">
      <alignment horizontal="right"/>
    </xf>
    <xf numFmtId="3" fontId="6" fillId="15" borderId="57" xfId="0" applyNumberFormat="1" applyFont="1" applyFill="1" applyBorder="1" applyAlignment="1">
      <alignment horizontal="right"/>
    </xf>
    <xf numFmtId="0" fontId="0" fillId="24" borderId="56" xfId="0" applyFill="1" applyBorder="1" applyAlignment="1">
      <alignment/>
    </xf>
    <xf numFmtId="3" fontId="15" fillId="24" borderId="0" xfId="0" applyNumberFormat="1" applyFont="1" applyFill="1" applyBorder="1" applyAlignment="1">
      <alignment/>
    </xf>
    <xf numFmtId="0" fontId="0" fillId="18" borderId="92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49" fontId="78" fillId="18" borderId="92" xfId="0" applyNumberFormat="1" applyFont="1" applyFill="1" applyBorder="1" applyAlignment="1">
      <alignment/>
    </xf>
    <xf numFmtId="49" fontId="78" fillId="18" borderId="68" xfId="0" applyNumberFormat="1" applyFont="1" applyFill="1" applyBorder="1" applyAlignment="1">
      <alignment/>
    </xf>
    <xf numFmtId="3" fontId="3" fillId="25" borderId="84" xfId="0" applyNumberFormat="1" applyFont="1" applyFill="1" applyBorder="1" applyAlignment="1">
      <alignment horizontal="left"/>
    </xf>
    <xf numFmtId="0" fontId="17" fillId="25" borderId="2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5" fillId="2" borderId="22" xfId="0" applyFont="1" applyFill="1" applyBorder="1" applyAlignment="1">
      <alignment/>
    </xf>
    <xf numFmtId="0" fontId="1" fillId="18" borderId="10" xfId="0" applyFont="1" applyFill="1" applyBorder="1" applyAlignment="1">
      <alignment horizontal="center"/>
    </xf>
    <xf numFmtId="0" fontId="3" fillId="18" borderId="14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0" fillId="26" borderId="83" xfId="0" applyFont="1" applyFill="1" applyBorder="1" applyAlignment="1">
      <alignment horizontal="left" vertical="center"/>
    </xf>
    <xf numFmtId="0" fontId="43" fillId="26" borderId="18" xfId="0" applyFont="1" applyFill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66" fillId="8" borderId="11" xfId="0" applyFont="1" applyFill="1" applyBorder="1" applyAlignment="1">
      <alignment horizontal="center"/>
    </xf>
    <xf numFmtId="0" fontId="3" fillId="8" borderId="14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3" fontId="17" fillId="2" borderId="11" xfId="0" applyNumberFormat="1" applyFont="1" applyFill="1" applyBorder="1" applyAlignment="1">
      <alignment horizontal="right"/>
    </xf>
    <xf numFmtId="0" fontId="14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/>
    </xf>
    <xf numFmtId="0" fontId="53" fillId="26" borderId="93" xfId="0" applyFont="1" applyFill="1" applyBorder="1" applyAlignment="1">
      <alignment horizontal="left" vertical="center"/>
    </xf>
    <xf numFmtId="0" fontId="77" fillId="23" borderId="12" xfId="0" applyFont="1" applyFill="1" applyBorder="1" applyAlignment="1">
      <alignment/>
    </xf>
    <xf numFmtId="3" fontId="19" fillId="15" borderId="19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" fillId="18" borderId="46" xfId="0" applyFont="1" applyFill="1" applyBorder="1" applyAlignment="1">
      <alignment horizontal="center"/>
    </xf>
    <xf numFmtId="3" fontId="6" fillId="2" borderId="29" xfId="0" applyNumberFormat="1" applyFont="1" applyFill="1" applyBorder="1" applyAlignment="1">
      <alignment horizontal="right"/>
    </xf>
    <xf numFmtId="3" fontId="5" fillId="2" borderId="57" xfId="0" applyNumberFormat="1" applyFont="1" applyFill="1" applyBorder="1" applyAlignment="1">
      <alignment/>
    </xf>
    <xf numFmtId="3" fontId="6" fillId="6" borderId="57" xfId="0" applyNumberFormat="1" applyFont="1" applyFill="1" applyBorder="1" applyAlignment="1">
      <alignment horizontal="right"/>
    </xf>
    <xf numFmtId="3" fontId="5" fillId="2" borderId="57" xfId="0" applyNumberFormat="1" applyFont="1" applyFill="1" applyBorder="1" applyAlignment="1">
      <alignment horizontal="right"/>
    </xf>
    <xf numFmtId="0" fontId="0" fillId="18" borderId="68" xfId="0" applyFont="1" applyFill="1" applyBorder="1" applyAlignment="1">
      <alignment/>
    </xf>
    <xf numFmtId="0" fontId="79" fillId="18" borderId="94" xfId="0" applyFont="1" applyFill="1" applyBorder="1" applyAlignment="1">
      <alignment/>
    </xf>
    <xf numFmtId="0" fontId="0" fillId="18" borderId="5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5" fillId="2" borderId="53" xfId="0" applyNumberFormat="1" applyFont="1" applyFill="1" applyBorder="1" applyAlignment="1">
      <alignment horizontal="right"/>
    </xf>
    <xf numFmtId="3" fontId="3" fillId="2" borderId="68" xfId="0" applyNumberFormat="1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0" fillId="18" borderId="68" xfId="0" applyFill="1" applyBorder="1" applyAlignment="1">
      <alignment/>
    </xf>
    <xf numFmtId="3" fontId="8" fillId="11" borderId="92" xfId="0" applyNumberFormat="1" applyFont="1" applyFill="1" applyBorder="1" applyAlignment="1">
      <alignment vertical="center"/>
    </xf>
    <xf numFmtId="3" fontId="19" fillId="15" borderId="95" xfId="0" applyNumberFormat="1" applyFont="1" applyFill="1" applyBorder="1" applyAlignment="1">
      <alignment/>
    </xf>
    <xf numFmtId="3" fontId="6" fillId="2" borderId="68" xfId="0" applyNumberFormat="1" applyFont="1" applyFill="1" applyBorder="1" applyAlignment="1">
      <alignment/>
    </xf>
    <xf numFmtId="0" fontId="6" fillId="2" borderId="77" xfId="0" applyFont="1" applyFill="1" applyBorder="1" applyAlignment="1">
      <alignment/>
    </xf>
    <xf numFmtId="3" fontId="6" fillId="2" borderId="96" xfId="0" applyNumberFormat="1" applyFont="1" applyFill="1" applyBorder="1" applyAlignment="1">
      <alignment horizontal="right"/>
    </xf>
    <xf numFmtId="3" fontId="6" fillId="2" borderId="79" xfId="0" applyNumberFormat="1" applyFont="1" applyFill="1" applyBorder="1" applyAlignment="1">
      <alignment horizontal="right"/>
    </xf>
    <xf numFmtId="3" fontId="6" fillId="2" borderId="55" xfId="0" applyNumberFormat="1" applyFont="1" applyFill="1" applyBorder="1" applyAlignment="1">
      <alignment horizontal="right"/>
    </xf>
    <xf numFmtId="3" fontId="6" fillId="2" borderId="52" xfId="0" applyNumberFormat="1" applyFont="1" applyFill="1" applyBorder="1" applyAlignment="1">
      <alignment horizontal="right"/>
    </xf>
    <xf numFmtId="3" fontId="80" fillId="24" borderId="0" xfId="0" applyNumberFormat="1" applyFont="1" applyFill="1" applyBorder="1" applyAlignment="1">
      <alignment/>
    </xf>
    <xf numFmtId="3" fontId="6" fillId="2" borderId="57" xfId="0" applyNumberFormat="1" applyFont="1" applyFill="1" applyBorder="1" applyAlignment="1">
      <alignment/>
    </xf>
    <xf numFmtId="0" fontId="29" fillId="18" borderId="94" xfId="0" applyFont="1" applyFill="1" applyBorder="1" applyAlignment="1">
      <alignment/>
    </xf>
    <xf numFmtId="0" fontId="0" fillId="18" borderId="56" xfId="0" applyFill="1" applyBorder="1" applyAlignment="1">
      <alignment horizontal="center"/>
    </xf>
    <xf numFmtId="3" fontId="6" fillId="2" borderId="56" xfId="0" applyNumberFormat="1" applyFont="1" applyFill="1" applyBorder="1" applyAlignment="1">
      <alignment horizontal="right"/>
    </xf>
    <xf numFmtId="3" fontId="6" fillId="2" borderId="82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0" fontId="0" fillId="18" borderId="56" xfId="0" applyFill="1" applyBorder="1" applyAlignment="1">
      <alignment/>
    </xf>
    <xf numFmtId="0" fontId="1" fillId="18" borderId="68" xfId="0" applyFont="1" applyFill="1" applyBorder="1" applyAlignment="1">
      <alignment/>
    </xf>
    <xf numFmtId="3" fontId="30" fillId="29" borderId="78" xfId="0" applyNumberFormat="1" applyFont="1" applyFill="1" applyBorder="1" applyAlignment="1">
      <alignment horizontal="right"/>
    </xf>
    <xf numFmtId="3" fontId="30" fillId="29" borderId="83" xfId="0" applyNumberFormat="1" applyFont="1" applyFill="1" applyBorder="1" applyAlignment="1">
      <alignment horizontal="right"/>
    </xf>
    <xf numFmtId="4" fontId="55" fillId="0" borderId="83" xfId="0" applyNumberFormat="1" applyFont="1" applyBorder="1" applyAlignment="1">
      <alignment horizontal="right"/>
    </xf>
    <xf numFmtId="3" fontId="55" fillId="0" borderId="83" xfId="0" applyNumberFormat="1" applyFont="1" applyBorder="1" applyAlignment="1">
      <alignment horizontal="right"/>
    </xf>
    <xf numFmtId="3" fontId="55" fillId="0" borderId="83" xfId="0" applyNumberFormat="1" applyFont="1" applyFill="1" applyBorder="1" applyAlignment="1">
      <alignment horizontal="right"/>
    </xf>
    <xf numFmtId="4" fontId="19" fillId="8" borderId="97" xfId="0" applyNumberFormat="1" applyFont="1" applyFill="1" applyBorder="1" applyAlignment="1">
      <alignment horizontal="right"/>
    </xf>
    <xf numFmtId="4" fontId="19" fillId="8" borderId="78" xfId="0" applyNumberFormat="1" applyFont="1" applyFill="1" applyBorder="1" applyAlignment="1">
      <alignment horizontal="right"/>
    </xf>
    <xf numFmtId="4" fontId="19" fillId="8" borderId="98" xfId="0" applyNumberFormat="1" applyFont="1" applyFill="1" applyBorder="1" applyAlignment="1">
      <alignment horizontal="right"/>
    </xf>
    <xf numFmtId="49" fontId="70" fillId="23" borderId="54" xfId="0" applyNumberFormat="1" applyFont="1" applyFill="1" applyBorder="1" applyAlignment="1">
      <alignment horizontal="center" vertical="center" wrapText="1"/>
    </xf>
    <xf numFmtId="49" fontId="70" fillId="23" borderId="85" xfId="0" applyNumberFormat="1" applyFont="1" applyFill="1" applyBorder="1" applyAlignment="1">
      <alignment horizontal="center" vertical="center" wrapText="1"/>
    </xf>
    <xf numFmtId="3" fontId="30" fillId="23" borderId="15" xfId="0" applyNumberFormat="1" applyFont="1" applyFill="1" applyBorder="1" applyAlignment="1">
      <alignment horizontal="right"/>
    </xf>
    <xf numFmtId="3" fontId="30" fillId="23" borderId="77" xfId="0" applyNumberFormat="1" applyFont="1" applyFill="1" applyBorder="1" applyAlignment="1">
      <alignment horizontal="right"/>
    </xf>
    <xf numFmtId="3" fontId="30" fillId="23" borderId="10" xfId="0" applyNumberFormat="1" applyFont="1" applyFill="1" applyBorder="1" applyAlignment="1">
      <alignment horizontal="right"/>
    </xf>
    <xf numFmtId="3" fontId="30" fillId="23" borderId="77" xfId="0" applyNumberFormat="1" applyFont="1" applyFill="1" applyBorder="1" applyAlignment="1">
      <alignment horizontal="right"/>
    </xf>
    <xf numFmtId="3" fontId="55" fillId="0" borderId="10" xfId="0" applyNumberFormat="1" applyFont="1" applyBorder="1" applyAlignment="1">
      <alignment horizontal="right"/>
    </xf>
    <xf numFmtId="3" fontId="55" fillId="0" borderId="77" xfId="0" applyNumberFormat="1" applyFont="1" applyBorder="1" applyAlignment="1">
      <alignment horizontal="right"/>
    </xf>
    <xf numFmtId="3" fontId="55" fillId="0" borderId="10" xfId="0" applyNumberFormat="1" applyFont="1" applyFill="1" applyBorder="1" applyAlignment="1">
      <alignment horizontal="right"/>
    </xf>
    <xf numFmtId="3" fontId="55" fillId="0" borderId="77" xfId="0" applyNumberFormat="1" applyFont="1" applyFill="1" applyBorder="1" applyAlignment="1">
      <alignment horizontal="right"/>
    </xf>
    <xf numFmtId="3" fontId="19" fillId="8" borderId="20" xfId="0" applyNumberFormat="1" applyFont="1" applyFill="1" applyBorder="1" applyAlignment="1">
      <alignment horizontal="right"/>
    </xf>
    <xf numFmtId="3" fontId="19" fillId="8" borderId="79" xfId="0" applyNumberFormat="1" applyFont="1" applyFill="1" applyBorder="1" applyAlignment="1">
      <alignment horizontal="right"/>
    </xf>
    <xf numFmtId="3" fontId="19" fillId="8" borderId="15" xfId="0" applyNumberFormat="1" applyFont="1" applyFill="1" applyBorder="1" applyAlignment="1">
      <alignment horizontal="right"/>
    </xf>
    <xf numFmtId="3" fontId="19" fillId="8" borderId="84" xfId="0" applyNumberFormat="1" applyFont="1" applyFill="1" applyBorder="1" applyAlignment="1">
      <alignment horizontal="right"/>
    </xf>
    <xf numFmtId="3" fontId="19" fillId="8" borderId="16" xfId="0" applyNumberFormat="1" applyFont="1" applyFill="1" applyBorder="1" applyAlignment="1">
      <alignment horizontal="right"/>
    </xf>
    <xf numFmtId="3" fontId="19" fillId="8" borderId="87" xfId="0" applyNumberFormat="1" applyFont="1" applyFill="1" applyBorder="1" applyAlignment="1">
      <alignment horizontal="right"/>
    </xf>
    <xf numFmtId="0" fontId="7" fillId="8" borderId="78" xfId="0" applyFont="1" applyFill="1" applyBorder="1" applyAlignment="1">
      <alignment/>
    </xf>
    <xf numFmtId="0" fontId="7" fillId="8" borderId="83" xfId="0" applyFont="1" applyFill="1" applyBorder="1" applyAlignment="1">
      <alignment/>
    </xf>
    <xf numFmtId="0" fontId="17" fillId="0" borderId="83" xfId="0" applyFont="1" applyBorder="1" applyAlignment="1">
      <alignment/>
    </xf>
    <xf numFmtId="0" fontId="8" fillId="0" borderId="83" xfId="0" applyFont="1" applyBorder="1" applyAlignment="1">
      <alignment horizontal="left"/>
    </xf>
    <xf numFmtId="0" fontId="8" fillId="0" borderId="83" xfId="0" applyFont="1" applyBorder="1" applyAlignment="1">
      <alignment/>
    </xf>
    <xf numFmtId="0" fontId="8" fillId="8" borderId="98" xfId="0" applyFont="1" applyFill="1" applyBorder="1" applyAlignment="1">
      <alignment horizontal="left" vertical="center"/>
    </xf>
    <xf numFmtId="49" fontId="70" fillId="29" borderId="54" xfId="0" applyNumberFormat="1" applyFont="1" applyFill="1" applyBorder="1" applyAlignment="1">
      <alignment horizontal="center" vertical="center" wrapText="1"/>
    </xf>
    <xf numFmtId="3" fontId="30" fillId="29" borderId="15" xfId="0" applyNumberFormat="1" applyFont="1" applyFill="1" applyBorder="1" applyAlignment="1">
      <alignment horizontal="right"/>
    </xf>
    <xf numFmtId="3" fontId="30" fillId="29" borderId="10" xfId="0" applyNumberFormat="1" applyFont="1" applyFill="1" applyBorder="1" applyAlignment="1">
      <alignment horizontal="right"/>
    </xf>
    <xf numFmtId="4" fontId="55" fillId="0" borderId="10" xfId="0" applyNumberFormat="1" applyFont="1" applyBorder="1" applyAlignment="1">
      <alignment horizontal="right"/>
    </xf>
    <xf numFmtId="4" fontId="19" fillId="8" borderId="46" xfId="0" applyNumberFormat="1" applyFont="1" applyFill="1" applyBorder="1" applyAlignment="1">
      <alignment horizontal="right"/>
    </xf>
    <xf numFmtId="4" fontId="19" fillId="8" borderId="15" xfId="0" applyNumberFormat="1" applyFont="1" applyFill="1" applyBorder="1" applyAlignment="1">
      <alignment horizontal="right"/>
    </xf>
    <xf numFmtId="4" fontId="19" fillId="8" borderId="16" xfId="0" applyNumberFormat="1" applyFont="1" applyFill="1" applyBorder="1" applyAlignment="1">
      <alignment horizontal="right"/>
    </xf>
    <xf numFmtId="3" fontId="42" fillId="0" borderId="11" xfId="0" applyNumberFormat="1" applyFont="1" applyBorder="1" applyAlignment="1">
      <alignment/>
    </xf>
    <xf numFmtId="49" fontId="3" fillId="24" borderId="14" xfId="0" applyNumberFormat="1" applyFont="1" applyFill="1" applyBorder="1" applyAlignment="1">
      <alignment horizontal="center"/>
    </xf>
    <xf numFmtId="3" fontId="54" fillId="29" borderId="14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/>
    </xf>
    <xf numFmtId="3" fontId="38" fillId="15" borderId="12" xfId="0" applyNumberFormat="1" applyFont="1" applyFill="1" applyBorder="1" applyAlignment="1">
      <alignment horizontal="right" vertical="center"/>
    </xf>
    <xf numFmtId="3" fontId="38" fillId="15" borderId="14" xfId="0" applyNumberFormat="1" applyFont="1" applyFill="1" applyBorder="1" applyAlignment="1">
      <alignment horizontal="right" vertical="center"/>
    </xf>
    <xf numFmtId="49" fontId="23" fillId="27" borderId="27" xfId="0" applyNumberFormat="1" applyFont="1" applyFill="1" applyBorder="1" applyAlignment="1">
      <alignment horizontal="center" vertical="center"/>
    </xf>
    <xf numFmtId="49" fontId="23" fillId="27" borderId="33" xfId="0" applyNumberFormat="1" applyFont="1" applyFill="1" applyBorder="1" applyAlignment="1">
      <alignment horizontal="center" vertical="center"/>
    </xf>
    <xf numFmtId="49" fontId="54" fillId="27" borderId="33" xfId="0" applyNumberFormat="1" applyFont="1" applyFill="1" applyBorder="1" applyAlignment="1">
      <alignment horizontal="center" vertical="center"/>
    </xf>
    <xf numFmtId="0" fontId="52" fillId="27" borderId="28" xfId="0" applyFont="1" applyFill="1" applyBorder="1" applyAlignment="1">
      <alignment vertical="center"/>
    </xf>
    <xf numFmtId="0" fontId="54" fillId="27" borderId="33" xfId="0" applyFont="1" applyFill="1" applyBorder="1" applyAlignment="1">
      <alignment vertical="center"/>
    </xf>
    <xf numFmtId="3" fontId="49" fillId="29" borderId="3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3" fontId="16" fillId="28" borderId="14" xfId="0" applyNumberFormat="1" applyFont="1" applyFill="1" applyBorder="1" applyAlignment="1">
      <alignment horizontal="right"/>
    </xf>
    <xf numFmtId="3" fontId="7" fillId="28" borderId="14" xfId="0" applyNumberFormat="1" applyFont="1" applyFill="1" applyBorder="1" applyAlignment="1">
      <alignment horizontal="right" vertical="center"/>
    </xf>
    <xf numFmtId="3" fontId="58" fillId="0" borderId="0" xfId="0" applyNumberFormat="1" applyFont="1" applyAlignment="1">
      <alignment horizontal="left" wrapText="1"/>
    </xf>
    <xf numFmtId="3" fontId="0" fillId="0" borderId="0" xfId="0" applyNumberFormat="1" applyFont="1" applyFill="1" applyBorder="1" applyAlignment="1">
      <alignment/>
    </xf>
    <xf numFmtId="3" fontId="38" fillId="17" borderId="54" xfId="0" applyNumberFormat="1" applyFont="1" applyFill="1" applyBorder="1" applyAlignment="1">
      <alignment horizontal="right"/>
    </xf>
    <xf numFmtId="3" fontId="42" fillId="17" borderId="11" xfId="0" applyNumberFormat="1" applyFont="1" applyFill="1" applyBorder="1" applyAlignment="1">
      <alignment/>
    </xf>
    <xf numFmtId="3" fontId="38" fillId="17" borderId="45" xfId="0" applyNumberFormat="1" applyFont="1" applyFill="1" applyBorder="1" applyAlignment="1">
      <alignment horizontal="right"/>
    </xf>
    <xf numFmtId="3" fontId="38" fillId="17" borderId="10" xfId="0" applyNumberFormat="1" applyFont="1" applyFill="1" applyBorder="1" applyAlignment="1">
      <alignment horizontal="right"/>
    </xf>
    <xf numFmtId="3" fontId="81" fillId="17" borderId="26" xfId="0" applyNumberFormat="1" applyFont="1" applyFill="1" applyBorder="1" applyAlignment="1">
      <alignment/>
    </xf>
    <xf numFmtId="172" fontId="42" fillId="0" borderId="77" xfId="0" applyNumberFormat="1" applyFont="1" applyBorder="1" applyAlignment="1">
      <alignment/>
    </xf>
    <xf numFmtId="3" fontId="42" fillId="0" borderId="26" xfId="0" applyNumberFormat="1" applyFont="1" applyBorder="1" applyAlignment="1">
      <alignment/>
    </xf>
    <xf numFmtId="172" fontId="42" fillId="0" borderId="89" xfId="0" applyNumberFormat="1" applyFont="1" applyBorder="1" applyAlignment="1">
      <alignment/>
    </xf>
    <xf numFmtId="172" fontId="42" fillId="0" borderId="77" xfId="0" applyNumberFormat="1" applyFont="1" applyBorder="1" applyAlignment="1">
      <alignment horizontal="right" wrapText="1"/>
    </xf>
    <xf numFmtId="172" fontId="44" fillId="15" borderId="77" xfId="0" applyNumberFormat="1" applyFont="1" applyFill="1" applyBorder="1" applyAlignment="1">
      <alignment vertical="center"/>
    </xf>
    <xf numFmtId="172" fontId="44" fillId="28" borderId="77" xfId="0" applyNumberFormat="1" applyFont="1" applyFill="1" applyBorder="1" applyAlignment="1">
      <alignment/>
    </xf>
    <xf numFmtId="172" fontId="44" fillId="0" borderId="77" xfId="0" applyNumberFormat="1" applyFont="1" applyBorder="1" applyAlignment="1">
      <alignment/>
    </xf>
    <xf numFmtId="3" fontId="44" fillId="28" borderId="11" xfId="0" applyNumberFormat="1" applyFont="1" applyFill="1" applyBorder="1" applyAlignment="1">
      <alignment/>
    </xf>
    <xf numFmtId="3" fontId="9" fillId="28" borderId="11" xfId="0" applyNumberFormat="1" applyFont="1" applyFill="1" applyBorder="1" applyAlignment="1">
      <alignment/>
    </xf>
    <xf numFmtId="0" fontId="3" fillId="2" borderId="77" xfId="0" applyFont="1" applyFill="1" applyBorder="1" applyAlignment="1">
      <alignment/>
    </xf>
    <xf numFmtId="0" fontId="3" fillId="2" borderId="84" xfId="0" applyFont="1" applyFill="1" applyBorder="1" applyAlignment="1">
      <alignment/>
    </xf>
    <xf numFmtId="0" fontId="5" fillId="2" borderId="84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6" fillId="8" borderId="19" xfId="0" applyFont="1" applyFill="1" applyBorder="1" applyAlignment="1">
      <alignment/>
    </xf>
    <xf numFmtId="0" fontId="12" fillId="2" borderId="77" xfId="0" applyFont="1" applyFill="1" applyBorder="1" applyAlignment="1">
      <alignment/>
    </xf>
    <xf numFmtId="0" fontId="5" fillId="25" borderId="77" xfId="0" applyFont="1" applyFill="1" applyBorder="1" applyAlignment="1">
      <alignment/>
    </xf>
    <xf numFmtId="0" fontId="6" fillId="2" borderId="84" xfId="0" applyFont="1" applyFill="1" applyBorder="1" applyAlignment="1">
      <alignment/>
    </xf>
    <xf numFmtId="0" fontId="55" fillId="17" borderId="78" xfId="0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3" fillId="0" borderId="83" xfId="0" applyFont="1" applyBorder="1" applyAlignment="1">
      <alignment/>
    </xf>
    <xf numFmtId="49" fontId="3" fillId="24" borderId="11" xfId="0" applyNumberFormat="1" applyFont="1" applyFill="1" applyBorder="1" applyAlignment="1">
      <alignment horizontal="center"/>
    </xf>
    <xf numFmtId="3" fontId="44" fillId="0" borderId="13" xfId="0" applyNumberFormat="1" applyFont="1" applyBorder="1" applyAlignment="1">
      <alignment/>
    </xf>
    <xf numFmtId="172" fontId="44" fillId="0" borderId="84" xfId="0" applyNumberFormat="1" applyFont="1" applyBorder="1" applyAlignment="1">
      <alignment/>
    </xf>
    <xf numFmtId="3" fontId="5" fillId="24" borderId="14" xfId="0" applyNumberFormat="1" applyFont="1" applyFill="1" applyBorder="1" applyAlignment="1">
      <alignment horizontal="right"/>
    </xf>
    <xf numFmtId="0" fontId="3" fillId="0" borderId="45" xfId="0" applyFont="1" applyFill="1" applyBorder="1" applyAlignment="1">
      <alignment horizontal="center" vertical="center"/>
    </xf>
    <xf numFmtId="0" fontId="5" fillId="0" borderId="83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 horizontal="right"/>
    </xf>
    <xf numFmtId="3" fontId="42" fillId="0" borderId="0" xfId="0" applyNumberFormat="1" applyFont="1" applyBorder="1" applyAlignment="1">
      <alignment/>
    </xf>
    <xf numFmtId="172" fontId="4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4" fillId="24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49" fontId="4" fillId="24" borderId="33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2" fillId="24" borderId="33" xfId="0" applyNumberFormat="1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3" fillId="24" borderId="33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56" fillId="27" borderId="23" xfId="0" applyNumberFormat="1" applyFont="1" applyFill="1" applyBorder="1" applyAlignment="1">
      <alignment vertical="center"/>
    </xf>
    <xf numFmtId="3" fontId="30" fillId="30" borderId="77" xfId="0" applyNumberFormat="1" applyFont="1" applyFill="1" applyBorder="1" applyAlignment="1">
      <alignment/>
    </xf>
    <xf numFmtId="3" fontId="30" fillId="30" borderId="84" xfId="0" applyNumberFormat="1" applyFont="1" applyFill="1" applyBorder="1" applyAlignment="1">
      <alignment/>
    </xf>
    <xf numFmtId="3" fontId="30" fillId="20" borderId="68" xfId="0" applyNumberFormat="1" applyFont="1" applyFill="1" applyBorder="1" applyAlignment="1">
      <alignment/>
    </xf>
    <xf numFmtId="3" fontId="30" fillId="30" borderId="57" xfId="0" applyNumberFormat="1" applyFont="1" applyFill="1" applyBorder="1" applyAlignment="1">
      <alignment/>
    </xf>
    <xf numFmtId="0" fontId="31" fillId="24" borderId="0" xfId="0" applyFont="1" applyFill="1" applyBorder="1" applyAlignment="1">
      <alignment/>
    </xf>
    <xf numFmtId="3" fontId="26" fillId="27" borderId="99" xfId="0" applyNumberFormat="1" applyFont="1" applyFill="1" applyBorder="1" applyAlignment="1">
      <alignment vertical="center"/>
    </xf>
    <xf numFmtId="3" fontId="30" fillId="30" borderId="100" xfId="0" applyNumberFormat="1" applyFont="1" applyFill="1" applyBorder="1" applyAlignment="1">
      <alignment/>
    </xf>
    <xf numFmtId="3" fontId="54" fillId="30" borderId="84" xfId="0" applyNumberFormat="1" applyFont="1" applyFill="1" applyBorder="1" applyAlignment="1">
      <alignment/>
    </xf>
    <xf numFmtId="3" fontId="54" fillId="20" borderId="68" xfId="0" applyNumberFormat="1" applyFont="1" applyFill="1" applyBorder="1" applyAlignment="1">
      <alignment/>
    </xf>
    <xf numFmtId="3" fontId="54" fillId="20" borderId="57" xfId="0" applyNumberFormat="1" applyFont="1" applyFill="1" applyBorder="1" applyAlignment="1">
      <alignment/>
    </xf>
    <xf numFmtId="3" fontId="54" fillId="30" borderId="77" xfId="0" applyNumberFormat="1" applyFont="1" applyFill="1" applyBorder="1" applyAlignment="1">
      <alignment/>
    </xf>
    <xf numFmtId="3" fontId="54" fillId="24" borderId="0" xfId="0" applyNumberFormat="1" applyFont="1" applyFill="1" applyBorder="1" applyAlignment="1">
      <alignment/>
    </xf>
    <xf numFmtId="3" fontId="23" fillId="27" borderId="99" xfId="0" applyNumberFormat="1" applyFont="1" applyFill="1" applyBorder="1" applyAlignment="1">
      <alignment vertical="center"/>
    </xf>
    <xf numFmtId="3" fontId="54" fillId="30" borderId="100" xfId="0" applyNumberFormat="1" applyFont="1" applyFill="1" applyBorder="1" applyAlignment="1">
      <alignment/>
    </xf>
    <xf numFmtId="0" fontId="31" fillId="24" borderId="0" xfId="0" applyFont="1" applyFill="1" applyAlignment="1">
      <alignment/>
    </xf>
    <xf numFmtId="3" fontId="26" fillId="29" borderId="48" xfId="0" applyNumberFormat="1" applyFont="1" applyFill="1" applyBorder="1" applyAlignment="1">
      <alignment vertical="center"/>
    </xf>
    <xf numFmtId="3" fontId="30" fillId="30" borderId="22" xfId="0" applyNumberFormat="1" applyFont="1" applyFill="1" applyBorder="1" applyAlignment="1">
      <alignment/>
    </xf>
    <xf numFmtId="3" fontId="30" fillId="30" borderId="19" xfId="0" applyNumberFormat="1" applyFont="1" applyFill="1" applyBorder="1" applyAlignment="1">
      <alignment/>
    </xf>
    <xf numFmtId="3" fontId="30" fillId="30" borderId="85" xfId="0" applyNumberFormat="1" applyFont="1" applyFill="1" applyBorder="1" applyAlignment="1">
      <alignment/>
    </xf>
    <xf numFmtId="3" fontId="26" fillId="24" borderId="0" xfId="0" applyNumberFormat="1" applyFont="1" applyFill="1" applyBorder="1" applyAlignment="1">
      <alignment/>
    </xf>
    <xf numFmtId="3" fontId="26" fillId="27" borderId="23" xfId="0" applyNumberFormat="1" applyFont="1" applyFill="1" applyBorder="1" applyAlignment="1">
      <alignment vertical="center"/>
    </xf>
    <xf numFmtId="3" fontId="54" fillId="20" borderId="15" xfId="0" applyNumberFormat="1" applyFont="1" applyFill="1" applyBorder="1" applyAlignment="1">
      <alignment/>
    </xf>
    <xf numFmtId="3" fontId="54" fillId="20" borderId="10" xfId="0" applyNumberFormat="1" applyFont="1" applyFill="1" applyBorder="1" applyAlignment="1">
      <alignment/>
    </xf>
    <xf numFmtId="3" fontId="30" fillId="30" borderId="32" xfId="0" applyNumberFormat="1" applyFont="1" applyFill="1" applyBorder="1" applyAlignment="1">
      <alignment/>
    </xf>
    <xf numFmtId="3" fontId="54" fillId="20" borderId="45" xfId="0" applyNumberFormat="1" applyFont="1" applyFill="1" applyBorder="1" applyAlignment="1">
      <alignment/>
    </xf>
    <xf numFmtId="3" fontId="26" fillId="29" borderId="101" xfId="0" applyNumberFormat="1" applyFont="1" applyFill="1" applyBorder="1" applyAlignment="1">
      <alignment vertical="center"/>
    </xf>
    <xf numFmtId="3" fontId="30" fillId="30" borderId="89" xfId="0" applyNumberFormat="1" applyFont="1" applyFill="1" applyBorder="1" applyAlignment="1">
      <alignment/>
    </xf>
    <xf numFmtId="3" fontId="26" fillId="29" borderId="79" xfId="0" applyNumberFormat="1" applyFont="1" applyFill="1" applyBorder="1" applyAlignment="1">
      <alignment vertical="center"/>
    </xf>
    <xf numFmtId="3" fontId="24" fillId="30" borderId="100" xfId="0" applyNumberFormat="1" applyFont="1" applyFill="1" applyBorder="1" applyAlignment="1">
      <alignment/>
    </xf>
    <xf numFmtId="3" fontId="24" fillId="30" borderId="77" xfId="0" applyNumberFormat="1" applyFont="1" applyFill="1" applyBorder="1" applyAlignment="1">
      <alignment/>
    </xf>
    <xf numFmtId="3" fontId="24" fillId="30" borderId="84" xfId="0" applyNumberFormat="1" applyFont="1" applyFill="1" applyBorder="1" applyAlignment="1">
      <alignment/>
    </xf>
    <xf numFmtId="0" fontId="3" fillId="18" borderId="35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3" fontId="30" fillId="29" borderId="84" xfId="0" applyNumberFormat="1" applyFont="1" applyFill="1" applyBorder="1" applyAlignment="1">
      <alignment horizontal="right" vertical="center"/>
    </xf>
    <xf numFmtId="0" fontId="53" fillId="26" borderId="102" xfId="0" applyFont="1" applyFill="1" applyBorder="1" applyAlignment="1">
      <alignment horizontal="left" vertical="center"/>
    </xf>
    <xf numFmtId="0" fontId="77" fillId="23" borderId="21" xfId="0" applyFont="1" applyFill="1" applyBorder="1" applyAlignment="1">
      <alignment/>
    </xf>
    <xf numFmtId="173" fontId="3" fillId="0" borderId="91" xfId="0" applyNumberFormat="1" applyFont="1" applyFill="1" applyBorder="1" applyAlignment="1">
      <alignment vertical="center"/>
    </xf>
    <xf numFmtId="173" fontId="3" fillId="0" borderId="68" xfId="0" applyNumberFormat="1" applyFont="1" applyFill="1" applyBorder="1" applyAlignment="1">
      <alignment/>
    </xf>
    <xf numFmtId="173" fontId="3" fillId="0" borderId="57" xfId="0" applyNumberFormat="1" applyFont="1" applyFill="1" applyBorder="1" applyAlignment="1">
      <alignment horizontal="right"/>
    </xf>
    <xf numFmtId="173" fontId="3" fillId="0" borderId="57" xfId="0" applyNumberFormat="1" applyFont="1" applyFill="1" applyBorder="1" applyAlignment="1">
      <alignment/>
    </xf>
    <xf numFmtId="173" fontId="3" fillId="0" borderId="70" xfId="0" applyNumberFormat="1" applyFont="1" applyFill="1" applyBorder="1" applyAlignment="1">
      <alignment horizontal="right"/>
    </xf>
    <xf numFmtId="0" fontId="3" fillId="18" borderId="57" xfId="0" applyFont="1" applyFill="1" applyBorder="1" applyAlignment="1">
      <alignment horizontal="center"/>
    </xf>
    <xf numFmtId="173" fontId="3" fillId="0" borderId="57" xfId="33" applyNumberFormat="1" applyFont="1" applyFill="1" applyBorder="1" applyAlignment="1">
      <alignment vertical="center"/>
    </xf>
    <xf numFmtId="173" fontId="3" fillId="0" borderId="57" xfId="33" applyNumberFormat="1" applyFont="1" applyFill="1" applyBorder="1" applyAlignment="1">
      <alignment/>
    </xf>
    <xf numFmtId="173" fontId="3" fillId="0" borderId="57" xfId="33" applyNumberFormat="1" applyFont="1" applyFill="1" applyBorder="1" applyAlignment="1">
      <alignment horizontal="right"/>
    </xf>
    <xf numFmtId="173" fontId="3" fillId="0" borderId="70" xfId="33" applyNumberFormat="1" applyFont="1" applyFill="1" applyBorder="1" applyAlignment="1">
      <alignment horizontal="right"/>
    </xf>
    <xf numFmtId="173" fontId="3" fillId="0" borderId="19" xfId="0" applyNumberFormat="1" applyFont="1" applyFill="1" applyBorder="1" applyAlignment="1">
      <alignment horizontal="right"/>
    </xf>
    <xf numFmtId="173" fontId="3" fillId="0" borderId="19" xfId="0" applyNumberFormat="1" applyFont="1" applyFill="1" applyBorder="1" applyAlignment="1">
      <alignment/>
    </xf>
    <xf numFmtId="173" fontId="3" fillId="0" borderId="32" xfId="0" applyNumberFormat="1" applyFont="1" applyFill="1" applyBorder="1" applyAlignment="1">
      <alignment horizontal="right"/>
    </xf>
    <xf numFmtId="173" fontId="3" fillId="0" borderId="57" xfId="0" applyNumberFormat="1" applyFont="1" applyFill="1" applyBorder="1" applyAlignment="1">
      <alignment vertical="center"/>
    </xf>
    <xf numFmtId="4" fontId="3" fillId="0" borderId="57" xfId="0" applyNumberFormat="1" applyFont="1" applyFill="1" applyBorder="1" applyAlignment="1">
      <alignment vertical="center"/>
    </xf>
    <xf numFmtId="4" fontId="3" fillId="0" borderId="57" xfId="0" applyNumberFormat="1" applyFont="1" applyFill="1" applyBorder="1" applyAlignment="1">
      <alignment/>
    </xf>
    <xf numFmtId="4" fontId="3" fillId="0" borderId="57" xfId="0" applyNumberFormat="1" applyFont="1" applyFill="1" applyBorder="1" applyAlignment="1">
      <alignment horizontal="right"/>
    </xf>
    <xf numFmtId="4" fontId="3" fillId="0" borderId="70" xfId="0" applyNumberFormat="1" applyFont="1" applyFill="1" applyBorder="1" applyAlignment="1">
      <alignment horizontal="right"/>
    </xf>
    <xf numFmtId="173" fontId="3" fillId="0" borderId="70" xfId="0" applyNumberFormat="1" applyFont="1" applyFill="1" applyBorder="1" applyAlignment="1">
      <alignment/>
    </xf>
    <xf numFmtId="173" fontId="3" fillId="0" borderId="19" xfId="0" applyNumberFormat="1" applyFont="1" applyFill="1" applyBorder="1" applyAlignment="1">
      <alignment vertical="center"/>
    </xf>
    <xf numFmtId="4" fontId="19" fillId="8" borderId="75" xfId="0" applyNumberFormat="1" applyFont="1" applyFill="1" applyBorder="1" applyAlignment="1">
      <alignment horizontal="right"/>
    </xf>
    <xf numFmtId="4" fontId="19" fillId="8" borderId="21" xfId="0" applyNumberFormat="1" applyFont="1" applyFill="1" applyBorder="1" applyAlignment="1">
      <alignment horizontal="right"/>
    </xf>
    <xf numFmtId="4" fontId="19" fillId="8" borderId="28" xfId="0" applyNumberFormat="1" applyFont="1" applyFill="1" applyBorder="1" applyAlignment="1">
      <alignment horizontal="right"/>
    </xf>
    <xf numFmtId="3" fontId="30" fillId="29" borderId="79" xfId="0" applyNumberFormat="1" applyFont="1" applyFill="1" applyBorder="1" applyAlignment="1">
      <alignment horizontal="right" vertical="center"/>
    </xf>
    <xf numFmtId="3" fontId="19" fillId="8" borderId="24" xfId="0" applyNumberFormat="1" applyFont="1" applyFill="1" applyBorder="1" applyAlignment="1">
      <alignment horizontal="right"/>
    </xf>
    <xf numFmtId="3" fontId="19" fillId="8" borderId="22" xfId="0" applyNumberFormat="1" applyFont="1" applyFill="1" applyBorder="1" applyAlignment="1">
      <alignment horizontal="right"/>
    </xf>
    <xf numFmtId="3" fontId="30" fillId="23" borderId="90" xfId="0" applyNumberFormat="1" applyFont="1" applyFill="1" applyBorder="1" applyAlignment="1">
      <alignment horizontal="right" vertical="center"/>
    </xf>
    <xf numFmtId="3" fontId="30" fillId="23" borderId="22" xfId="0" applyNumberFormat="1" applyFont="1" applyFill="1" applyBorder="1" applyAlignment="1">
      <alignment horizontal="right" vertical="center"/>
    </xf>
    <xf numFmtId="3" fontId="19" fillId="8" borderId="29" xfId="0" applyNumberFormat="1" applyFont="1" applyFill="1" applyBorder="1" applyAlignment="1">
      <alignment horizontal="right"/>
    </xf>
    <xf numFmtId="0" fontId="0" fillId="18" borderId="56" xfId="0" applyFont="1" applyFill="1" applyBorder="1" applyAlignment="1">
      <alignment/>
    </xf>
    <xf numFmtId="173" fontId="42" fillId="0" borderId="77" xfId="0" applyNumberFormat="1" applyFont="1" applyBorder="1" applyAlignment="1">
      <alignment/>
    </xf>
    <xf numFmtId="3" fontId="42" fillId="0" borderId="11" xfId="0" applyNumberFormat="1" applyFont="1" applyFill="1" applyBorder="1" applyAlignment="1">
      <alignment/>
    </xf>
    <xf numFmtId="3" fontId="0" fillId="0" borderId="64" xfId="0" applyNumberFormat="1" applyFont="1" applyBorder="1" applyAlignment="1">
      <alignment/>
    </xf>
    <xf numFmtId="3" fontId="38" fillId="17" borderId="44" xfId="0" applyNumberFormat="1" applyFont="1" applyFill="1" applyBorder="1" applyAlignment="1">
      <alignment horizontal="right" vertical="center"/>
    </xf>
    <xf numFmtId="3" fontId="6" fillId="2" borderId="52" xfId="0" applyNumberFormat="1" applyFont="1" applyFill="1" applyBorder="1" applyAlignment="1">
      <alignment vertical="center"/>
    </xf>
    <xf numFmtId="3" fontId="6" fillId="2" borderId="57" xfId="0" applyNumberFormat="1" applyFont="1" applyFill="1" applyBorder="1" applyAlignment="1">
      <alignment vertical="center"/>
    </xf>
    <xf numFmtId="3" fontId="3" fillId="2" borderId="77" xfId="0" applyNumberFormat="1" applyFont="1" applyFill="1" applyBorder="1" applyAlignment="1">
      <alignment horizontal="left"/>
    </xf>
    <xf numFmtId="3" fontId="6" fillId="2" borderId="57" xfId="0" applyNumberFormat="1" applyFont="1" applyFill="1" applyBorder="1" applyAlignment="1">
      <alignment horizontal="right" vertical="center"/>
    </xf>
    <xf numFmtId="3" fontId="17" fillId="2" borderId="12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55" fillId="0" borderId="19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4" fontId="58" fillId="0" borderId="0" xfId="0" applyNumberFormat="1" applyFont="1" applyAlignment="1">
      <alignment horizontal="left" wrapText="1"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 vertical="center"/>
    </xf>
    <xf numFmtId="173" fontId="42" fillId="0" borderId="86" xfId="0" applyNumberFormat="1" applyFont="1" applyBorder="1" applyAlignment="1">
      <alignment/>
    </xf>
    <xf numFmtId="49" fontId="3" fillId="24" borderId="14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4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42" fillId="28" borderId="64" xfId="0" applyNumberFormat="1" applyFont="1" applyFill="1" applyBorder="1" applyAlignment="1">
      <alignment/>
    </xf>
    <xf numFmtId="3" fontId="44" fillId="28" borderId="13" xfId="0" applyNumberFormat="1" applyFont="1" applyFill="1" applyBorder="1" applyAlignment="1">
      <alignment/>
    </xf>
    <xf numFmtId="0" fontId="3" fillId="24" borderId="17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3" fontId="6" fillId="24" borderId="14" xfId="0" applyNumberFormat="1" applyFont="1" applyFill="1" applyBorder="1" applyAlignment="1">
      <alignment horizontal="right" vertical="center"/>
    </xf>
    <xf numFmtId="3" fontId="42" fillId="0" borderId="11" xfId="0" applyNumberFormat="1" applyFont="1" applyFill="1" applyBorder="1" applyAlignment="1">
      <alignment vertical="center"/>
    </xf>
    <xf numFmtId="173" fontId="42" fillId="0" borderId="77" xfId="0" applyNumberFormat="1" applyFont="1" applyBorder="1" applyAlignment="1">
      <alignment vertical="center"/>
    </xf>
    <xf numFmtId="3" fontId="6" fillId="2" borderId="12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83" fillId="2" borderId="77" xfId="0" applyNumberFormat="1" applyFont="1" applyFill="1" applyBorder="1" applyAlignment="1">
      <alignment/>
    </xf>
    <xf numFmtId="3" fontId="43" fillId="2" borderId="68" xfId="0" applyNumberFormat="1" applyFont="1" applyFill="1" applyBorder="1" applyAlignment="1">
      <alignment/>
    </xf>
    <xf numFmtId="3" fontId="6" fillId="2" borderId="57" xfId="0" applyNumberFormat="1" applyFont="1" applyFill="1" applyBorder="1" applyAlignment="1">
      <alignment/>
    </xf>
    <xf numFmtId="0" fontId="6" fillId="8" borderId="21" xfId="0" applyFont="1" applyFill="1" applyBorder="1" applyAlignment="1">
      <alignment/>
    </xf>
    <xf numFmtId="3" fontId="6" fillId="2" borderId="83" xfId="0" applyNumberFormat="1" applyFont="1" applyFill="1" applyBorder="1" applyAlignment="1">
      <alignment horizontal="left"/>
    </xf>
    <xf numFmtId="0" fontId="6" fillId="2" borderId="18" xfId="0" applyFont="1" applyFill="1" applyBorder="1" applyAlignment="1">
      <alignment/>
    </xf>
    <xf numFmtId="3" fontId="6" fillId="2" borderId="15" xfId="0" applyNumberFormat="1" applyFont="1" applyFill="1" applyBorder="1" applyAlignment="1">
      <alignment horizontal="right"/>
    </xf>
    <xf numFmtId="3" fontId="6" fillId="25" borderId="57" xfId="0" applyNumberFormat="1" applyFont="1" applyFill="1" applyBorder="1" applyAlignment="1">
      <alignment/>
    </xf>
    <xf numFmtId="3" fontId="19" fillId="25" borderId="12" xfId="0" applyNumberFormat="1" applyFont="1" applyFill="1" applyBorder="1" applyAlignment="1">
      <alignment horizontal="right"/>
    </xf>
    <xf numFmtId="3" fontId="19" fillId="25" borderId="13" xfId="0" applyNumberFormat="1" applyFont="1" applyFill="1" applyBorder="1" applyAlignment="1">
      <alignment horizontal="right"/>
    </xf>
    <xf numFmtId="3" fontId="19" fillId="25" borderId="13" xfId="0" applyNumberFormat="1" applyFont="1" applyFill="1" applyBorder="1" applyAlignment="1">
      <alignment/>
    </xf>
    <xf numFmtId="3" fontId="19" fillId="25" borderId="77" xfId="0" applyNumberFormat="1" applyFont="1" applyFill="1" applyBorder="1" applyAlignment="1">
      <alignment horizontal="right"/>
    </xf>
    <xf numFmtId="3" fontId="19" fillId="25" borderId="57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/>
    </xf>
    <xf numFmtId="3" fontId="6" fillId="2" borderId="57" xfId="0" applyNumberFormat="1" applyFont="1" applyFill="1" applyBorder="1" applyAlignment="1">
      <alignment horizontal="right"/>
    </xf>
    <xf numFmtId="3" fontId="6" fillId="2" borderId="84" xfId="0" applyNumberFormat="1" applyFont="1" applyFill="1" applyBorder="1" applyAlignment="1">
      <alignment horizontal="right"/>
    </xf>
    <xf numFmtId="3" fontId="6" fillId="2" borderId="70" xfId="0" applyNumberFormat="1" applyFont="1" applyFill="1" applyBorder="1" applyAlignment="1">
      <alignment horizontal="right"/>
    </xf>
    <xf numFmtId="49" fontId="4" fillId="24" borderId="64" xfId="0" applyNumberFormat="1" applyFont="1" applyFill="1" applyBorder="1" applyAlignment="1">
      <alignment horizontal="center"/>
    </xf>
    <xf numFmtId="49" fontId="4" fillId="24" borderId="65" xfId="0" applyNumberFormat="1" applyFont="1" applyFill="1" applyBorder="1" applyAlignment="1">
      <alignment horizontal="center"/>
    </xf>
    <xf numFmtId="49" fontId="3" fillId="24" borderId="65" xfId="0" applyNumberFormat="1" applyFont="1" applyFill="1" applyBorder="1" applyAlignment="1">
      <alignment horizontal="center"/>
    </xf>
    <xf numFmtId="3" fontId="6" fillId="24" borderId="65" xfId="0" applyNumberFormat="1" applyFont="1" applyFill="1" applyBorder="1" applyAlignment="1">
      <alignment horizontal="right"/>
    </xf>
    <xf numFmtId="3" fontId="42" fillId="0" borderId="64" xfId="0" applyNumberFormat="1" applyFont="1" applyFill="1" applyBorder="1" applyAlignment="1">
      <alignment/>
    </xf>
    <xf numFmtId="3" fontId="6" fillId="2" borderId="52" xfId="0" applyNumberFormat="1" applyFont="1" applyFill="1" applyBorder="1" applyAlignment="1">
      <alignment/>
    </xf>
    <xf numFmtId="3" fontId="36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2" fillId="0" borderId="0" xfId="0" applyFont="1" applyAlignment="1">
      <alignment/>
    </xf>
    <xf numFmtId="172" fontId="44" fillId="17" borderId="77" xfId="0" applyNumberFormat="1" applyFont="1" applyFill="1" applyBorder="1" applyAlignment="1">
      <alignment/>
    </xf>
    <xf numFmtId="172" fontId="42" fillId="17" borderId="77" xfId="0" applyNumberFormat="1" applyFont="1" applyFill="1" applyBorder="1" applyAlignment="1">
      <alignment/>
    </xf>
    <xf numFmtId="172" fontId="44" fillId="17" borderId="89" xfId="0" applyNumberFormat="1" applyFont="1" applyFill="1" applyBorder="1" applyAlignment="1">
      <alignment/>
    </xf>
    <xf numFmtId="3" fontId="42" fillId="0" borderId="0" xfId="0" applyNumberFormat="1" applyFont="1" applyAlignment="1">
      <alignment/>
    </xf>
    <xf numFmtId="173" fontId="44" fillId="28" borderId="77" xfId="0" applyNumberFormat="1" applyFont="1" applyFill="1" applyBorder="1" applyAlignment="1">
      <alignment/>
    </xf>
    <xf numFmtId="173" fontId="42" fillId="28" borderId="86" xfId="0" applyNumberFormat="1" applyFont="1" applyFill="1" applyBorder="1" applyAlignment="1">
      <alignment/>
    </xf>
    <xf numFmtId="173" fontId="44" fillId="28" borderId="84" xfId="0" applyNumberFormat="1" applyFont="1" applyFill="1" applyBorder="1" applyAlignment="1">
      <alignment/>
    </xf>
    <xf numFmtId="173" fontId="42" fillId="0" borderId="32" xfId="0" applyNumberFormat="1" applyFont="1" applyBorder="1" applyAlignment="1">
      <alignment/>
    </xf>
    <xf numFmtId="173" fontId="42" fillId="0" borderId="0" xfId="0" applyNumberFormat="1" applyFont="1" applyBorder="1" applyAlignment="1">
      <alignment/>
    </xf>
    <xf numFmtId="173" fontId="5" fillId="28" borderId="19" xfId="0" applyNumberFormat="1" applyFont="1" applyFill="1" applyBorder="1" applyAlignment="1">
      <alignment horizontal="right" vertical="center"/>
    </xf>
    <xf numFmtId="173" fontId="44" fillId="17" borderId="76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73" fontId="36" fillId="0" borderId="0" xfId="49" applyNumberFormat="1" applyFont="1" applyFill="1" applyAlignment="1">
      <alignment/>
    </xf>
    <xf numFmtId="173" fontId="1" fillId="0" borderId="0" xfId="49" applyNumberFormat="1" applyFont="1" applyBorder="1" applyAlignment="1">
      <alignment/>
    </xf>
    <xf numFmtId="173" fontId="3" fillId="24" borderId="91" xfId="49" applyNumberFormat="1" applyFont="1" applyFill="1" applyBorder="1" applyAlignment="1">
      <alignment vertical="center"/>
    </xf>
    <xf numFmtId="173" fontId="3" fillId="24" borderId="68" xfId="49" applyNumberFormat="1" applyFont="1" applyFill="1" applyBorder="1" applyAlignment="1">
      <alignment/>
    </xf>
    <xf numFmtId="173" fontId="3" fillId="24" borderId="57" xfId="49" applyNumberFormat="1" applyFont="1" applyFill="1" applyBorder="1" applyAlignment="1">
      <alignment horizontal="right"/>
    </xf>
    <xf numFmtId="173" fontId="3" fillId="24" borderId="57" xfId="49" applyNumberFormat="1" applyFont="1" applyFill="1" applyBorder="1" applyAlignment="1">
      <alignment/>
    </xf>
    <xf numFmtId="173" fontId="3" fillId="24" borderId="70" xfId="49" applyNumberFormat="1" applyFont="1" applyFill="1" applyBorder="1" applyAlignment="1">
      <alignment/>
    </xf>
    <xf numFmtId="173" fontId="1" fillId="0" borderId="0" xfId="49" applyNumberFormat="1" applyFont="1" applyAlignment="1">
      <alignment/>
    </xf>
    <xf numFmtId="173" fontId="0" fillId="24" borderId="0" xfId="0" applyNumberFormat="1" applyFill="1" applyBorder="1" applyAlignment="1">
      <alignment/>
    </xf>
    <xf numFmtId="173" fontId="3" fillId="24" borderId="57" xfId="0" applyNumberFormat="1" applyFont="1" applyFill="1" applyBorder="1" applyAlignment="1">
      <alignment vertical="center"/>
    </xf>
    <xf numFmtId="173" fontId="3" fillId="24" borderId="57" xfId="0" applyNumberFormat="1" applyFont="1" applyFill="1" applyBorder="1" applyAlignment="1">
      <alignment/>
    </xf>
    <xf numFmtId="173" fontId="3" fillId="24" borderId="57" xfId="0" applyNumberFormat="1" applyFont="1" applyFill="1" applyBorder="1" applyAlignment="1">
      <alignment horizontal="right"/>
    </xf>
    <xf numFmtId="173" fontId="3" fillId="24" borderId="70" xfId="0" applyNumberFormat="1" applyFont="1" applyFill="1" applyBorder="1" applyAlignment="1">
      <alignment/>
    </xf>
    <xf numFmtId="173" fontId="1" fillId="0" borderId="0" xfId="49" applyNumberFormat="1" applyFont="1" applyFill="1" applyAlignment="1">
      <alignment/>
    </xf>
    <xf numFmtId="173" fontId="13" fillId="0" borderId="91" xfId="49" applyNumberFormat="1" applyFont="1" applyFill="1" applyBorder="1" applyAlignment="1">
      <alignment vertical="center"/>
    </xf>
    <xf numFmtId="173" fontId="3" fillId="0" borderId="68" xfId="49" applyNumberFormat="1" applyFont="1" applyFill="1" applyBorder="1" applyAlignment="1">
      <alignment/>
    </xf>
    <xf numFmtId="173" fontId="3" fillId="0" borderId="57" xfId="49" applyNumberFormat="1" applyFont="1" applyFill="1" applyBorder="1" applyAlignment="1">
      <alignment horizontal="right"/>
    </xf>
    <xf numFmtId="173" fontId="3" fillId="0" borderId="57" xfId="49" applyNumberFormat="1" applyFont="1" applyFill="1" applyBorder="1" applyAlignment="1">
      <alignment/>
    </xf>
    <xf numFmtId="173" fontId="3" fillId="0" borderId="70" xfId="49" applyNumberFormat="1" applyFont="1" applyFill="1" applyBorder="1" applyAlignment="1">
      <alignment/>
    </xf>
    <xf numFmtId="49" fontId="28" fillId="18" borderId="103" xfId="0" applyNumberFormat="1" applyFont="1" applyFill="1" applyBorder="1" applyAlignment="1">
      <alignment/>
    </xf>
    <xf numFmtId="49" fontId="28" fillId="18" borderId="104" xfId="0" applyNumberFormat="1" applyFont="1" applyFill="1" applyBorder="1" applyAlignment="1">
      <alignment/>
    </xf>
    <xf numFmtId="49" fontId="28" fillId="18" borderId="96" xfId="0" applyNumberFormat="1" applyFont="1" applyFill="1" applyBorder="1" applyAlignment="1">
      <alignment/>
    </xf>
    <xf numFmtId="49" fontId="28" fillId="18" borderId="24" xfId="0" applyNumberFormat="1" applyFont="1" applyFill="1" applyBorder="1" applyAlignment="1">
      <alignment/>
    </xf>
    <xf numFmtId="49" fontId="28" fillId="18" borderId="53" xfId="0" applyNumberFormat="1" applyFont="1" applyFill="1" applyBorder="1" applyAlignment="1">
      <alignment/>
    </xf>
    <xf numFmtId="49" fontId="28" fillId="18" borderId="22" xfId="0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173" fontId="3" fillId="0" borderId="52" xfId="0" applyNumberFormat="1" applyFont="1" applyFill="1" applyBorder="1" applyAlignment="1">
      <alignment vertical="center"/>
    </xf>
    <xf numFmtId="3" fontId="36" fillId="24" borderId="0" xfId="0" applyNumberFormat="1" applyFont="1" applyFill="1" applyAlignment="1">
      <alignment/>
    </xf>
    <xf numFmtId="3" fontId="4" fillId="24" borderId="0" xfId="0" applyNumberFormat="1" applyFont="1" applyFill="1" applyBorder="1" applyAlignment="1">
      <alignment/>
    </xf>
    <xf numFmtId="0" fontId="4" fillId="18" borderId="95" xfId="0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23" fillId="27" borderId="91" xfId="0" applyNumberFormat="1" applyFont="1" applyFill="1" applyBorder="1" applyAlignment="1">
      <alignment vertical="center"/>
    </xf>
    <xf numFmtId="173" fontId="3" fillId="0" borderId="56" xfId="0" applyNumberFormat="1" applyFont="1" applyFill="1" applyBorder="1" applyAlignment="1">
      <alignment horizontal="right"/>
    </xf>
    <xf numFmtId="173" fontId="3" fillId="0" borderId="82" xfId="0" applyNumberFormat="1" applyFont="1" applyFill="1" applyBorder="1" applyAlignment="1">
      <alignment horizontal="right"/>
    </xf>
    <xf numFmtId="49" fontId="25" fillId="29" borderId="100" xfId="0" applyNumberFormat="1" applyFont="1" applyFill="1" applyBorder="1" applyAlignment="1">
      <alignment horizontal="center" vertical="center" wrapText="1"/>
    </xf>
    <xf numFmtId="173" fontId="24" fillId="29" borderId="84" xfId="0" applyNumberFormat="1" applyFont="1" applyFill="1" applyBorder="1" applyAlignment="1">
      <alignment horizontal="right"/>
    </xf>
    <xf numFmtId="173" fontId="24" fillId="29" borderId="77" xfId="0" applyNumberFormat="1" applyFont="1" applyFill="1" applyBorder="1" applyAlignment="1">
      <alignment horizontal="right"/>
    </xf>
    <xf numFmtId="173" fontId="6" fillId="0" borderId="77" xfId="0" applyNumberFormat="1" applyFont="1" applyBorder="1" applyAlignment="1">
      <alignment horizontal="right"/>
    </xf>
    <xf numFmtId="173" fontId="6" fillId="0" borderId="77" xfId="0" applyNumberFormat="1" applyFont="1" applyFill="1" applyBorder="1" applyAlignment="1">
      <alignment horizontal="right"/>
    </xf>
    <xf numFmtId="173" fontId="24" fillId="23" borderId="22" xfId="0" applyNumberFormat="1" applyFont="1" applyFill="1" applyBorder="1" applyAlignment="1">
      <alignment horizontal="right"/>
    </xf>
    <xf numFmtId="173" fontId="24" fillId="23" borderId="19" xfId="0" applyNumberFormat="1" applyFont="1" applyFill="1" applyBorder="1" applyAlignment="1">
      <alignment horizontal="right"/>
    </xf>
    <xf numFmtId="173" fontId="6" fillId="0" borderId="19" xfId="0" applyNumberFormat="1" applyFont="1" applyBorder="1" applyAlignment="1">
      <alignment horizontal="right"/>
    </xf>
    <xf numFmtId="173" fontId="6" fillId="0" borderId="19" xfId="0" applyNumberFormat="1" applyFont="1" applyFill="1" applyBorder="1" applyAlignment="1">
      <alignment horizontal="right"/>
    </xf>
    <xf numFmtId="0" fontId="39" fillId="23" borderId="10" xfId="0" applyFont="1" applyFill="1" applyBorder="1" applyAlignment="1">
      <alignment horizontal="center"/>
    </xf>
    <xf numFmtId="0" fontId="77" fillId="23" borderId="18" xfId="0" applyFont="1" applyFill="1" applyBorder="1" applyAlignment="1">
      <alignment/>
    </xf>
    <xf numFmtId="0" fontId="77" fillId="23" borderId="14" xfId="0" applyFont="1" applyFill="1" applyBorder="1" applyAlignment="1">
      <alignment/>
    </xf>
    <xf numFmtId="49" fontId="70" fillId="29" borderId="105" xfId="0" applyNumberFormat="1" applyFont="1" applyFill="1" applyBorder="1" applyAlignment="1">
      <alignment horizontal="center" vertical="center" wrapText="1"/>
    </xf>
    <xf numFmtId="49" fontId="25" fillId="23" borderId="85" xfId="0" applyNumberFormat="1" applyFont="1" applyFill="1" applyBorder="1" applyAlignment="1">
      <alignment horizontal="center" vertical="center" wrapText="1"/>
    </xf>
    <xf numFmtId="49" fontId="70" fillId="20" borderId="85" xfId="0" applyNumberFormat="1" applyFont="1" applyFill="1" applyBorder="1" applyAlignment="1">
      <alignment horizontal="center" vertical="center" wrapText="1"/>
    </xf>
    <xf numFmtId="49" fontId="25" fillId="20" borderId="85" xfId="0" applyNumberFormat="1" applyFont="1" applyFill="1" applyBorder="1" applyAlignment="1">
      <alignment horizontal="center" vertical="center" wrapText="1"/>
    </xf>
    <xf numFmtId="3" fontId="5" fillId="17" borderId="84" xfId="0" applyNumberFormat="1" applyFont="1" applyFill="1" applyBorder="1" applyAlignment="1">
      <alignment horizontal="right"/>
    </xf>
    <xf numFmtId="3" fontId="6" fillId="24" borderId="79" xfId="0" applyNumberFormat="1" applyFont="1" applyFill="1" applyBorder="1" applyAlignment="1">
      <alignment horizontal="right"/>
    </xf>
    <xf numFmtId="3" fontId="24" fillId="26" borderId="76" xfId="0" applyNumberFormat="1" applyFont="1" applyFill="1" applyBorder="1" applyAlignment="1">
      <alignment horizontal="right"/>
    </xf>
    <xf numFmtId="173" fontId="24" fillId="20" borderId="22" xfId="0" applyNumberFormat="1" applyFont="1" applyFill="1" applyBorder="1" applyAlignment="1">
      <alignment horizontal="right"/>
    </xf>
    <xf numFmtId="173" fontId="24" fillId="20" borderId="19" xfId="0" applyNumberFormat="1" applyFont="1" applyFill="1" applyBorder="1" applyAlignment="1">
      <alignment horizontal="right"/>
    </xf>
    <xf numFmtId="173" fontId="42" fillId="0" borderId="57" xfId="0" applyNumberFormat="1" applyFont="1" applyBorder="1" applyAlignment="1">
      <alignment/>
    </xf>
    <xf numFmtId="173" fontId="24" fillId="20" borderId="29" xfId="0" applyNumberFormat="1" applyFont="1" applyFill="1" applyBorder="1" applyAlignment="1">
      <alignment horizontal="right" vertical="center"/>
    </xf>
    <xf numFmtId="173" fontId="24" fillId="23" borderId="77" xfId="0" applyNumberFormat="1" applyFont="1" applyFill="1" applyBorder="1" applyAlignment="1">
      <alignment horizontal="right"/>
    </xf>
    <xf numFmtId="173" fontId="5" fillId="17" borderId="84" xfId="0" applyNumberFormat="1" applyFont="1" applyFill="1" applyBorder="1" applyAlignment="1">
      <alignment horizontal="right"/>
    </xf>
    <xf numFmtId="173" fontId="24" fillId="23" borderId="84" xfId="0" applyNumberFormat="1" applyFont="1" applyFill="1" applyBorder="1" applyAlignment="1">
      <alignment horizontal="right"/>
    </xf>
    <xf numFmtId="173" fontId="6" fillId="24" borderId="7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73" fillId="2" borderId="106" xfId="0" applyFont="1" applyFill="1" applyBorder="1" applyAlignment="1">
      <alignment vertical="center"/>
    </xf>
    <xf numFmtId="0" fontId="73" fillId="2" borderId="107" xfId="0" applyFont="1" applyFill="1" applyBorder="1" applyAlignment="1">
      <alignment vertical="center"/>
    </xf>
    <xf numFmtId="49" fontId="82" fillId="0" borderId="0" xfId="0" applyNumberFormat="1" applyFont="1" applyBorder="1" applyAlignment="1">
      <alignment horizontal="center" vertical="center" wrapText="1"/>
    </xf>
    <xf numFmtId="3" fontId="19" fillId="17" borderId="107" xfId="0" applyNumberFormat="1" applyFont="1" applyFill="1" applyBorder="1" applyAlignment="1">
      <alignment horizontal="center" vertical="center" wrapText="1"/>
    </xf>
    <xf numFmtId="3" fontId="19" fillId="17" borderId="35" xfId="0" applyNumberFormat="1" applyFont="1" applyFill="1" applyBorder="1" applyAlignment="1">
      <alignment horizontal="center" vertical="center" wrapText="1"/>
    </xf>
    <xf numFmtId="3" fontId="19" fillId="17" borderId="31" xfId="0" applyNumberFormat="1" applyFont="1" applyFill="1" applyBorder="1" applyAlignment="1">
      <alignment horizontal="center" vertical="center" wrapText="1"/>
    </xf>
    <xf numFmtId="0" fontId="5" fillId="17" borderId="108" xfId="0" applyNumberFormat="1" applyFont="1" applyFill="1" applyBorder="1" applyAlignment="1">
      <alignment horizontal="center" vertical="center" wrapText="1"/>
    </xf>
    <xf numFmtId="0" fontId="5" fillId="17" borderId="79" xfId="0" applyNumberFormat="1" applyFont="1" applyFill="1" applyBorder="1" applyAlignment="1">
      <alignment horizontal="center" vertical="center" wrapText="1"/>
    </xf>
    <xf numFmtId="0" fontId="5" fillId="17" borderId="88" xfId="0" applyNumberFormat="1" applyFont="1" applyFill="1" applyBorder="1" applyAlignment="1">
      <alignment horizontal="center" vertical="center" wrapText="1"/>
    </xf>
    <xf numFmtId="49" fontId="72" fillId="2" borderId="103" xfId="0" applyNumberFormat="1" applyFont="1" applyFill="1" applyBorder="1" applyAlignment="1">
      <alignment horizontal="left" vertical="center"/>
    </xf>
    <xf numFmtId="49" fontId="73" fillId="2" borderId="106" xfId="0" applyNumberFormat="1" applyFont="1" applyFill="1" applyBorder="1" applyAlignment="1">
      <alignment vertical="center"/>
    </xf>
    <xf numFmtId="49" fontId="73" fillId="2" borderId="107" xfId="0" applyNumberFormat="1" applyFont="1" applyFill="1" applyBorder="1" applyAlignment="1">
      <alignment vertical="center"/>
    </xf>
    <xf numFmtId="49" fontId="73" fillId="2" borderId="53" xfId="0" applyNumberFormat="1" applyFont="1" applyFill="1" applyBorder="1" applyAlignment="1">
      <alignment vertical="center"/>
    </xf>
    <xf numFmtId="49" fontId="73" fillId="2" borderId="21" xfId="0" applyNumberFormat="1" applyFont="1" applyFill="1" applyBorder="1" applyAlignment="1">
      <alignment vertical="center"/>
    </xf>
    <xf numFmtId="49" fontId="73" fillId="2" borderId="12" xfId="0" applyNumberFormat="1" applyFont="1" applyFill="1" applyBorder="1" applyAlignment="1">
      <alignment vertical="center"/>
    </xf>
    <xf numFmtId="0" fontId="5" fillId="17" borderId="104" xfId="0" applyFont="1" applyFill="1" applyBorder="1" applyAlignment="1">
      <alignment horizontal="center" vertical="center" wrapText="1"/>
    </xf>
    <xf numFmtId="0" fontId="5" fillId="17" borderId="24" xfId="0" applyFont="1" applyFill="1" applyBorder="1" applyAlignment="1">
      <alignment horizontal="center" vertical="center" wrapText="1"/>
    </xf>
    <xf numFmtId="0" fontId="5" fillId="17" borderId="25" xfId="0" applyFont="1" applyFill="1" applyBorder="1" applyAlignment="1">
      <alignment horizontal="center" vertical="center" wrapText="1"/>
    </xf>
    <xf numFmtId="0" fontId="30" fillId="29" borderId="109" xfId="0" applyFont="1" applyFill="1" applyBorder="1" applyAlignment="1">
      <alignment horizontal="center" vertical="center" wrapText="1"/>
    </xf>
    <xf numFmtId="0" fontId="30" fillId="29" borderId="55" xfId="0" applyFont="1" applyFill="1" applyBorder="1" applyAlignment="1">
      <alignment horizontal="center" vertical="center" wrapText="1"/>
    </xf>
    <xf numFmtId="0" fontId="30" fillId="29" borderId="36" xfId="0" applyFont="1" applyFill="1" applyBorder="1" applyAlignment="1">
      <alignment horizontal="center" vertical="center" wrapText="1"/>
    </xf>
    <xf numFmtId="49" fontId="72" fillId="2" borderId="106" xfId="0" applyNumberFormat="1" applyFont="1" applyFill="1" applyBorder="1" applyAlignment="1">
      <alignment horizontal="left" vertical="center"/>
    </xf>
    <xf numFmtId="49" fontId="72" fillId="2" borderId="107" xfId="0" applyNumberFormat="1" applyFont="1" applyFill="1" applyBorder="1" applyAlignment="1">
      <alignment horizontal="left" vertical="center"/>
    </xf>
    <xf numFmtId="49" fontId="72" fillId="2" borderId="53" xfId="0" applyNumberFormat="1" applyFont="1" applyFill="1" applyBorder="1" applyAlignment="1">
      <alignment horizontal="left" vertical="center"/>
    </xf>
    <xf numFmtId="49" fontId="72" fillId="2" borderId="21" xfId="0" applyNumberFormat="1" applyFont="1" applyFill="1" applyBorder="1" applyAlignment="1">
      <alignment horizontal="left" vertical="center"/>
    </xf>
    <xf numFmtId="49" fontId="72" fillId="2" borderId="12" xfId="0" applyNumberFormat="1" applyFont="1" applyFill="1" applyBorder="1" applyAlignment="1">
      <alignment horizontal="left" vertical="center"/>
    </xf>
    <xf numFmtId="0" fontId="1" fillId="0" borderId="8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83" xfId="0" applyFont="1" applyFill="1" applyBorder="1" applyAlignment="1">
      <alignment horizontal="left" vertical="center" wrapText="1"/>
    </xf>
    <xf numFmtId="0" fontId="73" fillId="2" borderId="53" xfId="0" applyFont="1" applyFill="1" applyBorder="1" applyAlignment="1">
      <alignment vertical="center"/>
    </xf>
    <xf numFmtId="0" fontId="73" fillId="2" borderId="21" xfId="0" applyFont="1" applyFill="1" applyBorder="1" applyAlignment="1">
      <alignment vertical="center"/>
    </xf>
    <xf numFmtId="0" fontId="73" fillId="2" borderId="12" xfId="0" applyFont="1" applyFill="1" applyBorder="1" applyAlignment="1">
      <alignment vertical="center"/>
    </xf>
    <xf numFmtId="173" fontId="3" fillId="24" borderId="57" xfId="0" applyNumberFormat="1" applyFont="1" applyFill="1" applyBorder="1" applyAlignment="1">
      <alignment horizontal="center" vertical="center" wrapText="1"/>
    </xf>
    <xf numFmtId="173" fontId="3" fillId="0" borderId="108" xfId="49" applyNumberFormat="1" applyFont="1" applyFill="1" applyBorder="1" applyAlignment="1">
      <alignment horizontal="center" vertical="center" wrapText="1"/>
    </xf>
    <xf numFmtId="173" fontId="3" fillId="0" borderId="79" xfId="49" applyNumberFormat="1" applyFont="1" applyFill="1" applyBorder="1" applyAlignment="1">
      <alignment horizontal="center" vertical="center" wrapText="1"/>
    </xf>
    <xf numFmtId="0" fontId="3" fillId="18" borderId="83" xfId="0" applyFont="1" applyFill="1" applyBorder="1" applyAlignment="1">
      <alignment horizontal="center"/>
    </xf>
    <xf numFmtId="0" fontId="3" fillId="18" borderId="18" xfId="0" applyFont="1" applyFill="1" applyBorder="1" applyAlignment="1">
      <alignment horizontal="center"/>
    </xf>
    <xf numFmtId="0" fontId="3" fillId="18" borderId="19" xfId="0" applyFont="1" applyFill="1" applyBorder="1" applyAlignment="1">
      <alignment horizontal="center"/>
    </xf>
    <xf numFmtId="0" fontId="8" fillId="18" borderId="110" xfId="0" applyFont="1" applyFill="1" applyBorder="1" applyAlignment="1">
      <alignment horizontal="center"/>
    </xf>
    <xf numFmtId="0" fontId="8" fillId="18" borderId="111" xfId="0" applyFont="1" applyFill="1" applyBorder="1" applyAlignment="1">
      <alignment horizontal="center"/>
    </xf>
    <xf numFmtId="0" fontId="8" fillId="18" borderId="112" xfId="0" applyFont="1" applyFill="1" applyBorder="1" applyAlignment="1">
      <alignment horizontal="center"/>
    </xf>
    <xf numFmtId="0" fontId="7" fillId="17" borderId="52" xfId="0" applyFont="1" applyFill="1" applyBorder="1" applyAlignment="1">
      <alignment horizontal="center" vertical="center" wrapText="1"/>
    </xf>
    <xf numFmtId="0" fontId="7" fillId="17" borderId="56" xfId="0" applyFont="1" applyFill="1" applyBorder="1" applyAlignment="1">
      <alignment horizontal="center" vertical="center" wrapText="1"/>
    </xf>
    <xf numFmtId="0" fontId="7" fillId="17" borderId="108" xfId="0" applyFont="1" applyFill="1" applyBorder="1" applyAlignment="1">
      <alignment horizontal="center" vertical="center" wrapText="1"/>
    </xf>
    <xf numFmtId="0" fontId="7" fillId="17" borderId="79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center" vertical="center"/>
    </xf>
    <xf numFmtId="0" fontId="3" fillId="18" borderId="36" xfId="0" applyFont="1" applyFill="1" applyBorder="1" applyAlignment="1">
      <alignment horizontal="center" vertical="center"/>
    </xf>
    <xf numFmtId="49" fontId="54" fillId="27" borderId="113" xfId="0" applyNumberFormat="1" applyFont="1" applyFill="1" applyBorder="1" applyAlignment="1">
      <alignment horizontal="center" vertical="center" wrapText="1"/>
    </xf>
    <xf numFmtId="0" fontId="74" fillId="27" borderId="20" xfId="0" applyFont="1" applyFill="1" applyBorder="1" applyAlignment="1">
      <alignment horizontal="center" wrapText="1"/>
    </xf>
    <xf numFmtId="0" fontId="74" fillId="27" borderId="23" xfId="0" applyFont="1" applyFill="1" applyBorder="1" applyAlignment="1">
      <alignment horizontal="center" wrapText="1"/>
    </xf>
    <xf numFmtId="49" fontId="28" fillId="17" borderId="114" xfId="0" applyNumberFormat="1" applyFont="1" applyFill="1" applyBorder="1" applyAlignment="1">
      <alignment horizontal="center"/>
    </xf>
    <xf numFmtId="49" fontId="28" fillId="17" borderId="115" xfId="0" applyNumberFormat="1" applyFont="1" applyFill="1" applyBorder="1" applyAlignment="1">
      <alignment horizontal="center"/>
    </xf>
    <xf numFmtId="49" fontId="28" fillId="17" borderId="116" xfId="0" applyNumberFormat="1" applyFont="1" applyFill="1" applyBorder="1" applyAlignment="1">
      <alignment horizontal="center"/>
    </xf>
    <xf numFmtId="0" fontId="3" fillId="18" borderId="55" xfId="0" applyFont="1" applyFill="1" applyBorder="1" applyAlignment="1">
      <alignment horizontal="center" vertical="center" textRotation="180" wrapText="1"/>
    </xf>
    <xf numFmtId="0" fontId="0" fillId="0" borderId="55" xfId="0" applyBorder="1" applyAlignment="1">
      <alignment horizontal="center" vertical="center" textRotation="180" wrapText="1"/>
    </xf>
    <xf numFmtId="0" fontId="0" fillId="0" borderId="36" xfId="0" applyBorder="1" applyAlignment="1">
      <alignment horizontal="center" vertical="center" textRotation="180" wrapText="1"/>
    </xf>
    <xf numFmtId="0" fontId="54" fillId="29" borderId="86" xfId="0" applyFont="1" applyFill="1" applyBorder="1" applyAlignment="1">
      <alignment horizontal="center" vertical="center" wrapText="1"/>
    </xf>
    <xf numFmtId="0" fontId="54" fillId="29" borderId="88" xfId="0" applyFont="1" applyFill="1" applyBorder="1" applyAlignment="1">
      <alignment horizontal="center" vertical="center" wrapText="1"/>
    </xf>
    <xf numFmtId="0" fontId="3" fillId="18" borderId="35" xfId="0" applyFont="1" applyFill="1" applyBorder="1" applyAlignment="1">
      <alignment horizontal="center" vertical="center"/>
    </xf>
    <xf numFmtId="0" fontId="3" fillId="18" borderId="31" xfId="0" applyFont="1" applyFill="1" applyBorder="1" applyAlignment="1">
      <alignment horizontal="center" vertical="center"/>
    </xf>
    <xf numFmtId="0" fontId="3" fillId="18" borderId="55" xfId="0" applyFont="1" applyFill="1" applyBorder="1" applyAlignment="1">
      <alignment horizontal="center" vertical="center"/>
    </xf>
    <xf numFmtId="173" fontId="3" fillId="24" borderId="52" xfId="49" applyNumberFormat="1" applyFont="1" applyFill="1" applyBorder="1" applyAlignment="1">
      <alignment horizontal="center" vertical="center" wrapText="1"/>
    </xf>
    <xf numFmtId="173" fontId="3" fillId="24" borderId="56" xfId="49" applyNumberFormat="1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0" fontId="3" fillId="18" borderId="6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18" borderId="46" xfId="0" applyFont="1" applyFill="1" applyBorder="1" applyAlignment="1">
      <alignment horizontal="center" vertical="center"/>
    </xf>
    <xf numFmtId="0" fontId="3" fillId="18" borderId="23" xfId="0" applyFont="1" applyFill="1" applyBorder="1" applyAlignment="1">
      <alignment horizontal="center" vertical="center"/>
    </xf>
    <xf numFmtId="173" fontId="3" fillId="0" borderId="108" xfId="0" applyNumberFormat="1" applyFont="1" applyFill="1" applyBorder="1" applyAlignment="1">
      <alignment horizontal="center" vertical="center" wrapText="1"/>
    </xf>
    <xf numFmtId="173" fontId="3" fillId="0" borderId="79" xfId="0" applyNumberFormat="1" applyFont="1" applyFill="1" applyBorder="1" applyAlignment="1">
      <alignment horizontal="center" vertical="center" wrapText="1"/>
    </xf>
    <xf numFmtId="0" fontId="54" fillId="29" borderId="79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/>
    </xf>
    <xf numFmtId="0" fontId="3" fillId="24" borderId="52" xfId="0" applyFont="1" applyFill="1" applyBorder="1" applyAlignment="1">
      <alignment horizontal="center" vertical="center" wrapText="1"/>
    </xf>
    <xf numFmtId="0" fontId="3" fillId="24" borderId="56" xfId="0" applyFont="1" applyFill="1" applyBorder="1" applyAlignment="1">
      <alignment horizontal="center" vertical="center" wrapText="1"/>
    </xf>
    <xf numFmtId="0" fontId="3" fillId="18" borderId="36" xfId="0" applyFont="1" applyFill="1" applyBorder="1" applyAlignment="1">
      <alignment horizontal="center" vertical="center" textRotation="180" wrapText="1"/>
    </xf>
    <xf numFmtId="0" fontId="8" fillId="18" borderId="117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3" fontId="3" fillId="18" borderId="55" xfId="0" applyNumberFormat="1" applyFont="1" applyFill="1" applyBorder="1" applyAlignment="1">
      <alignment horizontal="center" vertical="center"/>
    </xf>
    <xf numFmtId="49" fontId="28" fillId="17" borderId="103" xfId="0" applyNumberFormat="1" applyFont="1" applyFill="1" applyBorder="1" applyAlignment="1">
      <alignment horizontal="center"/>
    </xf>
    <xf numFmtId="49" fontId="28" fillId="17" borderId="106" xfId="0" applyNumberFormat="1" applyFont="1" applyFill="1" applyBorder="1" applyAlignment="1">
      <alignment horizontal="center"/>
    </xf>
    <xf numFmtId="49" fontId="28" fillId="17" borderId="104" xfId="0" applyNumberFormat="1" applyFont="1" applyFill="1" applyBorder="1" applyAlignment="1">
      <alignment horizontal="center"/>
    </xf>
    <xf numFmtId="0" fontId="8" fillId="18" borderId="66" xfId="0" applyFont="1" applyFill="1" applyBorder="1" applyAlignment="1">
      <alignment horizontal="center"/>
    </xf>
    <xf numFmtId="0" fontId="8" fillId="18" borderId="18" xfId="0" applyFont="1" applyFill="1" applyBorder="1" applyAlignment="1">
      <alignment horizontal="center"/>
    </xf>
    <xf numFmtId="0" fontId="8" fillId="18" borderId="14" xfId="0" applyFont="1" applyFill="1" applyBorder="1" applyAlignment="1">
      <alignment horizontal="center"/>
    </xf>
    <xf numFmtId="0" fontId="8" fillId="18" borderId="118" xfId="0" applyFont="1" applyFill="1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85" xfId="0" applyBorder="1" applyAlignment="1">
      <alignment horizontal="center"/>
    </xf>
    <xf numFmtId="0" fontId="3" fillId="18" borderId="20" xfId="0" applyFont="1" applyFill="1" applyBorder="1" applyAlignment="1">
      <alignment horizontal="center" vertical="center"/>
    </xf>
    <xf numFmtId="0" fontId="8" fillId="18" borderId="119" xfId="0" applyFont="1" applyFill="1" applyBorder="1" applyAlignment="1">
      <alignment horizontal="center"/>
    </xf>
    <xf numFmtId="0" fontId="8" fillId="18" borderId="85" xfId="0" applyFont="1" applyFill="1" applyBorder="1" applyAlignment="1">
      <alignment horizontal="center"/>
    </xf>
    <xf numFmtId="0" fontId="3" fillId="24" borderId="57" xfId="0" applyFont="1" applyFill="1" applyBorder="1" applyAlignment="1">
      <alignment horizontal="center" vertical="center" wrapText="1"/>
    </xf>
    <xf numFmtId="49" fontId="28" fillId="18" borderId="94" xfId="0" applyNumberFormat="1" applyFont="1" applyFill="1" applyBorder="1" applyAlignment="1">
      <alignment horizontal="center"/>
    </xf>
    <xf numFmtId="49" fontId="28" fillId="18" borderId="56" xfId="0" applyNumberFormat="1" applyFont="1" applyFill="1" applyBorder="1" applyAlignment="1">
      <alignment horizontal="center"/>
    </xf>
    <xf numFmtId="49" fontId="28" fillId="18" borderId="68" xfId="0" applyNumberFormat="1" applyFont="1" applyFill="1" applyBorder="1" applyAlignment="1">
      <alignment horizontal="center"/>
    </xf>
    <xf numFmtId="0" fontId="8" fillId="18" borderId="120" xfId="0" applyFont="1" applyFill="1" applyBorder="1" applyAlignment="1">
      <alignment horizontal="center"/>
    </xf>
    <xf numFmtId="0" fontId="8" fillId="18" borderId="121" xfId="0" applyFont="1" applyFill="1" applyBorder="1" applyAlignment="1">
      <alignment horizontal="center"/>
    </xf>
    <xf numFmtId="0" fontId="8" fillId="18" borderId="12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 vertical="center" textRotation="180" wrapText="1"/>
    </xf>
    <xf numFmtId="0" fontId="0" fillId="0" borderId="11" xfId="0" applyBorder="1" applyAlignment="1">
      <alignment horizontal="center" vertical="center" textRotation="180" wrapText="1"/>
    </xf>
    <xf numFmtId="0" fontId="3" fillId="18" borderId="14" xfId="0" applyFont="1" applyFill="1" applyBorder="1" applyAlignment="1">
      <alignment horizontal="center" vertical="center"/>
    </xf>
    <xf numFmtId="0" fontId="3" fillId="18" borderId="65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0" fontId="3" fillId="24" borderId="92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49" fontId="84" fillId="18" borderId="94" xfId="0" applyNumberFormat="1" applyFont="1" applyFill="1" applyBorder="1" applyAlignment="1">
      <alignment horizontal="center"/>
    </xf>
    <xf numFmtId="49" fontId="84" fillId="18" borderId="56" xfId="0" applyNumberFormat="1" applyFont="1" applyFill="1" applyBorder="1" applyAlignment="1">
      <alignment horizontal="center"/>
    </xf>
    <xf numFmtId="49" fontId="84" fillId="18" borderId="68" xfId="0" applyNumberFormat="1" applyFont="1" applyFill="1" applyBorder="1" applyAlignment="1">
      <alignment horizontal="center"/>
    </xf>
    <xf numFmtId="0" fontId="8" fillId="18" borderId="103" xfId="0" applyNumberFormat="1" applyFont="1" applyFill="1" applyBorder="1" applyAlignment="1">
      <alignment horizontal="center"/>
    </xf>
    <xf numFmtId="0" fontId="8" fillId="18" borderId="106" xfId="0" applyNumberFormat="1" applyFont="1" applyFill="1" applyBorder="1" applyAlignment="1">
      <alignment horizontal="center"/>
    </xf>
    <xf numFmtId="0" fontId="8" fillId="18" borderId="104" xfId="0" applyNumberFormat="1" applyFont="1" applyFill="1" applyBorder="1" applyAlignment="1">
      <alignment horizontal="center"/>
    </xf>
    <xf numFmtId="0" fontId="3" fillId="18" borderId="64" xfId="0" applyFont="1" applyFill="1" applyBorder="1" applyAlignment="1">
      <alignment horizontal="center" vertical="center" textRotation="180" wrapText="1"/>
    </xf>
    <xf numFmtId="0" fontId="8" fillId="18" borderId="96" xfId="0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8" fillId="18" borderId="24" xfId="0" applyFont="1" applyFill="1" applyBorder="1" applyAlignment="1">
      <alignment horizontal="center"/>
    </xf>
    <xf numFmtId="49" fontId="28" fillId="17" borderId="110" xfId="0" applyNumberFormat="1" applyFont="1" applyFill="1" applyBorder="1" applyAlignment="1">
      <alignment horizontal="center"/>
    </xf>
    <xf numFmtId="49" fontId="28" fillId="17" borderId="111" xfId="0" applyNumberFormat="1" applyFont="1" applyFill="1" applyBorder="1" applyAlignment="1">
      <alignment horizontal="center"/>
    </xf>
    <xf numFmtId="49" fontId="28" fillId="17" borderId="112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18" borderId="78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18" borderId="5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28" fillId="17" borderId="123" xfId="0" applyNumberFormat="1" applyFont="1" applyFill="1" applyBorder="1" applyAlignment="1">
      <alignment horizontal="center"/>
    </xf>
    <xf numFmtId="0" fontId="29" fillId="17" borderId="58" xfId="0" applyFont="1" applyFill="1" applyBorder="1" applyAlignment="1">
      <alignment horizontal="center"/>
    </xf>
    <xf numFmtId="0" fontId="29" fillId="17" borderId="58" xfId="0" applyFont="1" applyFill="1" applyBorder="1" applyAlignment="1">
      <alignment/>
    </xf>
    <xf numFmtId="0" fontId="29" fillId="17" borderId="59" xfId="0" applyFont="1" applyFill="1" applyBorder="1" applyAlignment="1">
      <alignment/>
    </xf>
    <xf numFmtId="0" fontId="3" fillId="18" borderId="53" xfId="0" applyFont="1" applyFill="1" applyBorder="1" applyAlignment="1">
      <alignment horizontal="center"/>
    </xf>
    <xf numFmtId="0" fontId="29" fillId="17" borderId="94" xfId="0" applyFont="1" applyFill="1" applyBorder="1" applyAlignment="1">
      <alignment horizontal="center"/>
    </xf>
    <xf numFmtId="0" fontId="29" fillId="17" borderId="56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17" borderId="88" xfId="0" applyFont="1" applyFill="1" applyBorder="1" applyAlignment="1">
      <alignment horizontal="center" vertical="center" wrapText="1"/>
    </xf>
    <xf numFmtId="0" fontId="79" fillId="17" borderId="94" xfId="0" applyFont="1" applyFill="1" applyBorder="1" applyAlignment="1">
      <alignment horizontal="center"/>
    </xf>
    <xf numFmtId="0" fontId="79" fillId="17" borderId="56" xfId="0" applyFont="1" applyFill="1" applyBorder="1" applyAlignment="1">
      <alignment horizontal="center"/>
    </xf>
    <xf numFmtId="0" fontId="79" fillId="17" borderId="68" xfId="0" applyFont="1" applyFill="1" applyBorder="1" applyAlignment="1">
      <alignment horizontal="center"/>
    </xf>
    <xf numFmtId="49" fontId="28" fillId="17" borderId="58" xfId="0" applyNumberFormat="1" applyFont="1" applyFill="1" applyBorder="1" applyAlignment="1">
      <alignment horizontal="center"/>
    </xf>
    <xf numFmtId="49" fontId="28" fillId="17" borderId="59" xfId="0" applyNumberFormat="1" applyFont="1" applyFill="1" applyBorder="1" applyAlignment="1">
      <alignment horizontal="center"/>
    </xf>
    <xf numFmtId="49" fontId="54" fillId="27" borderId="20" xfId="0" applyNumberFormat="1" applyFont="1" applyFill="1" applyBorder="1" applyAlignment="1">
      <alignment horizontal="center" vertical="center" wrapText="1"/>
    </xf>
    <xf numFmtId="49" fontId="54" fillId="27" borderId="23" xfId="0" applyNumberFormat="1" applyFont="1" applyFill="1" applyBorder="1" applyAlignment="1">
      <alignment horizontal="center" vertical="center" wrapText="1"/>
    </xf>
    <xf numFmtId="0" fontId="2" fillId="18" borderId="66" xfId="0" applyFont="1" applyFill="1" applyBorder="1" applyAlignment="1">
      <alignment horizontal="center"/>
    </xf>
    <xf numFmtId="0" fontId="2" fillId="18" borderId="18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8" fillId="18" borderId="21" xfId="0" applyFont="1" applyFill="1" applyBorder="1" applyAlignment="1">
      <alignment horizontal="center"/>
    </xf>
    <xf numFmtId="0" fontId="52" fillId="26" borderId="124" xfId="0" applyFont="1" applyFill="1" applyBorder="1" applyAlignment="1">
      <alignment horizontal="left" vertical="center"/>
    </xf>
    <xf numFmtId="0" fontId="53" fillId="26" borderId="102" xfId="0" applyFont="1" applyFill="1" applyBorder="1" applyAlignment="1">
      <alignment horizontal="left" vertical="center"/>
    </xf>
    <xf numFmtId="0" fontId="35" fillId="26" borderId="125" xfId="0" applyFont="1" applyFill="1" applyBorder="1" applyAlignment="1">
      <alignment horizontal="center" vertical="center" wrapText="1"/>
    </xf>
    <xf numFmtId="0" fontId="35" fillId="26" borderId="106" xfId="0" applyFont="1" applyFill="1" applyBorder="1" applyAlignment="1">
      <alignment horizontal="center" vertical="center" wrapText="1"/>
    </xf>
    <xf numFmtId="0" fontId="35" fillId="26" borderId="104" xfId="0" applyFont="1" applyFill="1" applyBorder="1" applyAlignment="1">
      <alignment horizontal="center" vertical="center" wrapText="1"/>
    </xf>
    <xf numFmtId="0" fontId="35" fillId="26" borderId="126" xfId="0" applyFont="1" applyFill="1" applyBorder="1" applyAlignment="1">
      <alignment horizontal="center" vertical="center" wrapText="1"/>
    </xf>
    <xf numFmtId="0" fontId="35" fillId="26" borderId="0" xfId="0" applyFont="1" applyFill="1" applyBorder="1" applyAlignment="1">
      <alignment horizontal="center" vertical="center" wrapText="1"/>
    </xf>
    <xf numFmtId="0" fontId="35" fillId="26" borderId="24" xfId="0" applyFont="1" applyFill="1" applyBorder="1" applyAlignment="1">
      <alignment horizontal="center" vertical="center" wrapText="1"/>
    </xf>
    <xf numFmtId="173" fontId="5" fillId="8" borderId="90" xfId="0" applyNumberFormat="1" applyFont="1" applyFill="1" applyBorder="1" applyAlignment="1">
      <alignment horizontal="right" vertical="center"/>
    </xf>
    <xf numFmtId="173" fontId="5" fillId="8" borderId="22" xfId="0" applyNumberFormat="1" applyFont="1" applyFill="1" applyBorder="1" applyAlignment="1">
      <alignment horizontal="right" vertical="center"/>
    </xf>
    <xf numFmtId="173" fontId="5" fillId="8" borderId="90" xfId="0" applyNumberFormat="1" applyFont="1" applyFill="1" applyBorder="1" applyAlignment="1">
      <alignment horizontal="center" vertical="center"/>
    </xf>
    <xf numFmtId="173" fontId="5" fillId="8" borderId="22" xfId="0" applyNumberFormat="1" applyFont="1" applyFill="1" applyBorder="1" applyAlignment="1">
      <alignment horizontal="center" vertical="center"/>
    </xf>
    <xf numFmtId="0" fontId="8" fillId="28" borderId="103" xfId="0" applyFont="1" applyFill="1" applyBorder="1" applyAlignment="1">
      <alignment horizontal="center"/>
    </xf>
    <xf numFmtId="0" fontId="8" fillId="28" borderId="106" xfId="0" applyFont="1" applyFill="1" applyBorder="1" applyAlignment="1">
      <alignment horizontal="center"/>
    </xf>
    <xf numFmtId="0" fontId="8" fillId="28" borderId="104" xfId="0" applyFont="1" applyFill="1" applyBorder="1" applyAlignment="1">
      <alignment horizontal="center"/>
    </xf>
    <xf numFmtId="4" fontId="19" fillId="8" borderId="90" xfId="0" applyNumberFormat="1" applyFont="1" applyFill="1" applyBorder="1" applyAlignment="1">
      <alignment horizontal="center" vertical="center"/>
    </xf>
    <xf numFmtId="4" fontId="19" fillId="8" borderId="22" xfId="0" applyNumberFormat="1" applyFont="1" applyFill="1" applyBorder="1" applyAlignment="1">
      <alignment horizontal="center" vertical="center"/>
    </xf>
    <xf numFmtId="0" fontId="49" fillId="23" borderId="83" xfId="0" applyFont="1" applyFill="1" applyBorder="1" applyAlignment="1">
      <alignment/>
    </xf>
    <xf numFmtId="0" fontId="77" fillId="23" borderId="18" xfId="0" applyFont="1" applyFill="1" applyBorder="1" applyAlignment="1">
      <alignment/>
    </xf>
    <xf numFmtId="0" fontId="71" fillId="9" borderId="0" xfId="0" applyFont="1" applyFill="1" applyBorder="1" applyAlignment="1">
      <alignment horizontal="center" vertical="center" wrapText="1"/>
    </xf>
    <xf numFmtId="3" fontId="30" fillId="29" borderId="97" xfId="0" applyNumberFormat="1" applyFont="1" applyFill="1" applyBorder="1" applyAlignment="1">
      <alignment horizontal="right" vertical="center"/>
    </xf>
    <xf numFmtId="3" fontId="30" fillId="29" borderId="78" xfId="0" applyNumberFormat="1" applyFont="1" applyFill="1" applyBorder="1" applyAlignment="1">
      <alignment horizontal="right" vertical="center"/>
    </xf>
    <xf numFmtId="3" fontId="30" fillId="23" borderId="86" xfId="0" applyNumberFormat="1" applyFont="1" applyFill="1" applyBorder="1" applyAlignment="1">
      <alignment horizontal="right" vertical="center"/>
    </xf>
    <xf numFmtId="3" fontId="30" fillId="23" borderId="84" xfId="0" applyNumberFormat="1" applyFont="1" applyFill="1" applyBorder="1" applyAlignment="1">
      <alignment horizontal="right" vertical="center"/>
    </xf>
    <xf numFmtId="3" fontId="19" fillId="8" borderId="90" xfId="0" applyNumberFormat="1" applyFont="1" applyFill="1" applyBorder="1" applyAlignment="1">
      <alignment horizontal="right" vertical="center"/>
    </xf>
    <xf numFmtId="3" fontId="19" fillId="8" borderId="22" xfId="0" applyNumberFormat="1" applyFont="1" applyFill="1" applyBorder="1" applyAlignment="1">
      <alignment horizontal="right" vertical="center"/>
    </xf>
    <xf numFmtId="3" fontId="30" fillId="29" borderId="46" xfId="0" applyNumberFormat="1" applyFont="1" applyFill="1" applyBorder="1" applyAlignment="1">
      <alignment horizontal="right" vertical="center"/>
    </xf>
    <xf numFmtId="0" fontId="76" fillId="29" borderId="15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24" borderId="83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49" fillId="23" borderId="78" xfId="0" applyFont="1" applyFill="1" applyBorder="1" applyAlignment="1">
      <alignment/>
    </xf>
    <xf numFmtId="0" fontId="77" fillId="23" borderId="21" xfId="0" applyFont="1" applyFill="1" applyBorder="1" applyAlignment="1">
      <alignment/>
    </xf>
    <xf numFmtId="0" fontId="75" fillId="0" borderId="0" xfId="0" applyFont="1" applyAlignment="1">
      <alignment horizontal="center" wrapText="1"/>
    </xf>
    <xf numFmtId="49" fontId="30" fillId="26" borderId="103" xfId="0" applyNumberFormat="1" applyFont="1" applyFill="1" applyBorder="1" applyAlignment="1">
      <alignment horizontal="left" vertical="center"/>
    </xf>
    <xf numFmtId="0" fontId="31" fillId="26" borderId="107" xfId="0" applyFont="1" applyFill="1" applyBorder="1" applyAlignment="1">
      <alignment vertical="center"/>
    </xf>
    <xf numFmtId="0" fontId="31" fillId="26" borderId="96" xfId="0" applyFont="1" applyFill="1" applyBorder="1" applyAlignment="1">
      <alignment vertical="center"/>
    </xf>
    <xf numFmtId="0" fontId="31" fillId="26" borderId="35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8" borderId="97" xfId="0" applyFont="1" applyFill="1" applyBorder="1" applyAlignment="1">
      <alignment vertical="center"/>
    </xf>
    <xf numFmtId="0" fontId="51" fillId="0" borderId="78" xfId="0" applyFont="1" applyBorder="1" applyAlignment="1">
      <alignment vertical="center"/>
    </xf>
    <xf numFmtId="0" fontId="8" fillId="8" borderId="97" xfId="0" applyFont="1" applyFill="1" applyBorder="1" applyAlignment="1">
      <alignment horizontal="left" vertical="center"/>
    </xf>
    <xf numFmtId="0" fontId="51" fillId="0" borderId="78" xfId="0" applyFont="1" applyBorder="1" applyAlignment="1">
      <alignment horizontal="left" vertical="center"/>
    </xf>
    <xf numFmtId="3" fontId="30" fillId="23" borderId="46" xfId="0" applyNumberFormat="1" applyFont="1" applyFill="1" applyBorder="1" applyAlignment="1">
      <alignment vertical="center"/>
    </xf>
    <xf numFmtId="0" fontId="50" fillId="23" borderId="15" xfId="0" applyFont="1" applyFill="1" applyBorder="1" applyAlignment="1">
      <alignment vertical="center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2 2" xfId="46"/>
    <cellStyle name="normálne 4" xfId="47"/>
    <cellStyle name="normálne 9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.7109375" style="17" customWidth="1"/>
    <col min="3" max="3" width="5.57421875" style="18" customWidth="1"/>
    <col min="4" max="4" width="4.00390625" style="18" customWidth="1"/>
    <col min="5" max="5" width="4.140625" style="18" customWidth="1"/>
    <col min="6" max="6" width="3.57421875" style="17" customWidth="1"/>
    <col min="7" max="7" width="48.421875" style="17" customWidth="1"/>
    <col min="8" max="8" width="14.00390625" style="0" customWidth="1"/>
    <col min="9" max="9" width="13.140625" style="671" customWidth="1"/>
    <col min="10" max="10" width="7.00390625" style="977" customWidth="1"/>
    <col min="11" max="11" width="10.7109375" style="152" customWidth="1"/>
    <col min="12" max="12" width="10.421875" style="19" customWidth="1"/>
    <col min="13" max="13" width="10.140625" style="19" customWidth="1"/>
    <col min="14" max="14" width="9.140625" style="19" customWidth="1"/>
    <col min="15" max="15" width="9.7109375" style="19" bestFit="1" customWidth="1"/>
  </cols>
  <sheetData>
    <row r="1" spans="2:10" ht="48" customHeight="1">
      <c r="B1" s="1055" t="s">
        <v>469</v>
      </c>
      <c r="C1" s="1055"/>
      <c r="D1" s="1055"/>
      <c r="E1" s="1055"/>
      <c r="F1" s="1055"/>
      <c r="G1" s="1055"/>
      <c r="H1" s="1055"/>
      <c r="I1" s="1055"/>
      <c r="J1" s="1055"/>
    </row>
    <row r="2" spans="2:7" ht="7.5" customHeight="1" thickBot="1">
      <c r="B2" s="109"/>
      <c r="C2" s="109"/>
      <c r="D2" s="109"/>
      <c r="E2" s="109"/>
      <c r="F2" s="109"/>
      <c r="G2" s="109"/>
    </row>
    <row r="3" spans="2:10" ht="15.75" customHeight="1">
      <c r="B3" s="1062" t="s">
        <v>12</v>
      </c>
      <c r="C3" s="1063"/>
      <c r="D3" s="1063"/>
      <c r="E3" s="1063"/>
      <c r="F3" s="1063"/>
      <c r="G3" s="1064"/>
      <c r="H3" s="1071" t="s">
        <v>459</v>
      </c>
      <c r="I3" s="1056" t="s">
        <v>465</v>
      </c>
      <c r="J3" s="1068" t="s">
        <v>406</v>
      </c>
    </row>
    <row r="4" spans="2:10" ht="15" customHeight="1">
      <c r="B4" s="1065"/>
      <c r="C4" s="1066"/>
      <c r="D4" s="1066"/>
      <c r="E4" s="1066"/>
      <c r="F4" s="1066"/>
      <c r="G4" s="1067"/>
      <c r="H4" s="1072"/>
      <c r="I4" s="1057"/>
      <c r="J4" s="1069"/>
    </row>
    <row r="5" spans="2:10" ht="14.25" customHeight="1">
      <c r="B5" s="176"/>
      <c r="C5" s="177" t="s">
        <v>13</v>
      </c>
      <c r="D5" s="177" t="s">
        <v>14</v>
      </c>
      <c r="E5" s="177" t="s">
        <v>15</v>
      </c>
      <c r="F5" s="178"/>
      <c r="G5" s="179"/>
      <c r="H5" s="1072"/>
      <c r="I5" s="1057"/>
      <c r="J5" s="1069"/>
    </row>
    <row r="6" spans="2:10" ht="16.5" customHeight="1" thickBot="1">
      <c r="B6" s="180"/>
      <c r="C6" s="181"/>
      <c r="D6" s="182"/>
      <c r="E6" s="181" t="s">
        <v>16</v>
      </c>
      <c r="F6" s="183" t="s">
        <v>17</v>
      </c>
      <c r="G6" s="184"/>
      <c r="H6" s="1073"/>
      <c r="I6" s="1058"/>
      <c r="J6" s="1070"/>
    </row>
    <row r="7" spans="2:10" ht="15.75" customHeight="1" thickTop="1">
      <c r="B7" s="66">
        <v>1</v>
      </c>
      <c r="C7" s="237" t="s">
        <v>18</v>
      </c>
      <c r="D7" s="238"/>
      <c r="E7" s="239"/>
      <c r="F7" s="247" t="s">
        <v>19</v>
      </c>
      <c r="G7" s="240"/>
      <c r="H7" s="569">
        <f>H9+H12+H18</f>
        <v>18370000</v>
      </c>
      <c r="I7" s="782">
        <f>I9+I12+I18</f>
        <v>9892744</v>
      </c>
      <c r="J7" s="804">
        <f>I7/H7*100</f>
        <v>53.85271638541099</v>
      </c>
    </row>
    <row r="8" spans="2:10" ht="12.75">
      <c r="B8" s="67">
        <f>B7+1</f>
        <v>2</v>
      </c>
      <c r="C8" s="4"/>
      <c r="D8" s="68"/>
      <c r="E8" s="8"/>
      <c r="F8" s="69"/>
      <c r="G8" s="20"/>
      <c r="H8" s="415"/>
      <c r="I8" s="781"/>
      <c r="J8" s="800"/>
    </row>
    <row r="9" spans="2:10" ht="12.75">
      <c r="B9" s="67">
        <f aca="true" t="shared" si="0" ref="B9:B68">B8+1</f>
        <v>3</v>
      </c>
      <c r="C9" s="9" t="s">
        <v>20</v>
      </c>
      <c r="D9" s="70"/>
      <c r="E9" s="71"/>
      <c r="F9" s="72" t="s">
        <v>21</v>
      </c>
      <c r="G9" s="110"/>
      <c r="H9" s="416">
        <f>H10</f>
        <v>12000000</v>
      </c>
      <c r="I9" s="664">
        <f>I10</f>
        <v>5743122</v>
      </c>
      <c r="J9" s="800">
        <f aca="true" t="shared" si="1" ref="J9:J65">I9/H9*100</f>
        <v>47.85935</v>
      </c>
    </row>
    <row r="10" spans="2:10" ht="12.75" customHeight="1">
      <c r="B10" s="67">
        <f t="shared" si="0"/>
        <v>4</v>
      </c>
      <c r="C10" s="9"/>
      <c r="D10" s="70" t="s">
        <v>22</v>
      </c>
      <c r="E10" s="71" t="s">
        <v>23</v>
      </c>
      <c r="F10" s="65" t="s">
        <v>24</v>
      </c>
      <c r="G10" s="110"/>
      <c r="H10" s="422">
        <v>12000000</v>
      </c>
      <c r="I10" s="778">
        <v>5743122</v>
      </c>
      <c r="J10" s="800">
        <f t="shared" si="1"/>
        <v>47.85935</v>
      </c>
    </row>
    <row r="11" spans="2:10" ht="12.75">
      <c r="B11" s="67">
        <f t="shared" si="0"/>
        <v>5</v>
      </c>
      <c r="C11" s="10"/>
      <c r="D11" s="74"/>
      <c r="E11" s="75"/>
      <c r="F11" s="76"/>
      <c r="G11" s="111"/>
      <c r="H11" s="417"/>
      <c r="I11" s="778"/>
      <c r="J11" s="800"/>
    </row>
    <row r="12" spans="2:10" ht="12.75">
      <c r="B12" s="67">
        <f t="shared" si="0"/>
        <v>6</v>
      </c>
      <c r="C12" s="9" t="s">
        <v>25</v>
      </c>
      <c r="D12" s="74"/>
      <c r="E12" s="78"/>
      <c r="F12" s="72" t="s">
        <v>26</v>
      </c>
      <c r="G12" s="111"/>
      <c r="H12" s="418">
        <f>H13</f>
        <v>4320000</v>
      </c>
      <c r="I12" s="664">
        <f>I13</f>
        <v>2657851</v>
      </c>
      <c r="J12" s="800">
        <f t="shared" si="1"/>
        <v>61.5243287037037</v>
      </c>
    </row>
    <row r="13" spans="2:10" ht="12.75">
      <c r="B13" s="67">
        <f t="shared" si="0"/>
        <v>7</v>
      </c>
      <c r="C13" s="10"/>
      <c r="D13" s="74" t="s">
        <v>27</v>
      </c>
      <c r="E13" s="78"/>
      <c r="F13" s="65" t="s">
        <v>28</v>
      </c>
      <c r="G13" s="111"/>
      <c r="H13" s="419">
        <f>SUM(H14:H16)</f>
        <v>4320000</v>
      </c>
      <c r="I13" s="778">
        <f>I14+I15+I16</f>
        <v>2657851</v>
      </c>
      <c r="J13" s="800">
        <f t="shared" si="1"/>
        <v>61.5243287037037</v>
      </c>
    </row>
    <row r="14" spans="2:10" ht="12.75">
      <c r="B14" s="67">
        <f t="shared" si="0"/>
        <v>8</v>
      </c>
      <c r="C14" s="10"/>
      <c r="D14" s="74"/>
      <c r="E14" s="78" t="s">
        <v>29</v>
      </c>
      <c r="F14" s="69" t="s">
        <v>30</v>
      </c>
      <c r="G14" s="111"/>
      <c r="H14" s="420">
        <v>420000</v>
      </c>
      <c r="I14" s="778">
        <v>298322</v>
      </c>
      <c r="J14" s="800">
        <f t="shared" si="1"/>
        <v>71.02904761904762</v>
      </c>
    </row>
    <row r="15" spans="2:10" ht="12.75">
      <c r="B15" s="67">
        <f t="shared" si="0"/>
        <v>9</v>
      </c>
      <c r="C15" s="10"/>
      <c r="D15" s="74"/>
      <c r="E15" s="78" t="s">
        <v>31</v>
      </c>
      <c r="F15" s="69" t="s">
        <v>32</v>
      </c>
      <c r="G15" s="111"/>
      <c r="H15" s="420">
        <v>3600000</v>
      </c>
      <c r="I15" s="778">
        <f>2108035+4499</f>
        <v>2112534</v>
      </c>
      <c r="J15" s="800">
        <f t="shared" si="1"/>
        <v>58.6815</v>
      </c>
    </row>
    <row r="16" spans="2:10" ht="12.75">
      <c r="B16" s="67">
        <f t="shared" si="0"/>
        <v>10</v>
      </c>
      <c r="C16" s="10"/>
      <c r="D16" s="74"/>
      <c r="E16" s="78" t="s">
        <v>23</v>
      </c>
      <c r="F16" s="69" t="s">
        <v>33</v>
      </c>
      <c r="G16" s="111"/>
      <c r="H16" s="420">
        <v>300000</v>
      </c>
      <c r="I16" s="778">
        <v>246995</v>
      </c>
      <c r="J16" s="800">
        <f t="shared" si="1"/>
        <v>82.33166666666666</v>
      </c>
    </row>
    <row r="17" spans="2:10" ht="12.75">
      <c r="B17" s="67">
        <f t="shared" si="0"/>
        <v>11</v>
      </c>
      <c r="C17" s="79"/>
      <c r="D17" s="74"/>
      <c r="E17" s="78"/>
      <c r="F17" s="80"/>
      <c r="G17" s="111"/>
      <c r="H17" s="421"/>
      <c r="I17" s="778"/>
      <c r="J17" s="800"/>
    </row>
    <row r="18" spans="2:10" ht="12.75">
      <c r="B18" s="67">
        <f t="shared" si="0"/>
        <v>12</v>
      </c>
      <c r="C18" s="9" t="s">
        <v>34</v>
      </c>
      <c r="D18" s="74"/>
      <c r="E18" s="78"/>
      <c r="F18" s="72" t="s">
        <v>35</v>
      </c>
      <c r="G18" s="111"/>
      <c r="H18" s="418">
        <f>SUM(H19:H21)</f>
        <v>2050000</v>
      </c>
      <c r="I18" s="664">
        <f>I19+I20+I21</f>
        <v>1491771</v>
      </c>
      <c r="J18" s="800">
        <f t="shared" si="1"/>
        <v>72.76931707317074</v>
      </c>
    </row>
    <row r="19" spans="2:10" ht="12.75">
      <c r="B19" s="67">
        <f t="shared" si="0"/>
        <v>13</v>
      </c>
      <c r="C19" s="47"/>
      <c r="D19" s="2" t="s">
        <v>36</v>
      </c>
      <c r="E19" s="3" t="s">
        <v>37</v>
      </c>
      <c r="F19" s="69" t="s">
        <v>38</v>
      </c>
      <c r="G19" s="20"/>
      <c r="H19" s="419">
        <v>15000</v>
      </c>
      <c r="I19" s="778">
        <v>18168</v>
      </c>
      <c r="J19" s="800">
        <f t="shared" si="1"/>
        <v>121.12</v>
      </c>
    </row>
    <row r="20" spans="2:10" ht="12.75">
      <c r="B20" s="67">
        <f t="shared" si="0"/>
        <v>14</v>
      </c>
      <c r="C20" s="47"/>
      <c r="D20" s="2" t="s">
        <v>36</v>
      </c>
      <c r="E20" s="3" t="s">
        <v>29</v>
      </c>
      <c r="F20" s="69" t="s">
        <v>145</v>
      </c>
      <c r="G20" s="20"/>
      <c r="H20" s="419">
        <v>35000</v>
      </c>
      <c r="I20" s="778">
        <v>34490</v>
      </c>
      <c r="J20" s="800">
        <f t="shared" si="1"/>
        <v>98.54285714285714</v>
      </c>
    </row>
    <row r="21" spans="2:10" ht="12.75">
      <c r="B21" s="67">
        <f t="shared" si="0"/>
        <v>15</v>
      </c>
      <c r="C21" s="47"/>
      <c r="D21" s="2" t="s">
        <v>36</v>
      </c>
      <c r="E21" s="3" t="s">
        <v>39</v>
      </c>
      <c r="F21" s="69" t="s">
        <v>279</v>
      </c>
      <c r="G21" s="20"/>
      <c r="H21" s="419">
        <v>2000000</v>
      </c>
      <c r="I21" s="778">
        <f>321+1253186+185606</f>
        <v>1439113</v>
      </c>
      <c r="J21" s="800">
        <f t="shared" si="1"/>
        <v>71.95565</v>
      </c>
    </row>
    <row r="22" spans="2:11" ht="12.75">
      <c r="B22" s="67">
        <f t="shared" si="0"/>
        <v>16</v>
      </c>
      <c r="C22" s="10"/>
      <c r="D22" s="74"/>
      <c r="E22" s="78"/>
      <c r="F22" s="76"/>
      <c r="G22" s="111"/>
      <c r="H22" s="417"/>
      <c r="I22" s="778"/>
      <c r="J22" s="800"/>
      <c r="K22" s="306"/>
    </row>
    <row r="23" spans="2:10" ht="19.5" customHeight="1">
      <c r="B23" s="790">
        <f t="shared" si="0"/>
        <v>17</v>
      </c>
      <c r="C23" s="242" t="s">
        <v>40</v>
      </c>
      <c r="D23" s="243"/>
      <c r="E23" s="244"/>
      <c r="F23" s="246" t="s">
        <v>41</v>
      </c>
      <c r="G23" s="245"/>
      <c r="H23" s="570">
        <f>H25+H34+H45+H47+H54+H78+H108+H121+H130</f>
        <v>2543370</v>
      </c>
      <c r="I23" s="783">
        <f>I25+I34+I45+I47+I54+I78+I108+I121+I130+I132</f>
        <v>1280779.79</v>
      </c>
      <c r="J23" s="804">
        <f t="shared" si="1"/>
        <v>50.35758816059008</v>
      </c>
    </row>
    <row r="24" spans="2:10" ht="12.75">
      <c r="B24" s="67">
        <f t="shared" si="0"/>
        <v>18</v>
      </c>
      <c r="C24" s="81"/>
      <c r="D24" s="81"/>
      <c r="E24" s="82"/>
      <c r="F24" s="69"/>
      <c r="G24" s="110"/>
      <c r="H24" s="422"/>
      <c r="I24" s="778"/>
      <c r="J24" s="800"/>
    </row>
    <row r="25" spans="2:10" ht="12.75">
      <c r="B25" s="67">
        <f t="shared" si="0"/>
        <v>19</v>
      </c>
      <c r="C25" s="9" t="s">
        <v>42</v>
      </c>
      <c r="D25" s="9"/>
      <c r="E25" s="11"/>
      <c r="F25" s="72" t="s">
        <v>43</v>
      </c>
      <c r="G25" s="110"/>
      <c r="H25" s="418">
        <f>H26</f>
        <v>451300</v>
      </c>
      <c r="I25" s="664">
        <f>I26</f>
        <v>279778</v>
      </c>
      <c r="J25" s="800">
        <f t="shared" si="1"/>
        <v>61.99379570130733</v>
      </c>
    </row>
    <row r="26" spans="2:10" ht="12.75">
      <c r="B26" s="67">
        <f t="shared" si="0"/>
        <v>20</v>
      </c>
      <c r="C26" s="9"/>
      <c r="D26" s="9" t="s">
        <v>44</v>
      </c>
      <c r="E26" s="11"/>
      <c r="F26" s="112" t="s">
        <v>98</v>
      </c>
      <c r="G26" s="110"/>
      <c r="H26" s="420">
        <f>H27+H28</f>
        <v>451300</v>
      </c>
      <c r="I26" s="778">
        <f>I27+I28+I33</f>
        <v>279778</v>
      </c>
      <c r="J26" s="800">
        <f t="shared" si="1"/>
        <v>61.99379570130733</v>
      </c>
    </row>
    <row r="27" spans="2:10" ht="12.75">
      <c r="B27" s="67">
        <f t="shared" si="0"/>
        <v>21</v>
      </c>
      <c r="C27" s="81"/>
      <c r="D27" s="70"/>
      <c r="E27" s="12" t="s">
        <v>31</v>
      </c>
      <c r="F27" s="77" t="s">
        <v>45</v>
      </c>
      <c r="G27" s="110"/>
      <c r="H27" s="420">
        <v>144400</v>
      </c>
      <c r="I27" s="778">
        <f>1258+82920</f>
        <v>84178</v>
      </c>
      <c r="J27" s="800">
        <f t="shared" si="1"/>
        <v>58.295013850415515</v>
      </c>
    </row>
    <row r="28" spans="2:10" ht="12.75">
      <c r="B28" s="67">
        <f t="shared" si="0"/>
        <v>22</v>
      </c>
      <c r="C28" s="81"/>
      <c r="D28" s="70"/>
      <c r="E28" s="12" t="s">
        <v>23</v>
      </c>
      <c r="F28" s="77" t="s">
        <v>46</v>
      </c>
      <c r="G28" s="110"/>
      <c r="H28" s="422">
        <f>SUM(H29:H31)</f>
        <v>306900</v>
      </c>
      <c r="I28" s="778">
        <f>I29+I30+I31+I32</f>
        <v>195600</v>
      </c>
      <c r="J28" s="800">
        <f t="shared" si="1"/>
        <v>63.73411534701857</v>
      </c>
    </row>
    <row r="29" spans="2:10" ht="12.75">
      <c r="B29" s="67">
        <f t="shared" si="0"/>
        <v>23</v>
      </c>
      <c r="C29" s="81"/>
      <c r="D29" s="70"/>
      <c r="E29" s="82"/>
      <c r="F29" s="65"/>
      <c r="G29" s="110" t="s">
        <v>47</v>
      </c>
      <c r="H29" s="422">
        <v>40000</v>
      </c>
      <c r="I29" s="778">
        <f>4985+20762</f>
        <v>25747</v>
      </c>
      <c r="J29" s="800">
        <f t="shared" si="1"/>
        <v>64.3675</v>
      </c>
    </row>
    <row r="30" spans="2:10" ht="12.75">
      <c r="B30" s="67">
        <f t="shared" si="0"/>
        <v>24</v>
      </c>
      <c r="C30" s="81"/>
      <c r="D30" s="70"/>
      <c r="E30" s="82"/>
      <c r="F30" s="77"/>
      <c r="G30" s="110" t="s">
        <v>48</v>
      </c>
      <c r="H30" s="422">
        <f>250000-3100</f>
        <v>246900</v>
      </c>
      <c r="I30" s="778">
        <f>113063+746+1761</f>
        <v>115570</v>
      </c>
      <c r="J30" s="800">
        <f t="shared" si="1"/>
        <v>46.80842446334548</v>
      </c>
    </row>
    <row r="31" spans="2:10" ht="12.75">
      <c r="B31" s="67">
        <f t="shared" si="0"/>
        <v>25</v>
      </c>
      <c r="C31" s="81"/>
      <c r="D31" s="81"/>
      <c r="E31" s="82"/>
      <c r="F31" s="77"/>
      <c r="G31" s="110" t="s">
        <v>143</v>
      </c>
      <c r="H31" s="426">
        <v>20000</v>
      </c>
      <c r="I31" s="778">
        <f>638+391+216+409+6750+9793+1733</f>
        <v>19930</v>
      </c>
      <c r="J31" s="800">
        <f t="shared" si="1"/>
        <v>99.65</v>
      </c>
    </row>
    <row r="32" spans="2:10" ht="12.75">
      <c r="B32" s="67">
        <f t="shared" si="0"/>
        <v>26</v>
      </c>
      <c r="C32" s="81"/>
      <c r="D32" s="81"/>
      <c r="E32" s="82"/>
      <c r="F32" s="77"/>
      <c r="G32" s="110" t="s">
        <v>473</v>
      </c>
      <c r="H32" s="422"/>
      <c r="I32" s="778">
        <f>27+30+34296</f>
        <v>34353</v>
      </c>
      <c r="J32" s="800"/>
    </row>
    <row r="33" spans="2:10" ht="12.75">
      <c r="B33" s="67">
        <f t="shared" si="0"/>
        <v>27</v>
      </c>
      <c r="C33" s="81"/>
      <c r="D33" s="81"/>
      <c r="E33" s="71"/>
      <c r="F33" s="77"/>
      <c r="G33" s="110"/>
      <c r="H33" s="422"/>
      <c r="I33" s="778"/>
      <c r="J33" s="800"/>
    </row>
    <row r="34" spans="2:10" ht="12.75">
      <c r="B34" s="67">
        <f t="shared" si="0"/>
        <v>28</v>
      </c>
      <c r="C34" s="9" t="s">
        <v>49</v>
      </c>
      <c r="D34" s="81"/>
      <c r="E34" s="82"/>
      <c r="F34" s="72" t="s">
        <v>50</v>
      </c>
      <c r="G34" s="110"/>
      <c r="H34" s="427">
        <f>H35+H38+H39+H43</f>
        <v>527500</v>
      </c>
      <c r="I34" s="664">
        <f>I35+I38+I39+I43</f>
        <v>135907.06</v>
      </c>
      <c r="J34" s="800">
        <f t="shared" si="1"/>
        <v>25.764371563981044</v>
      </c>
    </row>
    <row r="35" spans="2:10" ht="12.75">
      <c r="B35" s="67">
        <f t="shared" si="0"/>
        <v>29</v>
      </c>
      <c r="C35" s="81"/>
      <c r="D35" s="70" t="s">
        <v>51</v>
      </c>
      <c r="E35" s="12" t="s">
        <v>52</v>
      </c>
      <c r="F35" s="77" t="s">
        <v>53</v>
      </c>
      <c r="G35" s="110"/>
      <c r="H35" s="422">
        <f>SUM(H36:H37)</f>
        <v>400000</v>
      </c>
      <c r="I35" s="778">
        <f>I36+I37</f>
        <v>65846.29000000001</v>
      </c>
      <c r="J35" s="800">
        <f t="shared" si="1"/>
        <v>16.461572500000003</v>
      </c>
    </row>
    <row r="36" spans="2:10" ht="12.75">
      <c r="B36" s="67">
        <f t="shared" si="0"/>
        <v>30</v>
      </c>
      <c r="C36" s="81"/>
      <c r="D36" s="70"/>
      <c r="E36" s="71"/>
      <c r="F36" s="65"/>
      <c r="G36" s="110" t="s">
        <v>99</v>
      </c>
      <c r="H36" s="422">
        <v>300000</v>
      </c>
      <c r="I36" s="778">
        <v>7467.5</v>
      </c>
      <c r="J36" s="800">
        <f t="shared" si="1"/>
        <v>2.4891666666666667</v>
      </c>
    </row>
    <row r="37" spans="2:10" ht="12.75">
      <c r="B37" s="67">
        <f t="shared" si="0"/>
        <v>31</v>
      </c>
      <c r="C37" s="81"/>
      <c r="D37" s="81"/>
      <c r="E37" s="82"/>
      <c r="F37" s="65"/>
      <c r="G37" s="110" t="s">
        <v>54</v>
      </c>
      <c r="H37" s="422">
        <v>100000</v>
      </c>
      <c r="I37" s="778">
        <f>19+8024.1+14494.5+1330.65+3006.5+21+421+7430+57.04+4628.5+3100.5+4413.5+900+6480+706.5+91+738+2507.5+9.5</f>
        <v>58378.79</v>
      </c>
      <c r="J37" s="800">
        <f t="shared" si="1"/>
        <v>58.37879</v>
      </c>
    </row>
    <row r="38" spans="2:12" ht="12.75">
      <c r="B38" s="67">
        <f t="shared" si="0"/>
        <v>32</v>
      </c>
      <c r="C38" s="81"/>
      <c r="D38" s="10" t="s">
        <v>55</v>
      </c>
      <c r="E38" s="71" t="s">
        <v>23</v>
      </c>
      <c r="F38" s="83" t="s">
        <v>56</v>
      </c>
      <c r="G38" s="110"/>
      <c r="H38" s="422">
        <v>75000</v>
      </c>
      <c r="I38" s="778">
        <f>200+4850+100+24510+291.39+32+3848.53+1065.57+16.6+15+40</f>
        <v>34969.09</v>
      </c>
      <c r="J38" s="800">
        <f t="shared" si="1"/>
        <v>46.625453333333326</v>
      </c>
      <c r="L38" s="667"/>
    </row>
    <row r="39" spans="2:10" ht="12.75">
      <c r="B39" s="67">
        <f t="shared" si="0"/>
        <v>33</v>
      </c>
      <c r="C39" s="81"/>
      <c r="D39" s="70" t="s">
        <v>57</v>
      </c>
      <c r="E39" s="12" t="s">
        <v>29</v>
      </c>
      <c r="F39" s="77" t="s">
        <v>58</v>
      </c>
      <c r="G39" s="110"/>
      <c r="H39" s="422">
        <f>H40+H41</f>
        <v>50500</v>
      </c>
      <c r="I39" s="778">
        <f>SUM(I40:I42)</f>
        <v>33049.78</v>
      </c>
      <c r="J39" s="800">
        <f t="shared" si="1"/>
        <v>65.4451089108911</v>
      </c>
    </row>
    <row r="40" spans="2:10" ht="12.75">
      <c r="B40" s="67">
        <f t="shared" si="0"/>
        <v>34</v>
      </c>
      <c r="C40" s="81"/>
      <c r="D40" s="81"/>
      <c r="E40" s="12"/>
      <c r="F40" s="84" t="s">
        <v>0</v>
      </c>
      <c r="G40" s="428"/>
      <c r="H40" s="422">
        <v>500</v>
      </c>
      <c r="I40" s="778">
        <v>0</v>
      </c>
      <c r="J40" s="800">
        <f t="shared" si="1"/>
        <v>0</v>
      </c>
    </row>
    <row r="41" spans="2:10" ht="12.75">
      <c r="B41" s="67">
        <f t="shared" si="0"/>
        <v>35</v>
      </c>
      <c r="C41" s="86"/>
      <c r="D41" s="86"/>
      <c r="E41" s="13"/>
      <c r="F41" s="113"/>
      <c r="G41" s="429" t="s">
        <v>143</v>
      </c>
      <c r="H41" s="422">
        <v>50000</v>
      </c>
      <c r="I41" s="778">
        <f>2000+95+103+6.64+277.86+312+77+434.28</f>
        <v>3305.7799999999997</v>
      </c>
      <c r="J41" s="800">
        <f t="shared" si="1"/>
        <v>6.61156</v>
      </c>
    </row>
    <row r="42" spans="2:10" ht="12.75">
      <c r="B42" s="67">
        <f t="shared" si="0"/>
        <v>36</v>
      </c>
      <c r="C42" s="86"/>
      <c r="D42" s="86"/>
      <c r="E42" s="13"/>
      <c r="F42" s="113"/>
      <c r="G42" s="429" t="s">
        <v>478</v>
      </c>
      <c r="H42" s="422"/>
      <c r="I42" s="778">
        <v>29744</v>
      </c>
      <c r="J42" s="800"/>
    </row>
    <row r="43" spans="2:10" ht="12.75">
      <c r="B43" s="67">
        <f t="shared" si="0"/>
        <v>37</v>
      </c>
      <c r="C43" s="86"/>
      <c r="D43" s="828" t="s">
        <v>59</v>
      </c>
      <c r="E43" s="13" t="s">
        <v>60</v>
      </c>
      <c r="F43" s="85" t="s">
        <v>100</v>
      </c>
      <c r="G43" s="114"/>
      <c r="H43" s="422">
        <v>2000</v>
      </c>
      <c r="I43" s="778">
        <f>790.43+1251.47</f>
        <v>2041.9</v>
      </c>
      <c r="J43" s="800">
        <f t="shared" si="1"/>
        <v>102.095</v>
      </c>
    </row>
    <row r="44" spans="2:10" ht="12.75">
      <c r="B44" s="67">
        <f t="shared" si="0"/>
        <v>38</v>
      </c>
      <c r="C44" s="86"/>
      <c r="D44" s="87"/>
      <c r="E44" s="13"/>
      <c r="F44" s="85"/>
      <c r="G44" s="114"/>
      <c r="H44" s="426"/>
      <c r="I44" s="778"/>
      <c r="J44" s="800"/>
    </row>
    <row r="45" spans="2:10" ht="12.75">
      <c r="B45" s="67">
        <f t="shared" si="0"/>
        <v>39</v>
      </c>
      <c r="C45" s="88" t="s">
        <v>61</v>
      </c>
      <c r="D45" s="87"/>
      <c r="E45" s="89"/>
      <c r="F45" s="90" t="s">
        <v>62</v>
      </c>
      <c r="G45" s="114"/>
      <c r="H45" s="427">
        <v>1000</v>
      </c>
      <c r="I45" s="824">
        <f>258.7+37.22+1163.22+0.59</f>
        <v>1459.7299999999998</v>
      </c>
      <c r="J45" s="800">
        <f t="shared" si="1"/>
        <v>145.97299999999998</v>
      </c>
    </row>
    <row r="46" spans="2:10" ht="12.75">
      <c r="B46" s="67">
        <f t="shared" si="0"/>
        <v>40</v>
      </c>
      <c r="C46" s="88"/>
      <c r="D46" s="13"/>
      <c r="E46" s="89"/>
      <c r="F46" s="91"/>
      <c r="G46" s="114"/>
      <c r="H46" s="426"/>
      <c r="I46" s="778"/>
      <c r="J46" s="800"/>
    </row>
    <row r="47" spans="2:10" ht="12.75">
      <c r="B47" s="67">
        <f t="shared" si="0"/>
        <v>41</v>
      </c>
      <c r="C47" s="88" t="s">
        <v>63</v>
      </c>
      <c r="D47" s="87"/>
      <c r="E47" s="89"/>
      <c r="F47" s="90" t="s">
        <v>64</v>
      </c>
      <c r="G47" s="114"/>
      <c r="H47" s="427">
        <f>SUM(H49:H52)</f>
        <v>280000</v>
      </c>
      <c r="I47" s="664">
        <f>SUM(I48:I52)</f>
        <v>228493</v>
      </c>
      <c r="J47" s="800">
        <f t="shared" si="1"/>
        <v>81.60464285714286</v>
      </c>
    </row>
    <row r="48" spans="2:10" ht="12.75">
      <c r="B48" s="67">
        <f t="shared" si="0"/>
        <v>42</v>
      </c>
      <c r="C48" s="9"/>
      <c r="D48" s="71" t="s">
        <v>65</v>
      </c>
      <c r="E48" s="71" t="s">
        <v>432</v>
      </c>
      <c r="F48" s="65" t="s">
        <v>433</v>
      </c>
      <c r="G48" s="22"/>
      <c r="H48" s="427"/>
      <c r="I48" s="778">
        <v>4240</v>
      </c>
      <c r="J48" s="800"/>
    </row>
    <row r="49" spans="2:12" ht="12.75" customHeight="1">
      <c r="B49" s="67">
        <f t="shared" si="0"/>
        <v>43</v>
      </c>
      <c r="C49" s="9"/>
      <c r="D49" s="71" t="s">
        <v>65</v>
      </c>
      <c r="E49" s="12" t="s">
        <v>66</v>
      </c>
      <c r="F49" s="77" t="s">
        <v>67</v>
      </c>
      <c r="G49" s="110"/>
      <c r="H49" s="422">
        <v>210000</v>
      </c>
      <c r="I49" s="666">
        <f>10840+8850+88400</f>
        <v>108090</v>
      </c>
      <c r="J49" s="803">
        <f t="shared" si="1"/>
        <v>51.47142857142857</v>
      </c>
      <c r="K49" s="931"/>
      <c r="L49" s="793"/>
    </row>
    <row r="50" spans="2:10" ht="12.75">
      <c r="B50" s="67">
        <f t="shared" si="0"/>
        <v>44</v>
      </c>
      <c r="C50" s="9"/>
      <c r="D50" s="71" t="s">
        <v>65</v>
      </c>
      <c r="E50" s="12" t="s">
        <v>37</v>
      </c>
      <c r="F50" s="77" t="s">
        <v>434</v>
      </c>
      <c r="G50" s="110"/>
      <c r="H50" s="422"/>
      <c r="I50" s="778">
        <v>23238</v>
      </c>
      <c r="J50" s="800"/>
    </row>
    <row r="51" spans="2:10" ht="12.75">
      <c r="B51" s="67">
        <f t="shared" si="0"/>
        <v>45</v>
      </c>
      <c r="C51" s="9"/>
      <c r="D51" s="71" t="s">
        <v>65</v>
      </c>
      <c r="E51" s="12" t="s">
        <v>449</v>
      </c>
      <c r="F51" s="77" t="s">
        <v>441</v>
      </c>
      <c r="G51" s="110"/>
      <c r="H51" s="422"/>
      <c r="I51" s="778">
        <v>91581</v>
      </c>
      <c r="J51" s="800"/>
    </row>
    <row r="52" spans="2:10" ht="12.75">
      <c r="B52" s="67">
        <f t="shared" si="0"/>
        <v>46</v>
      </c>
      <c r="C52" s="88"/>
      <c r="D52" s="779" t="s">
        <v>65</v>
      </c>
      <c r="E52" s="13"/>
      <c r="F52" s="85" t="s">
        <v>68</v>
      </c>
      <c r="G52" s="114"/>
      <c r="H52" s="422">
        <v>70000</v>
      </c>
      <c r="I52" s="778">
        <f>533+511+184+116</f>
        <v>1344</v>
      </c>
      <c r="J52" s="800">
        <f t="shared" si="1"/>
        <v>1.92</v>
      </c>
    </row>
    <row r="53" spans="2:10" ht="12.75">
      <c r="B53" s="67">
        <f t="shared" si="0"/>
        <v>47</v>
      </c>
      <c r="C53" s="93"/>
      <c r="D53" s="94"/>
      <c r="E53" s="13"/>
      <c r="F53" s="85"/>
      <c r="G53" s="114"/>
      <c r="H53" s="426"/>
      <c r="I53" s="778"/>
      <c r="J53" s="800"/>
    </row>
    <row r="54" spans="2:10" ht="12.75">
      <c r="B54" s="67">
        <f t="shared" si="0"/>
        <v>48</v>
      </c>
      <c r="C54" s="95"/>
      <c r="D54" s="96"/>
      <c r="E54" s="95"/>
      <c r="F54" s="455" t="s">
        <v>69</v>
      </c>
      <c r="G54" s="456"/>
      <c r="H54" s="791">
        <f>H56+H58</f>
        <v>194800</v>
      </c>
      <c r="I54" s="807">
        <f>I56+I58+I66+I67</f>
        <v>100164</v>
      </c>
      <c r="J54" s="805">
        <f t="shared" si="1"/>
        <v>51.418891170431216</v>
      </c>
    </row>
    <row r="55" spans="2:10" ht="12.75">
      <c r="B55" s="67">
        <f t="shared" si="0"/>
        <v>49</v>
      </c>
      <c r="C55" s="97"/>
      <c r="D55" s="98"/>
      <c r="E55" s="95"/>
      <c r="F55" s="99"/>
      <c r="G55" s="115"/>
      <c r="H55" s="423"/>
      <c r="I55" s="778"/>
      <c r="J55" s="800"/>
    </row>
    <row r="56" spans="2:10" ht="12.75">
      <c r="B56" s="67">
        <f t="shared" si="0"/>
        <v>50</v>
      </c>
      <c r="C56" s="9" t="s">
        <v>42</v>
      </c>
      <c r="D56" s="98"/>
      <c r="E56" s="95"/>
      <c r="F56" s="72" t="s">
        <v>43</v>
      </c>
      <c r="G56" s="115"/>
      <c r="H56" s="418">
        <f>H57</f>
        <v>21000</v>
      </c>
      <c r="I56" s="664">
        <f>I57</f>
        <v>14320</v>
      </c>
      <c r="J56" s="806">
        <f t="shared" si="1"/>
        <v>68.19047619047619</v>
      </c>
    </row>
    <row r="57" spans="2:10" ht="12.75">
      <c r="B57" s="67">
        <f t="shared" si="0"/>
        <v>51</v>
      </c>
      <c r="C57" s="100"/>
      <c r="D57" s="14"/>
      <c r="E57" s="3" t="s">
        <v>23</v>
      </c>
      <c r="F57" s="101" t="s">
        <v>46</v>
      </c>
      <c r="G57" s="430"/>
      <c r="H57" s="422">
        <f>21000</f>
        <v>21000</v>
      </c>
      <c r="I57" s="778">
        <f>80+14240</f>
        <v>14320</v>
      </c>
      <c r="J57" s="800">
        <f t="shared" si="1"/>
        <v>68.19047619047619</v>
      </c>
    </row>
    <row r="58" spans="2:10" ht="12.75">
      <c r="B58" s="67">
        <f t="shared" si="0"/>
        <v>52</v>
      </c>
      <c r="C58" s="9" t="s">
        <v>49</v>
      </c>
      <c r="D58" s="98"/>
      <c r="E58" s="95"/>
      <c r="F58" s="72" t="s">
        <v>50</v>
      </c>
      <c r="G58" s="430"/>
      <c r="H58" s="427">
        <f>H60</f>
        <v>173800</v>
      </c>
      <c r="I58" s="664">
        <f>I59+I60</f>
        <v>85423</v>
      </c>
      <c r="J58" s="806">
        <f t="shared" si="1"/>
        <v>49.15017261219793</v>
      </c>
    </row>
    <row r="59" spans="2:10" ht="12.75">
      <c r="B59" s="67">
        <f t="shared" si="0"/>
        <v>53</v>
      </c>
      <c r="C59" s="16"/>
      <c r="D59" s="14" t="s">
        <v>55</v>
      </c>
      <c r="E59" s="3" t="s">
        <v>23</v>
      </c>
      <c r="F59" s="65" t="s">
        <v>461</v>
      </c>
      <c r="G59" s="430"/>
      <c r="H59" s="422">
        <v>0</v>
      </c>
      <c r="I59" s="778">
        <v>192</v>
      </c>
      <c r="J59" s="806"/>
    </row>
    <row r="60" spans="2:10" ht="12.75">
      <c r="B60" s="67">
        <f t="shared" si="0"/>
        <v>54</v>
      </c>
      <c r="C60" s="97"/>
      <c r="D60" s="14" t="s">
        <v>57</v>
      </c>
      <c r="E60" s="3" t="s">
        <v>29</v>
      </c>
      <c r="F60" s="77" t="s">
        <v>70</v>
      </c>
      <c r="G60" s="430"/>
      <c r="H60" s="422">
        <f>SUM(H61:H65)</f>
        <v>173800</v>
      </c>
      <c r="I60" s="778">
        <f>I61+I62+I63+I64+I65</f>
        <v>85231</v>
      </c>
      <c r="J60" s="800">
        <f t="shared" si="1"/>
        <v>49.03970080552359</v>
      </c>
    </row>
    <row r="61" spans="2:10" ht="12.75">
      <c r="B61" s="67">
        <f t="shared" si="0"/>
        <v>55</v>
      </c>
      <c r="C61" s="100"/>
      <c r="D61" s="3"/>
      <c r="E61" s="3"/>
      <c r="F61" s="77"/>
      <c r="G61" s="431" t="s">
        <v>101</v>
      </c>
      <c r="H61" s="422">
        <v>23300</v>
      </c>
      <c r="I61" s="778">
        <v>12487</v>
      </c>
      <c r="J61" s="800">
        <f t="shared" si="1"/>
        <v>53.592274678111586</v>
      </c>
    </row>
    <row r="62" spans="2:10" ht="12.75">
      <c r="B62" s="67">
        <f t="shared" si="0"/>
        <v>56</v>
      </c>
      <c r="C62" s="97"/>
      <c r="D62" s="568"/>
      <c r="E62" s="568"/>
      <c r="F62" s="85"/>
      <c r="G62" s="430" t="s">
        <v>81</v>
      </c>
      <c r="H62" s="426">
        <v>55000</v>
      </c>
      <c r="I62" s="778">
        <v>2137</v>
      </c>
      <c r="J62" s="800">
        <f t="shared" si="1"/>
        <v>3.8854545454545453</v>
      </c>
    </row>
    <row r="63" spans="2:10" ht="12.75">
      <c r="B63" s="67">
        <f t="shared" si="0"/>
        <v>57</v>
      </c>
      <c r="C63" s="100"/>
      <c r="D63" s="3"/>
      <c r="E63" s="3"/>
      <c r="F63" s="77"/>
      <c r="G63" s="430" t="s">
        <v>438</v>
      </c>
      <c r="H63" s="422"/>
      <c r="I63" s="778">
        <v>384</v>
      </c>
      <c r="J63" s="800"/>
    </row>
    <row r="64" spans="2:10" ht="12.75">
      <c r="B64" s="67">
        <f t="shared" si="0"/>
        <v>58</v>
      </c>
      <c r="C64" s="100"/>
      <c r="D64" s="3"/>
      <c r="E64" s="3"/>
      <c r="F64" s="77"/>
      <c r="G64" s="431" t="s">
        <v>102</v>
      </c>
      <c r="H64" s="422">
        <f>78500+9500</f>
        <v>88000</v>
      </c>
      <c r="I64" s="778">
        <v>62446</v>
      </c>
      <c r="J64" s="800">
        <f t="shared" si="1"/>
        <v>70.96136363636364</v>
      </c>
    </row>
    <row r="65" spans="2:10" ht="12.75">
      <c r="B65" s="67">
        <f t="shared" si="0"/>
        <v>59</v>
      </c>
      <c r="C65" s="97"/>
      <c r="D65" s="568"/>
      <c r="E65" s="568"/>
      <c r="F65" s="85"/>
      <c r="G65" s="430" t="s">
        <v>71</v>
      </c>
      <c r="H65" s="426">
        <f>6500+1000</f>
        <v>7500</v>
      </c>
      <c r="I65" s="778">
        <v>7777</v>
      </c>
      <c r="J65" s="800">
        <f t="shared" si="1"/>
        <v>103.69333333333333</v>
      </c>
    </row>
    <row r="66" spans="2:10" ht="12.75">
      <c r="B66" s="67">
        <f t="shared" si="0"/>
        <v>60</v>
      </c>
      <c r="C66" s="16" t="s">
        <v>61</v>
      </c>
      <c r="D66" s="825">
        <v>242</v>
      </c>
      <c r="E66" s="826"/>
      <c r="F66" s="72" t="s">
        <v>447</v>
      </c>
      <c r="G66" s="431"/>
      <c r="H66" s="427">
        <v>0</v>
      </c>
      <c r="I66" s="829">
        <v>5</v>
      </c>
      <c r="J66" s="830"/>
    </row>
    <row r="67" spans="2:10" ht="12.75">
      <c r="B67" s="67">
        <f t="shared" si="0"/>
        <v>61</v>
      </c>
      <c r="C67" s="88" t="s">
        <v>63</v>
      </c>
      <c r="D67" s="98"/>
      <c r="E67" s="95"/>
      <c r="F67" s="90" t="s">
        <v>448</v>
      </c>
      <c r="G67" s="430"/>
      <c r="H67" s="831">
        <v>0</v>
      </c>
      <c r="I67" s="664">
        <f>I68+I69</f>
        <v>416</v>
      </c>
      <c r="J67" s="800"/>
    </row>
    <row r="68" spans="2:10" ht="12.75">
      <c r="B68" s="92">
        <f t="shared" si="0"/>
        <v>62</v>
      </c>
      <c r="C68" s="97"/>
      <c r="D68" s="568" t="s">
        <v>65</v>
      </c>
      <c r="E68" s="568" t="s">
        <v>37</v>
      </c>
      <c r="F68" s="85" t="s">
        <v>434</v>
      </c>
      <c r="G68" s="430"/>
      <c r="H68" s="426">
        <v>0</v>
      </c>
      <c r="I68" s="778">
        <v>345</v>
      </c>
      <c r="J68" s="800"/>
    </row>
    <row r="69" spans="2:10" ht="13.5" thickBot="1">
      <c r="B69" s="834">
        <f>B68+1</f>
        <v>63</v>
      </c>
      <c r="C69" s="565"/>
      <c r="D69" s="566" t="s">
        <v>65</v>
      </c>
      <c r="E69" s="566" t="s">
        <v>449</v>
      </c>
      <c r="F69" s="567" t="s">
        <v>450</v>
      </c>
      <c r="G69" s="942"/>
      <c r="H69" s="432">
        <v>0</v>
      </c>
      <c r="I69" s="801">
        <v>71</v>
      </c>
      <c r="J69" s="802"/>
    </row>
    <row r="70" spans="2:10" ht="12.75">
      <c r="B70" s="15"/>
      <c r="C70" s="116"/>
      <c r="D70" s="102"/>
      <c r="E70" s="102"/>
      <c r="F70" s="64"/>
      <c r="G70" s="835"/>
      <c r="H70" s="836"/>
      <c r="I70" s="837"/>
      <c r="J70" s="838"/>
    </row>
    <row r="71" spans="2:10" ht="12.75">
      <c r="B71" s="15"/>
      <c r="C71" s="116"/>
      <c r="D71" s="102"/>
      <c r="E71" s="102"/>
      <c r="F71" s="64"/>
      <c r="G71" s="835"/>
      <c r="H71" s="836"/>
      <c r="I71" s="837"/>
      <c r="J71" s="838"/>
    </row>
    <row r="72" spans="2:10" ht="12.75">
      <c r="B72" s="15"/>
      <c r="C72" s="116"/>
      <c r="D72" s="102"/>
      <c r="E72" s="102"/>
      <c r="F72" s="64"/>
      <c r="G72" s="835"/>
      <c r="H72" s="836"/>
      <c r="I72" s="837"/>
      <c r="J72" s="838"/>
    </row>
    <row r="73" spans="2:8" ht="13.5" thickBot="1">
      <c r="B73" s="15"/>
      <c r="C73" s="116"/>
      <c r="D73" s="102"/>
      <c r="E73" s="102"/>
      <c r="F73" s="64"/>
      <c r="G73" s="103"/>
      <c r="H73" s="117"/>
    </row>
    <row r="74" spans="2:10" ht="13.5" customHeight="1">
      <c r="B74" s="1062" t="s">
        <v>12</v>
      </c>
      <c r="C74" s="1074"/>
      <c r="D74" s="1074"/>
      <c r="E74" s="1074"/>
      <c r="F74" s="1074"/>
      <c r="G74" s="1075"/>
      <c r="H74" s="1071" t="s">
        <v>459</v>
      </c>
      <c r="I74" s="1056" t="s">
        <v>465</v>
      </c>
      <c r="J74" s="1059" t="s">
        <v>406</v>
      </c>
    </row>
    <row r="75" spans="2:10" ht="12.75" customHeight="1">
      <c r="B75" s="1076"/>
      <c r="C75" s="1077"/>
      <c r="D75" s="1077"/>
      <c r="E75" s="1077"/>
      <c r="F75" s="1077"/>
      <c r="G75" s="1078"/>
      <c r="H75" s="1072"/>
      <c r="I75" s="1057"/>
      <c r="J75" s="1060"/>
    </row>
    <row r="76" spans="2:10" ht="16.5" customHeight="1">
      <c r="B76" s="176"/>
      <c r="C76" s="177" t="s">
        <v>13</v>
      </c>
      <c r="D76" s="177" t="s">
        <v>14</v>
      </c>
      <c r="E76" s="177" t="s">
        <v>15</v>
      </c>
      <c r="F76" s="178"/>
      <c r="G76" s="179"/>
      <c r="H76" s="1072"/>
      <c r="I76" s="1057"/>
      <c r="J76" s="1060"/>
    </row>
    <row r="77" spans="2:10" ht="26.25" customHeight="1" thickBot="1">
      <c r="B77" s="180"/>
      <c r="C77" s="181"/>
      <c r="D77" s="182"/>
      <c r="E77" s="181" t="s">
        <v>16</v>
      </c>
      <c r="F77" s="183" t="s">
        <v>17</v>
      </c>
      <c r="G77" s="184"/>
      <c r="H77" s="1073"/>
      <c r="I77" s="1058"/>
      <c r="J77" s="1061"/>
    </row>
    <row r="78" spans="2:10" ht="13.5" customHeight="1" thickTop="1">
      <c r="B78" s="67">
        <f>B69+1</f>
        <v>64</v>
      </c>
      <c r="C78" s="9"/>
      <c r="D78" s="9"/>
      <c r="E78" s="11"/>
      <c r="F78" s="457" t="s">
        <v>72</v>
      </c>
      <c r="G78" s="458"/>
      <c r="H78" s="459">
        <f>H79+H83+H89+H91+H96+H101++H90</f>
        <v>669000</v>
      </c>
      <c r="I78" s="807">
        <f>I79+I83+I89+I91+I96+I101+I102+I103+I104+I105+I106</f>
        <v>288592</v>
      </c>
      <c r="J78" s="982">
        <f aca="true" t="shared" si="2" ref="J78:J84">I78/H78*100</f>
        <v>43.13781763826607</v>
      </c>
    </row>
    <row r="79" spans="2:10" ht="12.75">
      <c r="B79" s="92">
        <f>B78+1</f>
        <v>65</v>
      </c>
      <c r="C79" s="70"/>
      <c r="D79" s="70"/>
      <c r="E79" s="3"/>
      <c r="F79" s="104" t="s">
        <v>73</v>
      </c>
      <c r="G79" s="21"/>
      <c r="H79" s="415">
        <f>SUM(H80:H82)</f>
        <v>116000</v>
      </c>
      <c r="I79" s="664">
        <f>SUM(I80:I82)</f>
        <v>52763</v>
      </c>
      <c r="J79" s="918">
        <f t="shared" si="2"/>
        <v>45.485344827586204</v>
      </c>
    </row>
    <row r="80" spans="2:10" ht="12.75">
      <c r="B80" s="92">
        <f aca="true" t="shared" si="3" ref="B80:B175">B79+1</f>
        <v>66</v>
      </c>
      <c r="C80" s="14"/>
      <c r="D80" s="14" t="s">
        <v>57</v>
      </c>
      <c r="E80" s="3" t="s">
        <v>31</v>
      </c>
      <c r="F80" s="83" t="s">
        <v>185</v>
      </c>
      <c r="G80" s="21"/>
      <c r="H80" s="419">
        <f>95000+6000</f>
        <v>101000</v>
      </c>
      <c r="I80" s="778">
        <v>45060</v>
      </c>
      <c r="J80" s="918">
        <f t="shared" si="2"/>
        <v>44.613861386138616</v>
      </c>
    </row>
    <row r="81" spans="2:10" ht="12.75">
      <c r="B81" s="92">
        <f t="shared" si="3"/>
        <v>67</v>
      </c>
      <c r="C81" s="70"/>
      <c r="D81" s="70" t="s">
        <v>57</v>
      </c>
      <c r="E81" s="71" t="s">
        <v>23</v>
      </c>
      <c r="F81" s="65" t="s">
        <v>186</v>
      </c>
      <c r="G81" s="22"/>
      <c r="H81" s="422">
        <v>9000</v>
      </c>
      <c r="I81" s="778">
        <v>4335</v>
      </c>
      <c r="J81" s="918">
        <f t="shared" si="2"/>
        <v>48.16666666666667</v>
      </c>
    </row>
    <row r="82" spans="2:10" ht="12.75">
      <c r="B82" s="92">
        <f t="shared" si="3"/>
        <v>68</v>
      </c>
      <c r="C82" s="70"/>
      <c r="D82" s="70" t="s">
        <v>57</v>
      </c>
      <c r="E82" s="71" t="s">
        <v>23</v>
      </c>
      <c r="F82" s="65" t="s">
        <v>187</v>
      </c>
      <c r="G82" s="22"/>
      <c r="H82" s="422">
        <v>6000</v>
      </c>
      <c r="I82" s="778">
        <f>3293+75</f>
        <v>3368</v>
      </c>
      <c r="J82" s="918">
        <f t="shared" si="2"/>
        <v>56.13333333333333</v>
      </c>
    </row>
    <row r="83" spans="2:10" ht="12.75">
      <c r="B83" s="92">
        <f t="shared" si="3"/>
        <v>69</v>
      </c>
      <c r="C83" s="70"/>
      <c r="D83" s="70"/>
      <c r="E83" s="71"/>
      <c r="F83" s="105" t="s">
        <v>75</v>
      </c>
      <c r="G83" s="22"/>
      <c r="H83" s="427">
        <f>SUM(H84:H88)</f>
        <v>151000</v>
      </c>
      <c r="I83" s="664">
        <f>SUM(I84:I88)</f>
        <v>37137</v>
      </c>
      <c r="J83" s="918">
        <f t="shared" si="2"/>
        <v>24.594039735099336</v>
      </c>
    </row>
    <row r="84" spans="2:10" ht="12.75">
      <c r="B84" s="92">
        <f t="shared" si="3"/>
        <v>70</v>
      </c>
      <c r="C84" s="70"/>
      <c r="D84" s="70" t="s">
        <v>57</v>
      </c>
      <c r="E84" s="71" t="s">
        <v>29</v>
      </c>
      <c r="F84" s="65" t="s">
        <v>195</v>
      </c>
      <c r="G84" s="22"/>
      <c r="H84" s="422">
        <f>302000-163000</f>
        <v>139000</v>
      </c>
      <c r="I84" s="778">
        <v>33649</v>
      </c>
      <c r="J84" s="918">
        <f t="shared" si="2"/>
        <v>24.207913669064748</v>
      </c>
    </row>
    <row r="85" spans="2:10" ht="12.75">
      <c r="B85" s="92">
        <f t="shared" si="3"/>
        <v>71</v>
      </c>
      <c r="C85" s="70"/>
      <c r="D85" s="70" t="s">
        <v>57</v>
      </c>
      <c r="E85" s="71" t="s">
        <v>29</v>
      </c>
      <c r="F85" s="65" t="s">
        <v>189</v>
      </c>
      <c r="G85" s="22"/>
      <c r="H85" s="422">
        <v>0</v>
      </c>
      <c r="I85" s="778"/>
      <c r="J85" s="918"/>
    </row>
    <row r="86" spans="2:10" ht="12.75">
      <c r="B86" s="92">
        <f t="shared" si="3"/>
        <v>72</v>
      </c>
      <c r="C86" s="70"/>
      <c r="D86" s="70" t="s">
        <v>57</v>
      </c>
      <c r="E86" s="71" t="s">
        <v>29</v>
      </c>
      <c r="F86" s="65" t="s">
        <v>184</v>
      </c>
      <c r="G86" s="22"/>
      <c r="H86" s="422">
        <v>0</v>
      </c>
      <c r="I86" s="778"/>
      <c r="J86" s="918"/>
    </row>
    <row r="87" spans="2:10" ht="12.75">
      <c r="B87" s="92">
        <f t="shared" si="3"/>
        <v>73</v>
      </c>
      <c r="C87" s="70"/>
      <c r="D87" s="70" t="s">
        <v>57</v>
      </c>
      <c r="E87" s="71" t="s">
        <v>29</v>
      </c>
      <c r="F87" s="65" t="s">
        <v>196</v>
      </c>
      <c r="G87" s="22"/>
      <c r="H87" s="422">
        <f>3000+2000</f>
        <v>5000</v>
      </c>
      <c r="I87" s="778">
        <v>1089</v>
      </c>
      <c r="J87" s="918">
        <f aca="true" t="shared" si="4" ref="J87:J94">I87/H87*100</f>
        <v>21.78</v>
      </c>
    </row>
    <row r="88" spans="2:10" ht="12.75" customHeight="1">
      <c r="B88" s="92">
        <f t="shared" si="3"/>
        <v>74</v>
      </c>
      <c r="C88" s="70"/>
      <c r="D88" s="70" t="s">
        <v>57</v>
      </c>
      <c r="E88" s="71" t="s">
        <v>29</v>
      </c>
      <c r="F88" s="65" t="s">
        <v>76</v>
      </c>
      <c r="G88" s="22"/>
      <c r="H88" s="422">
        <v>7000</v>
      </c>
      <c r="I88" s="778">
        <v>2399</v>
      </c>
      <c r="J88" s="918">
        <f t="shared" si="4"/>
        <v>34.27142857142857</v>
      </c>
    </row>
    <row r="89" spans="2:10" ht="12.75" customHeight="1">
      <c r="B89" s="92">
        <f t="shared" si="3"/>
        <v>75</v>
      </c>
      <c r="C89" s="70"/>
      <c r="D89" s="70"/>
      <c r="E89" s="71"/>
      <c r="F89" s="105" t="s">
        <v>146</v>
      </c>
      <c r="G89" s="22"/>
      <c r="H89" s="427">
        <v>3000</v>
      </c>
      <c r="I89" s="664">
        <v>744</v>
      </c>
      <c r="J89" s="918">
        <f t="shared" si="4"/>
        <v>24.8</v>
      </c>
    </row>
    <row r="90" spans="2:10" ht="12.75" customHeight="1">
      <c r="B90" s="92">
        <f t="shared" si="3"/>
        <v>76</v>
      </c>
      <c r="C90" s="70"/>
      <c r="D90" s="70"/>
      <c r="E90" s="71"/>
      <c r="F90" s="105" t="s">
        <v>178</v>
      </c>
      <c r="G90" s="22"/>
      <c r="H90" s="427">
        <v>2000</v>
      </c>
      <c r="I90" s="778">
        <v>0</v>
      </c>
      <c r="J90" s="918">
        <f t="shared" si="4"/>
        <v>0</v>
      </c>
    </row>
    <row r="91" spans="2:10" ht="12.75" customHeight="1">
      <c r="B91" s="92">
        <f t="shared" si="3"/>
        <v>77</v>
      </c>
      <c r="C91" s="70"/>
      <c r="D91" s="70"/>
      <c r="E91" s="71"/>
      <c r="F91" s="105" t="s">
        <v>74</v>
      </c>
      <c r="G91" s="22"/>
      <c r="H91" s="427">
        <f>SUM(H92:H94)</f>
        <v>270000</v>
      </c>
      <c r="I91" s="664">
        <f>SUM(I92:I94)</f>
        <v>114602</v>
      </c>
      <c r="J91" s="918">
        <f t="shared" si="4"/>
        <v>42.44518518518519</v>
      </c>
    </row>
    <row r="92" spans="2:10" ht="13.5" customHeight="1">
      <c r="B92" s="92">
        <f t="shared" si="3"/>
        <v>78</v>
      </c>
      <c r="C92" s="70"/>
      <c r="D92" s="70" t="s">
        <v>57</v>
      </c>
      <c r="E92" s="71" t="s">
        <v>29</v>
      </c>
      <c r="F92" s="65" t="s">
        <v>191</v>
      </c>
      <c r="G92" s="22"/>
      <c r="H92" s="422">
        <f>22000-1000</f>
        <v>21000</v>
      </c>
      <c r="I92" s="778">
        <v>6514</v>
      </c>
      <c r="J92" s="918">
        <f t="shared" si="4"/>
        <v>31.01904761904762</v>
      </c>
    </row>
    <row r="93" spans="2:10" ht="12.75">
      <c r="B93" s="92">
        <f t="shared" si="3"/>
        <v>79</v>
      </c>
      <c r="C93" s="70"/>
      <c r="D93" s="70" t="s">
        <v>57</v>
      </c>
      <c r="E93" s="71" t="s">
        <v>29</v>
      </c>
      <c r="F93" s="65" t="s">
        <v>190</v>
      </c>
      <c r="G93" s="22"/>
      <c r="H93" s="422">
        <f>115000+2000</f>
        <v>117000</v>
      </c>
      <c r="I93" s="778">
        <f>52249</f>
        <v>52249</v>
      </c>
      <c r="J93" s="918">
        <f t="shared" si="4"/>
        <v>44.65726495726496</v>
      </c>
    </row>
    <row r="94" spans="2:10" ht="12.75">
      <c r="B94" s="92">
        <f t="shared" si="3"/>
        <v>80</v>
      </c>
      <c r="C94" s="70"/>
      <c r="D94" s="70" t="s">
        <v>57</v>
      </c>
      <c r="E94" s="71" t="s">
        <v>29</v>
      </c>
      <c r="F94" s="65" t="s">
        <v>277</v>
      </c>
      <c r="G94" s="22"/>
      <c r="H94" s="422">
        <f>138000-6000</f>
        <v>132000</v>
      </c>
      <c r="I94" s="778">
        <v>55839</v>
      </c>
      <c r="J94" s="918">
        <f t="shared" si="4"/>
        <v>42.30227272727273</v>
      </c>
    </row>
    <row r="95" spans="2:10" ht="12.75">
      <c r="B95" s="92">
        <f t="shared" si="3"/>
        <v>81</v>
      </c>
      <c r="C95" s="70"/>
      <c r="D95" s="70"/>
      <c r="E95" s="71"/>
      <c r="F95" s="83"/>
      <c r="G95" s="22"/>
      <c r="H95" s="422"/>
      <c r="I95" s="778"/>
      <c r="J95" s="918"/>
    </row>
    <row r="96" spans="2:10" ht="12.75">
      <c r="B96" s="92">
        <f t="shared" si="3"/>
        <v>82</v>
      </c>
      <c r="C96" s="70"/>
      <c r="D96" s="71"/>
      <c r="E96" s="71"/>
      <c r="F96" s="105" t="s">
        <v>307</v>
      </c>
      <c r="G96" s="22"/>
      <c r="H96" s="427">
        <f>H97+H98</f>
        <v>126000</v>
      </c>
      <c r="I96" s="664">
        <f>I97+I98+I99</f>
        <v>63689</v>
      </c>
      <c r="J96" s="918">
        <f>I96/H96*100</f>
        <v>50.5468253968254</v>
      </c>
    </row>
    <row r="97" spans="2:10" ht="12.75">
      <c r="B97" s="92">
        <f t="shared" si="3"/>
        <v>83</v>
      </c>
      <c r="C97" s="70"/>
      <c r="D97" s="3" t="s">
        <v>57</v>
      </c>
      <c r="E97" s="3" t="s">
        <v>29</v>
      </c>
      <c r="F97" s="65" t="s">
        <v>87</v>
      </c>
      <c r="G97" s="21"/>
      <c r="H97" s="422">
        <f>97000+3000</f>
        <v>100000</v>
      </c>
      <c r="I97" s="778">
        <v>45711</v>
      </c>
      <c r="J97" s="918">
        <f>I97/H97*100</f>
        <v>45.711</v>
      </c>
    </row>
    <row r="98" spans="2:10" ht="13.5" customHeight="1">
      <c r="B98" s="92">
        <f t="shared" si="3"/>
        <v>84</v>
      </c>
      <c r="C98" s="70"/>
      <c r="D98" s="3" t="s">
        <v>57</v>
      </c>
      <c r="E98" s="3" t="s">
        <v>29</v>
      </c>
      <c r="F98" s="65" t="s">
        <v>79</v>
      </c>
      <c r="G98" s="21"/>
      <c r="H98" s="422">
        <f>29000-3000</f>
        <v>26000</v>
      </c>
      <c r="I98" s="778">
        <v>6888</v>
      </c>
      <c r="J98" s="918">
        <f>I98/H98*100</f>
        <v>26.492307692307694</v>
      </c>
    </row>
    <row r="99" spans="2:10" ht="13.5" customHeight="1">
      <c r="B99" s="92">
        <f t="shared" si="3"/>
        <v>85</v>
      </c>
      <c r="C99" s="70"/>
      <c r="D99" s="3"/>
      <c r="E99" s="3"/>
      <c r="F99" s="65" t="s">
        <v>451</v>
      </c>
      <c r="G99" s="21"/>
      <c r="H99" s="422"/>
      <c r="I99" s="778">
        <v>11090</v>
      </c>
      <c r="J99" s="918"/>
    </row>
    <row r="100" spans="2:10" ht="13.5" customHeight="1">
      <c r="B100" s="92">
        <f t="shared" si="3"/>
        <v>86</v>
      </c>
      <c r="C100" s="70"/>
      <c r="D100" s="3"/>
      <c r="E100" s="3"/>
      <c r="F100" s="65"/>
      <c r="G100" s="21"/>
      <c r="H100" s="422"/>
      <c r="I100" s="778"/>
      <c r="J100" s="918"/>
    </row>
    <row r="101" spans="2:10" ht="12.75">
      <c r="B101" s="92">
        <f t="shared" si="3"/>
        <v>87</v>
      </c>
      <c r="C101" s="70"/>
      <c r="D101" s="70" t="s">
        <v>44</v>
      </c>
      <c r="E101" s="71" t="s">
        <v>23</v>
      </c>
      <c r="F101" s="83" t="s">
        <v>77</v>
      </c>
      <c r="G101" s="22"/>
      <c r="H101" s="422">
        <v>1000</v>
      </c>
      <c r="I101" s="778">
        <v>535</v>
      </c>
      <c r="J101" s="918">
        <f>I101/H101*100</f>
        <v>53.5</v>
      </c>
    </row>
    <row r="102" spans="2:10" ht="12.75">
      <c r="B102" s="92">
        <f t="shared" si="3"/>
        <v>88</v>
      </c>
      <c r="C102" s="70"/>
      <c r="D102" s="70" t="s">
        <v>440</v>
      </c>
      <c r="E102" s="71"/>
      <c r="F102" s="83" t="s">
        <v>452</v>
      </c>
      <c r="G102" s="22"/>
      <c r="H102" s="422"/>
      <c r="I102" s="778">
        <v>10</v>
      </c>
      <c r="J102" s="918"/>
    </row>
    <row r="103" spans="2:10" ht="12.75">
      <c r="B103" s="92">
        <f t="shared" si="3"/>
        <v>89</v>
      </c>
      <c r="C103" s="70"/>
      <c r="D103" s="70" t="s">
        <v>65</v>
      </c>
      <c r="E103" s="71" t="s">
        <v>449</v>
      </c>
      <c r="F103" s="83" t="s">
        <v>441</v>
      </c>
      <c r="G103" s="22"/>
      <c r="H103" s="422"/>
      <c r="I103" s="778">
        <v>213</v>
      </c>
      <c r="J103" s="918"/>
    </row>
    <row r="104" spans="2:10" ht="12.75">
      <c r="B104" s="92">
        <f t="shared" si="3"/>
        <v>90</v>
      </c>
      <c r="C104" s="70"/>
      <c r="D104" s="70" t="s">
        <v>435</v>
      </c>
      <c r="E104" s="71"/>
      <c r="F104" s="83" t="s">
        <v>453</v>
      </c>
      <c r="G104" s="22"/>
      <c r="H104" s="422"/>
      <c r="I104" s="778">
        <v>2404</v>
      </c>
      <c r="J104" s="918"/>
    </row>
    <row r="105" spans="2:10" ht="12.75">
      <c r="B105" s="92">
        <f t="shared" si="3"/>
        <v>91</v>
      </c>
      <c r="C105" s="70"/>
      <c r="D105" s="70" t="s">
        <v>57</v>
      </c>
      <c r="E105" s="71" t="s">
        <v>29</v>
      </c>
      <c r="F105" s="83" t="s">
        <v>454</v>
      </c>
      <c r="G105" s="22"/>
      <c r="H105" s="422"/>
      <c r="I105" s="778">
        <v>45</v>
      </c>
      <c r="J105" s="918"/>
    </row>
    <row r="106" spans="2:10" ht="12.75">
      <c r="B106" s="92">
        <f t="shared" si="3"/>
        <v>92</v>
      </c>
      <c r="C106" s="70"/>
      <c r="D106" s="70" t="s">
        <v>65</v>
      </c>
      <c r="E106" s="71" t="s">
        <v>37</v>
      </c>
      <c r="F106" s="83" t="s">
        <v>455</v>
      </c>
      <c r="G106" s="22"/>
      <c r="H106" s="424"/>
      <c r="I106" s="778">
        <f>290+16160</f>
        <v>16450</v>
      </c>
      <c r="J106" s="918"/>
    </row>
    <row r="107" spans="2:10" ht="12.75">
      <c r="B107" s="92">
        <f t="shared" si="3"/>
        <v>93</v>
      </c>
      <c r="C107" s="70"/>
      <c r="D107" s="70"/>
      <c r="E107" s="71"/>
      <c r="F107" s="83"/>
      <c r="G107" s="22"/>
      <c r="H107" s="424"/>
      <c r="I107" s="778"/>
      <c r="J107" s="918"/>
    </row>
    <row r="108" spans="2:10" ht="12.75">
      <c r="B108" s="92">
        <f t="shared" si="3"/>
        <v>94</v>
      </c>
      <c r="C108" s="9"/>
      <c r="D108" s="88"/>
      <c r="E108" s="106"/>
      <c r="F108" s="457" t="s">
        <v>78</v>
      </c>
      <c r="G108" s="458"/>
      <c r="H108" s="460">
        <f>H109+H111+H114</f>
        <v>130000</v>
      </c>
      <c r="I108" s="807">
        <f>I109+I111+I114+I116</f>
        <v>74004</v>
      </c>
      <c r="J108" s="982">
        <f aca="true" t="shared" si="5" ref="J108:J115">I108/H108*100</f>
        <v>56.92615384615385</v>
      </c>
    </row>
    <row r="109" spans="2:10" ht="12.75">
      <c r="B109" s="92">
        <f t="shared" si="3"/>
        <v>95</v>
      </c>
      <c r="C109" s="9" t="s">
        <v>42</v>
      </c>
      <c r="D109" s="9"/>
      <c r="E109" s="11"/>
      <c r="F109" s="72" t="s">
        <v>43</v>
      </c>
      <c r="G109" s="110"/>
      <c r="H109" s="416">
        <f>H110</f>
        <v>6880</v>
      </c>
      <c r="I109" s="664">
        <f>I110</f>
        <v>3811</v>
      </c>
      <c r="J109" s="918">
        <f t="shared" si="5"/>
        <v>55.39244186046511</v>
      </c>
    </row>
    <row r="110" spans="2:10" ht="14.25" customHeight="1">
      <c r="B110" s="92">
        <f t="shared" si="3"/>
        <v>96</v>
      </c>
      <c r="C110" s="81"/>
      <c r="D110" s="70" t="s">
        <v>44</v>
      </c>
      <c r="E110" s="12" t="s">
        <v>23</v>
      </c>
      <c r="F110" s="77" t="s">
        <v>84</v>
      </c>
      <c r="G110" s="110"/>
      <c r="H110" s="422">
        <v>6880</v>
      </c>
      <c r="I110" s="778">
        <v>3811</v>
      </c>
      <c r="J110" s="918">
        <f t="shared" si="5"/>
        <v>55.39244186046511</v>
      </c>
    </row>
    <row r="111" spans="2:10" ht="12.75">
      <c r="B111" s="92">
        <f t="shared" si="3"/>
        <v>97</v>
      </c>
      <c r="C111" s="9" t="s">
        <v>49</v>
      </c>
      <c r="D111" s="81"/>
      <c r="E111" s="82"/>
      <c r="F111" s="72" t="s">
        <v>50</v>
      </c>
      <c r="G111" s="110"/>
      <c r="H111" s="416">
        <f>SUM(H112:H113)</f>
        <v>123020</v>
      </c>
      <c r="I111" s="664">
        <f>I112+I113</f>
        <v>67642</v>
      </c>
      <c r="J111" s="918">
        <f t="shared" si="5"/>
        <v>54.984555356852546</v>
      </c>
    </row>
    <row r="112" spans="2:10" ht="14.25" customHeight="1">
      <c r="B112" s="92">
        <f t="shared" si="3"/>
        <v>98</v>
      </c>
      <c r="C112" s="81"/>
      <c r="D112" s="71" t="s">
        <v>57</v>
      </c>
      <c r="E112" s="71" t="s">
        <v>31</v>
      </c>
      <c r="F112" s="77" t="s">
        <v>85</v>
      </c>
      <c r="G112" s="110"/>
      <c r="H112" s="422">
        <v>121840</v>
      </c>
      <c r="I112" s="778">
        <v>67438</v>
      </c>
      <c r="J112" s="918">
        <f t="shared" si="5"/>
        <v>55.34963887065003</v>
      </c>
    </row>
    <row r="113" spans="2:10" ht="12.75">
      <c r="B113" s="92">
        <f t="shared" si="3"/>
        <v>99</v>
      </c>
      <c r="C113" s="81"/>
      <c r="D113" s="71"/>
      <c r="E113" s="71"/>
      <c r="F113" s="77" t="s">
        <v>142</v>
      </c>
      <c r="G113" s="110"/>
      <c r="H113" s="422">
        <v>1180</v>
      </c>
      <c r="I113" s="778">
        <v>204</v>
      </c>
      <c r="J113" s="918">
        <f t="shared" si="5"/>
        <v>17.28813559322034</v>
      </c>
    </row>
    <row r="114" spans="2:10" ht="12.75" customHeight="1">
      <c r="B114" s="92">
        <f t="shared" si="3"/>
        <v>100</v>
      </c>
      <c r="C114" s="9" t="s">
        <v>61</v>
      </c>
      <c r="D114" s="87"/>
      <c r="E114" s="89"/>
      <c r="F114" s="72" t="s">
        <v>62</v>
      </c>
      <c r="G114" s="114"/>
      <c r="H114" s="416">
        <v>100</v>
      </c>
      <c r="I114" s="664">
        <f>I115</f>
        <v>13</v>
      </c>
      <c r="J114" s="918">
        <f t="shared" si="5"/>
        <v>13</v>
      </c>
    </row>
    <row r="115" spans="2:10" ht="12.75" customHeight="1">
      <c r="B115" s="92">
        <f t="shared" si="3"/>
        <v>101</v>
      </c>
      <c r="C115" s="88"/>
      <c r="D115" s="10" t="s">
        <v>440</v>
      </c>
      <c r="E115" s="89"/>
      <c r="F115" s="83" t="s">
        <v>138</v>
      </c>
      <c r="G115" s="114"/>
      <c r="H115" s="422">
        <v>100</v>
      </c>
      <c r="I115" s="778">
        <v>13</v>
      </c>
      <c r="J115" s="918">
        <f t="shared" si="5"/>
        <v>13</v>
      </c>
    </row>
    <row r="116" spans="2:10" ht="12.75" customHeight="1">
      <c r="B116" s="92">
        <f t="shared" si="3"/>
        <v>102</v>
      </c>
      <c r="C116" s="88" t="s">
        <v>63</v>
      </c>
      <c r="D116" s="13"/>
      <c r="E116" s="89"/>
      <c r="F116" s="833" t="s">
        <v>448</v>
      </c>
      <c r="G116" s="114"/>
      <c r="H116" s="426"/>
      <c r="I116" s="664">
        <f>I117+I118</f>
        <v>2538</v>
      </c>
      <c r="J116" s="918"/>
    </row>
    <row r="117" spans="2:10" ht="12.75" customHeight="1">
      <c r="B117" s="92">
        <f t="shared" si="3"/>
        <v>103</v>
      </c>
      <c r="C117" s="88"/>
      <c r="D117" s="13" t="s">
        <v>65</v>
      </c>
      <c r="E117" s="828" t="s">
        <v>37</v>
      </c>
      <c r="F117" s="827" t="s">
        <v>456</v>
      </c>
      <c r="G117" s="114"/>
      <c r="H117" s="426"/>
      <c r="I117" s="778">
        <v>2410</v>
      </c>
      <c r="J117" s="918"/>
    </row>
    <row r="118" spans="2:10" ht="12.75" customHeight="1">
      <c r="B118" s="92">
        <f t="shared" si="3"/>
        <v>104</v>
      </c>
      <c r="C118" s="88"/>
      <c r="D118" s="13" t="s">
        <v>65</v>
      </c>
      <c r="E118" s="828" t="s">
        <v>457</v>
      </c>
      <c r="F118" s="827" t="s">
        <v>458</v>
      </c>
      <c r="G118" s="114"/>
      <c r="H118" s="426"/>
      <c r="I118" s="778">
        <v>128</v>
      </c>
      <c r="J118" s="918"/>
    </row>
    <row r="119" spans="2:10" ht="12.75" customHeight="1">
      <c r="B119" s="92">
        <f t="shared" si="3"/>
        <v>105</v>
      </c>
      <c r="C119" s="88"/>
      <c r="D119" s="13"/>
      <c r="E119" s="89"/>
      <c r="F119" s="827"/>
      <c r="G119" s="114"/>
      <c r="H119" s="426"/>
      <c r="I119" s="781"/>
      <c r="J119" s="918"/>
    </row>
    <row r="120" spans="2:10" ht="12.75" customHeight="1">
      <c r="B120" s="92">
        <f t="shared" si="3"/>
        <v>106</v>
      </c>
      <c r="C120" s="88"/>
      <c r="D120" s="93"/>
      <c r="E120" s="106"/>
      <c r="F120" s="461" t="s">
        <v>140</v>
      </c>
      <c r="G120" s="462"/>
      <c r="H120" s="463"/>
      <c r="I120" s="940"/>
      <c r="J120" s="983"/>
    </row>
    <row r="121" spans="2:10" ht="13.5" customHeight="1">
      <c r="B121" s="92">
        <f t="shared" si="3"/>
        <v>107</v>
      </c>
      <c r="C121" s="9"/>
      <c r="D121" s="16"/>
      <c r="E121" s="107"/>
      <c r="F121" s="457" t="s">
        <v>141</v>
      </c>
      <c r="G121" s="458"/>
      <c r="H121" s="469">
        <f>H122+H124</f>
        <v>218170</v>
      </c>
      <c r="I121" s="941">
        <f>I122+I124</f>
        <v>122793</v>
      </c>
      <c r="J121" s="984">
        <f>I121/H121*100</f>
        <v>56.28317367190723</v>
      </c>
    </row>
    <row r="122" spans="2:10" ht="12.75">
      <c r="B122" s="92">
        <f t="shared" si="3"/>
        <v>108</v>
      </c>
      <c r="C122" s="9" t="s">
        <v>42</v>
      </c>
      <c r="D122" s="9"/>
      <c r="E122" s="11"/>
      <c r="F122" s="72" t="s">
        <v>43</v>
      </c>
      <c r="G122" s="110"/>
      <c r="H122" s="416">
        <f>H123</f>
        <v>106670</v>
      </c>
      <c r="I122" s="664">
        <f>I123</f>
        <v>48342</v>
      </c>
      <c r="J122" s="918">
        <f>I122/H122*100</f>
        <v>45.31920877472579</v>
      </c>
    </row>
    <row r="123" spans="2:10" ht="12.75">
      <c r="B123" s="92">
        <f t="shared" si="3"/>
        <v>109</v>
      </c>
      <c r="C123" s="81"/>
      <c r="D123" s="70" t="s">
        <v>44</v>
      </c>
      <c r="E123" s="78" t="s">
        <v>23</v>
      </c>
      <c r="F123" s="77" t="s">
        <v>84</v>
      </c>
      <c r="G123" s="110"/>
      <c r="H123" s="422">
        <v>106670</v>
      </c>
      <c r="I123" s="778">
        <v>48342</v>
      </c>
      <c r="J123" s="918">
        <f>I123/H123*100</f>
        <v>45.31920877472579</v>
      </c>
    </row>
    <row r="124" spans="2:10" ht="12.75">
      <c r="B124" s="92">
        <f t="shared" si="3"/>
        <v>110</v>
      </c>
      <c r="C124" s="9" t="s">
        <v>49</v>
      </c>
      <c r="D124" s="81"/>
      <c r="E124" s="82"/>
      <c r="F124" s="72" t="s">
        <v>50</v>
      </c>
      <c r="G124" s="110"/>
      <c r="H124" s="416">
        <f>SUM(H125:H127)</f>
        <v>111500</v>
      </c>
      <c r="I124" s="664">
        <f>I125+I127+I128+I126</f>
        <v>74451</v>
      </c>
      <c r="J124" s="918">
        <f>I124/H124*100</f>
        <v>66.77219730941704</v>
      </c>
    </row>
    <row r="125" spans="2:10" ht="12.75">
      <c r="B125" s="92">
        <f t="shared" si="3"/>
        <v>111</v>
      </c>
      <c r="C125" s="81"/>
      <c r="D125" s="71" t="s">
        <v>57</v>
      </c>
      <c r="E125" s="71" t="s">
        <v>31</v>
      </c>
      <c r="F125" s="77" t="s">
        <v>86</v>
      </c>
      <c r="G125" s="110"/>
      <c r="H125" s="422">
        <v>54900</v>
      </c>
      <c r="I125" s="778">
        <v>30409</v>
      </c>
      <c r="J125" s="918">
        <f>I125/H125*100</f>
        <v>55.38979963570127</v>
      </c>
    </row>
    <row r="126" spans="2:10" ht="12.75">
      <c r="B126" s="92">
        <f t="shared" si="3"/>
        <v>112</v>
      </c>
      <c r="C126" s="81"/>
      <c r="D126" s="71" t="s">
        <v>57</v>
      </c>
      <c r="E126" s="71" t="s">
        <v>29</v>
      </c>
      <c r="F126" s="77" t="s">
        <v>474</v>
      </c>
      <c r="G126" s="110"/>
      <c r="H126" s="422"/>
      <c r="I126" s="778">
        <v>4</v>
      </c>
      <c r="J126" s="918"/>
    </row>
    <row r="127" spans="2:10" ht="12.75">
      <c r="B127" s="92">
        <f t="shared" si="3"/>
        <v>113</v>
      </c>
      <c r="C127" s="81"/>
      <c r="D127" s="71" t="s">
        <v>57</v>
      </c>
      <c r="E127" s="71" t="s">
        <v>23</v>
      </c>
      <c r="F127" s="73" t="s">
        <v>142</v>
      </c>
      <c r="G127" s="110"/>
      <c r="H127" s="422">
        <v>56600</v>
      </c>
      <c r="I127" s="778">
        <v>36957</v>
      </c>
      <c r="J127" s="918">
        <f>I127/H127*100</f>
        <v>65.29505300353357</v>
      </c>
    </row>
    <row r="128" spans="2:10" ht="12.75" customHeight="1">
      <c r="B128" s="92">
        <f t="shared" si="3"/>
        <v>114</v>
      </c>
      <c r="C128" s="9"/>
      <c r="D128" s="3"/>
      <c r="E128" s="3"/>
      <c r="F128" s="83" t="s">
        <v>475</v>
      </c>
      <c r="G128" s="21"/>
      <c r="H128" s="422"/>
      <c r="I128" s="778">
        <f>16+6146+868+51</f>
        <v>7081</v>
      </c>
      <c r="J128" s="918"/>
    </row>
    <row r="129" spans="2:10" ht="12.75" customHeight="1">
      <c r="B129" s="92">
        <f t="shared" si="3"/>
        <v>115</v>
      </c>
      <c r="C129" s="9"/>
      <c r="D129" s="3"/>
      <c r="E129" s="3"/>
      <c r="F129" s="83"/>
      <c r="G129" s="21"/>
      <c r="H129" s="422"/>
      <c r="I129" s="778"/>
      <c r="J129" s="918"/>
    </row>
    <row r="130" spans="2:10" ht="12.75" customHeight="1">
      <c r="B130" s="92">
        <f t="shared" si="3"/>
        <v>116</v>
      </c>
      <c r="C130" s="9"/>
      <c r="D130" s="16"/>
      <c r="E130" s="11"/>
      <c r="F130" s="457" t="s">
        <v>139</v>
      </c>
      <c r="G130" s="458"/>
      <c r="H130" s="460">
        <v>71600</v>
      </c>
      <c r="I130" s="808">
        <v>41762</v>
      </c>
      <c r="J130" s="982">
        <f>I130/H130*100</f>
        <v>58.326815642458094</v>
      </c>
    </row>
    <row r="131" spans="2:10" ht="12" customHeight="1">
      <c r="B131" s="92">
        <f t="shared" si="3"/>
        <v>117</v>
      </c>
      <c r="C131" s="9"/>
      <c r="D131" s="12"/>
      <c r="E131" s="82"/>
      <c r="F131" s="83"/>
      <c r="G131" s="110"/>
      <c r="H131" s="422"/>
      <c r="I131" s="781"/>
      <c r="J131" s="918"/>
    </row>
    <row r="132" spans="2:10" ht="12" customHeight="1">
      <c r="B132" s="92">
        <f t="shared" si="3"/>
        <v>118</v>
      </c>
      <c r="C132" s="16"/>
      <c r="D132" s="12"/>
      <c r="E132" s="82"/>
      <c r="F132" s="457" t="s">
        <v>439</v>
      </c>
      <c r="G132" s="458"/>
      <c r="H132" s="460"/>
      <c r="I132" s="808">
        <v>7827</v>
      </c>
      <c r="J132" s="982"/>
    </row>
    <row r="133" spans="2:10" ht="12" customHeight="1" thickBot="1">
      <c r="B133" s="844">
        <f t="shared" si="3"/>
        <v>119</v>
      </c>
      <c r="C133" s="845"/>
      <c r="D133" s="846"/>
      <c r="E133" s="847"/>
      <c r="F133" s="848"/>
      <c r="G133" s="849"/>
      <c r="H133" s="432"/>
      <c r="I133" s="850"/>
      <c r="J133" s="985"/>
    </row>
    <row r="134" spans="2:15" s="33" customFormat="1" ht="12" customHeight="1">
      <c r="B134" s="15"/>
      <c r="C134" s="840"/>
      <c r="D134" s="841"/>
      <c r="E134" s="842"/>
      <c r="F134" s="839"/>
      <c r="G134" s="843"/>
      <c r="H134" s="836"/>
      <c r="I134" s="708"/>
      <c r="J134" s="986"/>
      <c r="K134" s="932"/>
      <c r="L134" s="248"/>
      <c r="M134" s="248"/>
      <c r="N134" s="248"/>
      <c r="O134" s="248"/>
    </row>
    <row r="135" spans="2:15" s="33" customFormat="1" ht="12" customHeight="1">
      <c r="B135" s="15"/>
      <c r="C135" s="840"/>
      <c r="D135" s="841"/>
      <c r="E135" s="842"/>
      <c r="F135" s="839"/>
      <c r="G135" s="843"/>
      <c r="H135" s="836"/>
      <c r="I135" s="708"/>
      <c r="J135" s="986"/>
      <c r="K135" s="932"/>
      <c r="L135" s="248"/>
      <c r="M135" s="248"/>
      <c r="N135" s="248"/>
      <c r="O135" s="248"/>
    </row>
    <row r="136" spans="2:15" s="33" customFormat="1" ht="12" customHeight="1">
      <c r="B136" s="15"/>
      <c r="C136" s="840"/>
      <c r="D136" s="841"/>
      <c r="E136" s="842"/>
      <c r="F136" s="839"/>
      <c r="G136" s="843"/>
      <c r="H136" s="836"/>
      <c r="I136" s="708"/>
      <c r="J136" s="986"/>
      <c r="K136" s="932"/>
      <c r="L136" s="248"/>
      <c r="M136" s="248"/>
      <c r="N136" s="248"/>
      <c r="O136" s="248"/>
    </row>
    <row r="137" spans="2:15" s="33" customFormat="1" ht="12" customHeight="1">
      <c r="B137" s="15"/>
      <c r="C137" s="840"/>
      <c r="D137" s="841"/>
      <c r="E137" s="842"/>
      <c r="F137" s="839"/>
      <c r="G137" s="843"/>
      <c r="H137" s="836"/>
      <c r="I137" s="708"/>
      <c r="J137" s="986"/>
      <c r="K137" s="932"/>
      <c r="L137" s="248"/>
      <c r="M137" s="248"/>
      <c r="N137" s="248"/>
      <c r="O137" s="248"/>
    </row>
    <row r="138" spans="2:15" s="33" customFormat="1" ht="12" customHeight="1">
      <c r="B138" s="15"/>
      <c r="C138" s="840"/>
      <c r="D138" s="841"/>
      <c r="E138" s="842"/>
      <c r="F138" s="839"/>
      <c r="G138" s="843"/>
      <c r="H138" s="836"/>
      <c r="I138" s="708"/>
      <c r="J138" s="986"/>
      <c r="K138" s="932"/>
      <c r="L138" s="248"/>
      <c r="M138" s="248"/>
      <c r="N138" s="248"/>
      <c r="O138" s="248"/>
    </row>
    <row r="139" spans="2:15" s="33" customFormat="1" ht="12" customHeight="1">
      <c r="B139" s="15"/>
      <c r="C139" s="840"/>
      <c r="D139" s="841"/>
      <c r="E139" s="842"/>
      <c r="F139" s="839"/>
      <c r="G139" s="843"/>
      <c r="H139" s="836"/>
      <c r="I139" s="708"/>
      <c r="J139" s="986"/>
      <c r="K139" s="932"/>
      <c r="L139" s="248"/>
      <c r="M139" s="248"/>
      <c r="N139" s="248"/>
      <c r="O139" s="248"/>
    </row>
    <row r="140" spans="2:15" s="33" customFormat="1" ht="12" customHeight="1">
      <c r="B140" s="15"/>
      <c r="C140" s="840"/>
      <c r="D140" s="841"/>
      <c r="E140" s="842"/>
      <c r="F140" s="839"/>
      <c r="G140" s="843"/>
      <c r="H140" s="836"/>
      <c r="I140" s="708"/>
      <c r="J140" s="986"/>
      <c r="K140" s="932"/>
      <c r="L140" s="248"/>
      <c r="M140" s="248"/>
      <c r="N140" s="248"/>
      <c r="O140" s="248"/>
    </row>
    <row r="141" spans="2:15" s="33" customFormat="1" ht="12" customHeight="1">
      <c r="B141" s="15"/>
      <c r="C141" s="840"/>
      <c r="D141" s="841"/>
      <c r="E141" s="842"/>
      <c r="F141" s="839"/>
      <c r="G141" s="843"/>
      <c r="H141" s="836"/>
      <c r="I141" s="708"/>
      <c r="J141" s="986"/>
      <c r="K141" s="932"/>
      <c r="L141" s="248"/>
      <c r="M141" s="248"/>
      <c r="N141" s="248"/>
      <c r="O141" s="248"/>
    </row>
    <row r="142" spans="2:15" s="33" customFormat="1" ht="12" customHeight="1">
      <c r="B142" s="15"/>
      <c r="C142" s="840"/>
      <c r="D142" s="841"/>
      <c r="E142" s="842"/>
      <c r="F142" s="839"/>
      <c r="G142" s="843"/>
      <c r="H142" s="836"/>
      <c r="I142" s="708"/>
      <c r="J142" s="986"/>
      <c r="K142" s="932"/>
      <c r="L142" s="248"/>
      <c r="M142" s="248"/>
      <c r="N142" s="248"/>
      <c r="O142" s="248"/>
    </row>
    <row r="143" spans="2:15" s="33" customFormat="1" ht="12" customHeight="1">
      <c r="B143" s="15"/>
      <c r="C143" s="840"/>
      <c r="D143" s="841"/>
      <c r="E143" s="842"/>
      <c r="F143" s="839"/>
      <c r="G143" s="843"/>
      <c r="H143" s="836"/>
      <c r="I143" s="708"/>
      <c r="J143" s="986"/>
      <c r="K143" s="932"/>
      <c r="L143" s="248"/>
      <c r="M143" s="248"/>
      <c r="N143" s="248"/>
      <c r="O143" s="248"/>
    </row>
    <row r="144" spans="2:15" s="33" customFormat="1" ht="12" customHeight="1">
      <c r="B144" s="15"/>
      <c r="C144" s="840"/>
      <c r="D144" s="841"/>
      <c r="E144" s="842"/>
      <c r="F144" s="839"/>
      <c r="G144" s="843"/>
      <c r="H144" s="836"/>
      <c r="I144" s="708"/>
      <c r="J144" s="986"/>
      <c r="K144" s="932"/>
      <c r="L144" s="248"/>
      <c r="M144" s="248"/>
      <c r="N144" s="248"/>
      <c r="O144" s="248"/>
    </row>
    <row r="145" spans="2:15" s="33" customFormat="1" ht="12" customHeight="1">
      <c r="B145" s="15"/>
      <c r="C145" s="840"/>
      <c r="D145" s="841"/>
      <c r="E145" s="842"/>
      <c r="F145" s="839"/>
      <c r="G145" s="843"/>
      <c r="H145" s="836"/>
      <c r="I145" s="708"/>
      <c r="J145" s="986"/>
      <c r="K145" s="932"/>
      <c r="L145" s="248"/>
      <c r="M145" s="248"/>
      <c r="N145" s="248"/>
      <c r="O145" s="248"/>
    </row>
    <row r="146" spans="2:15" s="33" customFormat="1" ht="12" customHeight="1">
      <c r="B146" s="15"/>
      <c r="C146" s="840"/>
      <c r="D146" s="841"/>
      <c r="E146" s="842"/>
      <c r="F146" s="839"/>
      <c r="G146" s="843"/>
      <c r="H146" s="836"/>
      <c r="I146" s="708"/>
      <c r="J146" s="986"/>
      <c r="K146" s="932"/>
      <c r="L146" s="248"/>
      <c r="M146" s="248"/>
      <c r="N146" s="248"/>
      <c r="O146" s="248"/>
    </row>
    <row r="147" spans="2:15" s="33" customFormat="1" ht="12" customHeight="1">
      <c r="B147" s="15"/>
      <c r="C147" s="840"/>
      <c r="D147" s="841"/>
      <c r="E147" s="842"/>
      <c r="F147" s="839"/>
      <c r="G147" s="843"/>
      <c r="H147" s="836"/>
      <c r="I147" s="708"/>
      <c r="J147" s="986"/>
      <c r="K147" s="932"/>
      <c r="L147" s="248"/>
      <c r="M147" s="248"/>
      <c r="N147" s="248"/>
      <c r="O147" s="248"/>
    </row>
    <row r="148" spans="2:15" s="33" customFormat="1" ht="12" customHeight="1" thickBot="1">
      <c r="B148" s="15"/>
      <c r="C148" s="840"/>
      <c r="D148" s="841"/>
      <c r="E148" s="842"/>
      <c r="F148" s="839"/>
      <c r="G148" s="843"/>
      <c r="H148" s="836"/>
      <c r="I148" s="708"/>
      <c r="J148" s="986"/>
      <c r="K148" s="932"/>
      <c r="L148" s="248"/>
      <c r="M148" s="248"/>
      <c r="N148" s="248"/>
      <c r="O148" s="248"/>
    </row>
    <row r="149" spans="2:10" ht="13.5" customHeight="1">
      <c r="B149" s="1062" t="s">
        <v>12</v>
      </c>
      <c r="C149" s="1074"/>
      <c r="D149" s="1074"/>
      <c r="E149" s="1074"/>
      <c r="F149" s="1074"/>
      <c r="G149" s="1075"/>
      <c r="H149" s="1071" t="s">
        <v>459</v>
      </c>
      <c r="I149" s="1056" t="s">
        <v>465</v>
      </c>
      <c r="J149" s="1059" t="s">
        <v>406</v>
      </c>
    </row>
    <row r="150" spans="2:10" ht="12.75" customHeight="1">
      <c r="B150" s="1076"/>
      <c r="C150" s="1077"/>
      <c r="D150" s="1077"/>
      <c r="E150" s="1077"/>
      <c r="F150" s="1077"/>
      <c r="G150" s="1078"/>
      <c r="H150" s="1072"/>
      <c r="I150" s="1057"/>
      <c r="J150" s="1060"/>
    </row>
    <row r="151" spans="2:10" ht="16.5" customHeight="1">
      <c r="B151" s="176"/>
      <c r="C151" s="177" t="s">
        <v>13</v>
      </c>
      <c r="D151" s="177" t="s">
        <v>14</v>
      </c>
      <c r="E151" s="177" t="s">
        <v>15</v>
      </c>
      <c r="F151" s="178"/>
      <c r="G151" s="179"/>
      <c r="H151" s="1072"/>
      <c r="I151" s="1057"/>
      <c r="J151" s="1060"/>
    </row>
    <row r="152" spans="2:10" ht="26.25" customHeight="1" thickBot="1">
      <c r="B152" s="180"/>
      <c r="C152" s="181"/>
      <c r="D152" s="182"/>
      <c r="E152" s="181" t="s">
        <v>16</v>
      </c>
      <c r="F152" s="183" t="s">
        <v>17</v>
      </c>
      <c r="G152" s="184"/>
      <c r="H152" s="1073"/>
      <c r="I152" s="1058"/>
      <c r="J152" s="1061"/>
    </row>
    <row r="153" spans="2:30" ht="19.5" customHeight="1" thickTop="1">
      <c r="B153" s="943">
        <f>B133+1</f>
        <v>120</v>
      </c>
      <c r="C153" s="242" t="s">
        <v>88</v>
      </c>
      <c r="D153" s="243"/>
      <c r="E153" s="244"/>
      <c r="F153" s="246" t="s">
        <v>89</v>
      </c>
      <c r="G153" s="245"/>
      <c r="H153" s="780">
        <f>H156</f>
        <v>5728630</v>
      </c>
      <c r="I153" s="792">
        <f>I156+I155</f>
        <v>3263464.32</v>
      </c>
      <c r="J153" s="987">
        <f>I153/H153*100</f>
        <v>56.96762262530483</v>
      </c>
      <c r="K153" s="306"/>
      <c r="L153" s="263"/>
      <c r="M153" s="263"/>
      <c r="N153" s="263"/>
      <c r="O153" s="263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</row>
    <row r="154" spans="2:30" ht="12.75">
      <c r="B154" s="92">
        <f t="shared" si="3"/>
        <v>121</v>
      </c>
      <c r="C154" s="9"/>
      <c r="D154" s="10"/>
      <c r="E154" s="12"/>
      <c r="F154" s="104"/>
      <c r="G154" s="110"/>
      <c r="H154" s="425"/>
      <c r="I154" s="936"/>
      <c r="J154" s="918"/>
      <c r="K154" s="306"/>
      <c r="L154" s="263"/>
      <c r="M154" s="263"/>
      <c r="N154" s="263"/>
      <c r="O154" s="263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</row>
    <row r="155" spans="2:30" ht="12.75">
      <c r="B155" s="92">
        <f t="shared" si="3"/>
        <v>122</v>
      </c>
      <c r="C155" s="9"/>
      <c r="D155" s="10" t="s">
        <v>435</v>
      </c>
      <c r="E155" s="12"/>
      <c r="F155" s="104" t="s">
        <v>437</v>
      </c>
      <c r="G155" s="110"/>
      <c r="H155" s="425"/>
      <c r="I155" s="937">
        <v>17900.32</v>
      </c>
      <c r="J155" s="918"/>
      <c r="K155" s="306"/>
      <c r="L155" s="263"/>
      <c r="M155" s="263"/>
      <c r="N155" s="263"/>
      <c r="O155" s="263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</row>
    <row r="156" spans="2:30" ht="12.75">
      <c r="B156" s="92">
        <f t="shared" si="3"/>
        <v>123</v>
      </c>
      <c r="C156" s="9"/>
      <c r="D156" s="10" t="s">
        <v>90</v>
      </c>
      <c r="E156" s="12"/>
      <c r="F156" s="104" t="s">
        <v>91</v>
      </c>
      <c r="G156" s="110"/>
      <c r="H156" s="416">
        <f>H157</f>
        <v>5728630</v>
      </c>
      <c r="I156" s="938">
        <f>I157</f>
        <v>3245564</v>
      </c>
      <c r="J156" s="918">
        <f>I156/H156*100</f>
        <v>56.65515140618263</v>
      </c>
      <c r="K156" s="306"/>
      <c r="L156" s="263"/>
      <c r="M156" s="263"/>
      <c r="N156" s="263"/>
      <c r="O156" s="263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</row>
    <row r="157" spans="2:30" ht="12.75">
      <c r="B157" s="92">
        <f t="shared" si="3"/>
        <v>124</v>
      </c>
      <c r="C157" s="9"/>
      <c r="D157" s="12"/>
      <c r="E157" s="12" t="s">
        <v>29</v>
      </c>
      <c r="F157" s="65" t="s">
        <v>92</v>
      </c>
      <c r="G157" s="110"/>
      <c r="H157" s="425">
        <f>SUM(H158:H169)</f>
        <v>5728630</v>
      </c>
      <c r="I157" s="939">
        <f>SUM(I158:I178)</f>
        <v>3245564</v>
      </c>
      <c r="J157" s="918">
        <f>I157/H157*100</f>
        <v>56.65515140618263</v>
      </c>
      <c r="K157" s="306"/>
      <c r="L157" s="814"/>
      <c r="M157" s="814"/>
      <c r="N157" s="263"/>
      <c r="O157" s="263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</row>
    <row r="158" spans="2:30" s="241" customFormat="1" ht="25.5" customHeight="1">
      <c r="B158" s="943">
        <f t="shared" si="3"/>
        <v>125</v>
      </c>
      <c r="C158" s="944"/>
      <c r="D158" s="945"/>
      <c r="E158" s="945"/>
      <c r="F158" s="1081" t="s">
        <v>489</v>
      </c>
      <c r="G158" s="1052"/>
      <c r="H158" s="946">
        <v>5028530</v>
      </c>
      <c r="I158" s="947">
        <f>2456209+3024</f>
        <v>2459233</v>
      </c>
      <c r="J158" s="948">
        <f>I158/H158*100</f>
        <v>48.90560462003806</v>
      </c>
      <c r="K158" s="933"/>
      <c r="L158" s="930"/>
      <c r="M158" s="930"/>
      <c r="N158" s="930"/>
      <c r="O158" s="930"/>
      <c r="P158" s="929"/>
      <c r="Q158" s="929"/>
      <c r="R158" s="929"/>
      <c r="S158" s="929"/>
      <c r="T158" s="929"/>
      <c r="U158" s="929"/>
      <c r="V158" s="929"/>
      <c r="W158" s="929"/>
      <c r="X158" s="929"/>
      <c r="Y158" s="929"/>
      <c r="Z158" s="929"/>
      <c r="AA158" s="929"/>
      <c r="AB158" s="929"/>
      <c r="AC158" s="929"/>
      <c r="AD158" s="929"/>
    </row>
    <row r="159" spans="2:30" ht="12.75">
      <c r="B159" s="92">
        <f t="shared" si="3"/>
        <v>126</v>
      </c>
      <c r="C159" s="9"/>
      <c r="D159" s="12"/>
      <c r="E159" s="12"/>
      <c r="F159" s="139" t="s">
        <v>487</v>
      </c>
      <c r="G159" s="110"/>
      <c r="H159" s="422"/>
      <c r="I159" s="919">
        <v>4166</v>
      </c>
      <c r="J159" s="918"/>
      <c r="K159" s="306"/>
      <c r="L159" s="263"/>
      <c r="M159" s="263"/>
      <c r="N159" s="263"/>
      <c r="O159" s="263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</row>
    <row r="160" spans="2:30" ht="12.75">
      <c r="B160" s="92">
        <f t="shared" si="3"/>
        <v>127</v>
      </c>
      <c r="C160" s="9"/>
      <c r="D160" s="12"/>
      <c r="E160" s="12"/>
      <c r="F160" s="69" t="s">
        <v>481</v>
      </c>
      <c r="G160" s="110"/>
      <c r="H160" s="422"/>
      <c r="I160" s="919">
        <v>53827</v>
      </c>
      <c r="J160" s="918"/>
      <c r="K160" s="306"/>
      <c r="L160" s="263"/>
      <c r="M160" s="263"/>
      <c r="N160" s="263"/>
      <c r="O160" s="263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</row>
    <row r="161" spans="2:30" ht="12.75">
      <c r="B161" s="92">
        <f t="shared" si="3"/>
        <v>128</v>
      </c>
      <c r="C161" s="9"/>
      <c r="D161" s="12"/>
      <c r="E161" s="12"/>
      <c r="F161" s="69" t="s">
        <v>479</v>
      </c>
      <c r="G161" s="110"/>
      <c r="H161" s="422"/>
      <c r="I161" s="919">
        <v>8496</v>
      </c>
      <c r="J161" s="918"/>
      <c r="K161" s="306"/>
      <c r="L161" s="263"/>
      <c r="M161" s="263"/>
      <c r="N161" s="263"/>
      <c r="O161" s="263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</row>
    <row r="162" spans="2:30" ht="12.75">
      <c r="B162" s="92">
        <f t="shared" si="3"/>
        <v>129</v>
      </c>
      <c r="C162" s="9"/>
      <c r="D162" s="12"/>
      <c r="E162" s="12"/>
      <c r="F162" s="69" t="s">
        <v>480</v>
      </c>
      <c r="G162" s="110"/>
      <c r="H162" s="422"/>
      <c r="I162" s="919">
        <v>10800</v>
      </c>
      <c r="J162" s="918"/>
      <c r="K162" s="306"/>
      <c r="L162" s="263"/>
      <c r="M162" s="263"/>
      <c r="N162" s="263"/>
      <c r="O162" s="263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</row>
    <row r="163" spans="2:30" ht="12.75">
      <c r="B163" s="92">
        <f t="shared" si="3"/>
        <v>130</v>
      </c>
      <c r="C163" s="9"/>
      <c r="D163" s="12"/>
      <c r="E163" s="12"/>
      <c r="F163" s="69" t="s">
        <v>210</v>
      </c>
      <c r="G163" s="110"/>
      <c r="H163" s="422">
        <v>79650</v>
      </c>
      <c r="I163" s="919">
        <v>39828</v>
      </c>
      <c r="J163" s="918">
        <f aca="true" t="shared" si="6" ref="J163:J169">I163/H163*100</f>
        <v>50.00376647834275</v>
      </c>
      <c r="K163" s="306"/>
      <c r="L163" s="263"/>
      <c r="M163" s="263"/>
      <c r="N163" s="263"/>
      <c r="O163" s="263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</row>
    <row r="164" spans="2:30" ht="12.75">
      <c r="B164" s="92">
        <f t="shared" si="3"/>
        <v>131</v>
      </c>
      <c r="C164" s="9"/>
      <c r="D164" s="12"/>
      <c r="E164" s="12"/>
      <c r="F164" s="77" t="s">
        <v>93</v>
      </c>
      <c r="G164" s="110"/>
      <c r="H164" s="422">
        <v>433090</v>
      </c>
      <c r="I164" s="919">
        <v>433090</v>
      </c>
      <c r="J164" s="918">
        <f t="shared" si="6"/>
        <v>100</v>
      </c>
      <c r="K164" s="306"/>
      <c r="L164" s="263"/>
      <c r="M164" s="263"/>
      <c r="N164" s="263"/>
      <c r="O164" s="263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</row>
    <row r="165" spans="2:30" ht="12.75">
      <c r="B165" s="92">
        <f t="shared" si="3"/>
        <v>132</v>
      </c>
      <c r="C165" s="9"/>
      <c r="D165" s="16"/>
      <c r="E165" s="11"/>
      <c r="F165" s="77" t="s">
        <v>94</v>
      </c>
      <c r="G165" s="110"/>
      <c r="H165" s="422">
        <v>59000</v>
      </c>
      <c r="I165" s="919">
        <f>16658+16658</f>
        <v>33316</v>
      </c>
      <c r="J165" s="918">
        <f t="shared" si="6"/>
        <v>56.46779661016949</v>
      </c>
      <c r="K165" s="306"/>
      <c r="L165" s="263"/>
      <c r="M165" s="263"/>
      <c r="N165" s="263"/>
      <c r="O165" s="263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</row>
    <row r="166" spans="2:30" ht="12.75">
      <c r="B166" s="92">
        <f t="shared" si="3"/>
        <v>133</v>
      </c>
      <c r="C166" s="9"/>
      <c r="D166" s="16"/>
      <c r="E166" s="11"/>
      <c r="F166" s="77" t="s">
        <v>83</v>
      </c>
      <c r="G166" s="110"/>
      <c r="H166" s="422">
        <v>50000</v>
      </c>
      <c r="I166" s="919">
        <v>29265</v>
      </c>
      <c r="J166" s="918">
        <f t="shared" si="6"/>
        <v>58.53</v>
      </c>
      <c r="K166" s="306"/>
      <c r="L166" s="263"/>
      <c r="M166" s="263"/>
      <c r="N166" s="263"/>
      <c r="O166" s="263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</row>
    <row r="167" spans="2:30" ht="12.75">
      <c r="B167" s="92">
        <f t="shared" si="3"/>
        <v>134</v>
      </c>
      <c r="C167" s="9"/>
      <c r="D167" s="16"/>
      <c r="E167" s="11"/>
      <c r="F167" s="77" t="s">
        <v>95</v>
      </c>
      <c r="G167" s="110"/>
      <c r="H167" s="422">
        <v>37160</v>
      </c>
      <c r="I167" s="919">
        <v>18583</v>
      </c>
      <c r="J167" s="918">
        <f t="shared" si="6"/>
        <v>50.008073196986004</v>
      </c>
      <c r="K167" s="306"/>
      <c r="L167" s="263"/>
      <c r="M167" s="263"/>
      <c r="N167" s="263"/>
      <c r="O167" s="263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</row>
    <row r="168" spans="2:30" ht="12.75">
      <c r="B168" s="92">
        <f t="shared" si="3"/>
        <v>135</v>
      </c>
      <c r="C168" s="9"/>
      <c r="D168" s="16"/>
      <c r="E168" s="11"/>
      <c r="F168" s="77" t="s">
        <v>2</v>
      </c>
      <c r="G168" s="110"/>
      <c r="H168" s="422">
        <v>18700</v>
      </c>
      <c r="I168" s="919">
        <f>4662+4662</f>
        <v>9324</v>
      </c>
      <c r="J168" s="918">
        <f t="shared" si="6"/>
        <v>49.86096256684492</v>
      </c>
      <c r="K168" s="306"/>
      <c r="L168" s="263"/>
      <c r="M168" s="263"/>
      <c r="N168" s="263"/>
      <c r="O168" s="263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</row>
    <row r="169" spans="2:30" ht="12.75">
      <c r="B169" s="92">
        <f t="shared" si="3"/>
        <v>136</v>
      </c>
      <c r="C169" s="9"/>
      <c r="D169" s="16"/>
      <c r="E169" s="11"/>
      <c r="F169" s="69" t="s">
        <v>96</v>
      </c>
      <c r="G169" s="20"/>
      <c r="H169" s="419">
        <v>22500</v>
      </c>
      <c r="I169" s="919">
        <f>12502-330</f>
        <v>12172</v>
      </c>
      <c r="J169" s="918">
        <f t="shared" si="6"/>
        <v>54.09777777777778</v>
      </c>
      <c r="K169" s="306"/>
      <c r="L169" s="814"/>
      <c r="M169" s="814"/>
      <c r="N169" s="814"/>
      <c r="O169" s="814"/>
      <c r="P169" s="794"/>
      <c r="Q169" s="794"/>
      <c r="R169" s="794"/>
      <c r="S169" s="794"/>
      <c r="T169" s="794"/>
      <c r="U169" s="794"/>
      <c r="V169" s="794"/>
      <c r="W169" s="794"/>
      <c r="X169" s="794"/>
      <c r="Y169" s="794"/>
      <c r="Z169" s="794"/>
      <c r="AA169" s="44"/>
      <c r="AB169" s="44"/>
      <c r="AC169" s="44"/>
      <c r="AD169" s="44"/>
    </row>
    <row r="170" spans="2:30" ht="12.75">
      <c r="B170" s="92">
        <f t="shared" si="3"/>
        <v>137</v>
      </c>
      <c r="C170" s="9"/>
      <c r="D170" s="16"/>
      <c r="E170" s="11"/>
      <c r="F170" s="69" t="s">
        <v>482</v>
      </c>
      <c r="G170" s="20"/>
      <c r="H170" s="419"/>
      <c r="I170" s="919">
        <v>5584</v>
      </c>
      <c r="J170" s="918"/>
      <c r="K170" s="306"/>
      <c r="L170" s="263"/>
      <c r="M170" s="263"/>
      <c r="N170" s="263"/>
      <c r="O170" s="263"/>
      <c r="P170" s="262"/>
      <c r="Q170" s="262"/>
      <c r="R170" s="262"/>
      <c r="S170" s="50"/>
      <c r="T170" s="50"/>
      <c r="U170" s="50"/>
      <c r="V170" s="50"/>
      <c r="W170" s="50"/>
      <c r="X170" s="50"/>
      <c r="Y170" s="50"/>
      <c r="Z170" s="50"/>
      <c r="AA170" s="262"/>
      <c r="AB170" s="44"/>
      <c r="AC170" s="44"/>
      <c r="AD170" s="44"/>
    </row>
    <row r="171" spans="2:30" ht="12.75">
      <c r="B171" s="92">
        <f t="shared" si="3"/>
        <v>138</v>
      </c>
      <c r="C171" s="9"/>
      <c r="D171" s="16"/>
      <c r="E171" s="11"/>
      <c r="F171" s="69" t="s">
        <v>485</v>
      </c>
      <c r="G171" s="20"/>
      <c r="H171" s="419"/>
      <c r="I171" s="919">
        <f>1475+264+330</f>
        <v>2069</v>
      </c>
      <c r="J171" s="918"/>
      <c r="K171" s="306"/>
      <c r="L171" s="263"/>
      <c r="M171" s="263"/>
      <c r="N171" s="263"/>
      <c r="O171" s="263"/>
      <c r="P171" s="44"/>
      <c r="Q171" s="44"/>
      <c r="R171" s="262"/>
      <c r="S171" s="50"/>
      <c r="T171" s="50"/>
      <c r="U171" s="50"/>
      <c r="V171" s="50"/>
      <c r="W171" s="50"/>
      <c r="X171" s="50"/>
      <c r="Y171" s="50"/>
      <c r="Z171" s="50"/>
      <c r="AA171" s="263"/>
      <c r="AB171" s="44"/>
      <c r="AC171" s="44"/>
      <c r="AD171" s="44"/>
    </row>
    <row r="172" spans="2:30" ht="12.75">
      <c r="B172" s="92">
        <f t="shared" si="3"/>
        <v>139</v>
      </c>
      <c r="C172" s="9"/>
      <c r="D172" s="16"/>
      <c r="E172" s="11"/>
      <c r="F172" s="69" t="s">
        <v>436</v>
      </c>
      <c r="G172" s="20"/>
      <c r="H172" s="419"/>
      <c r="I172" s="919">
        <f>1693+10939</f>
        <v>12632</v>
      </c>
      <c r="J172" s="918"/>
      <c r="K172" s="306"/>
      <c r="L172" s="263"/>
      <c r="M172" s="263"/>
      <c r="N172" s="263"/>
      <c r="O172" s="263"/>
      <c r="P172" s="44"/>
      <c r="Q172" s="44"/>
      <c r="R172" s="263"/>
      <c r="S172" s="44"/>
      <c r="T172" s="44"/>
      <c r="U172" s="50"/>
      <c r="V172" s="50"/>
      <c r="W172" s="50"/>
      <c r="X172" s="50"/>
      <c r="Y172" s="50"/>
      <c r="Z172" s="50"/>
      <c r="AA172" s="263"/>
      <c r="AB172" s="44"/>
      <c r="AC172" s="44"/>
      <c r="AD172" s="44"/>
    </row>
    <row r="173" spans="2:30" ht="12.75">
      <c r="B173" s="92">
        <f t="shared" si="3"/>
        <v>140</v>
      </c>
      <c r="C173" s="9"/>
      <c r="D173" s="16"/>
      <c r="E173" s="11"/>
      <c r="F173" s="77" t="s">
        <v>488</v>
      </c>
      <c r="G173" s="110"/>
      <c r="H173" s="422"/>
      <c r="I173" s="919">
        <v>51386</v>
      </c>
      <c r="J173" s="918"/>
      <c r="K173" s="306"/>
      <c r="L173" s="263"/>
      <c r="M173" s="263"/>
      <c r="N173" s="263"/>
      <c r="O173" s="263"/>
      <c r="P173" s="44"/>
      <c r="Q173" s="44"/>
      <c r="R173" s="263"/>
      <c r="S173" s="44"/>
      <c r="T173" s="44"/>
      <c r="U173" s="50"/>
      <c r="V173" s="50"/>
      <c r="W173" s="50"/>
      <c r="X173" s="50"/>
      <c r="Y173" s="50"/>
      <c r="Z173" s="50"/>
      <c r="AA173" s="44"/>
      <c r="AB173" s="44"/>
      <c r="AC173" s="44"/>
      <c r="AD173" s="44"/>
    </row>
    <row r="174" spans="2:30" ht="12.75">
      <c r="B174" s="92">
        <f t="shared" si="3"/>
        <v>141</v>
      </c>
      <c r="C174" s="9"/>
      <c r="D174" s="16"/>
      <c r="E174" s="11"/>
      <c r="F174" s="77" t="s">
        <v>490</v>
      </c>
      <c r="G174" s="110"/>
      <c r="H174" s="422"/>
      <c r="I174" s="919">
        <v>27852</v>
      </c>
      <c r="J174" s="918"/>
      <c r="K174" s="306"/>
      <c r="L174" s="263"/>
      <c r="M174" s="263"/>
      <c r="N174" s="263"/>
      <c r="O174" s="263"/>
      <c r="P174" s="44"/>
      <c r="Q174" s="44"/>
      <c r="R174" s="263"/>
      <c r="S174" s="44"/>
      <c r="T174" s="44"/>
      <c r="U174" s="50"/>
      <c r="V174" s="50"/>
      <c r="W174" s="50"/>
      <c r="X174" s="50"/>
      <c r="Y174" s="50"/>
      <c r="Z174" s="50"/>
      <c r="AA174" s="44"/>
      <c r="AB174" s="44"/>
      <c r="AC174" s="44"/>
      <c r="AD174" s="44"/>
    </row>
    <row r="175" spans="2:30" ht="12.75">
      <c r="B175" s="92">
        <f t="shared" si="3"/>
        <v>142</v>
      </c>
      <c r="C175" s="88"/>
      <c r="D175" s="93"/>
      <c r="E175" s="935"/>
      <c r="F175" s="85" t="s">
        <v>486</v>
      </c>
      <c r="G175" s="114"/>
      <c r="H175" s="426"/>
      <c r="I175" s="919">
        <v>1221</v>
      </c>
      <c r="J175" s="918"/>
      <c r="K175" s="306"/>
      <c r="L175" s="263"/>
      <c r="M175" s="263"/>
      <c r="N175" s="263"/>
      <c r="O175" s="263"/>
      <c r="P175" s="44"/>
      <c r="Q175" s="44"/>
      <c r="R175" s="263"/>
      <c r="S175" s="44"/>
      <c r="T175" s="44"/>
      <c r="U175" s="50"/>
      <c r="V175" s="50"/>
      <c r="W175" s="50"/>
      <c r="X175" s="50"/>
      <c r="Y175" s="50"/>
      <c r="Z175" s="50"/>
      <c r="AA175" s="44"/>
      <c r="AB175" s="44"/>
      <c r="AC175" s="44"/>
      <c r="AD175" s="44"/>
    </row>
    <row r="176" spans="2:30" ht="12.75">
      <c r="B176" s="92">
        <f>B175+1</f>
        <v>143</v>
      </c>
      <c r="C176" s="88"/>
      <c r="D176" s="93"/>
      <c r="E176" s="935"/>
      <c r="F176" s="85" t="s">
        <v>484</v>
      </c>
      <c r="G176" s="114"/>
      <c r="H176" s="426"/>
      <c r="I176" s="919">
        <v>17163</v>
      </c>
      <c r="J176" s="918"/>
      <c r="K176" s="306"/>
      <c r="L176" s="263"/>
      <c r="M176" s="263"/>
      <c r="N176" s="263"/>
      <c r="O176" s="263"/>
      <c r="P176" s="44"/>
      <c r="Q176" s="44"/>
      <c r="R176" s="263"/>
      <c r="S176" s="44"/>
      <c r="T176" s="44"/>
      <c r="U176" s="50"/>
      <c r="V176" s="50"/>
      <c r="W176" s="50"/>
      <c r="X176" s="50"/>
      <c r="Y176" s="50"/>
      <c r="Z176" s="50"/>
      <c r="AA176" s="44"/>
      <c r="AB176" s="44"/>
      <c r="AC176" s="44"/>
      <c r="AD176" s="44"/>
    </row>
    <row r="177" spans="2:30" ht="12.75">
      <c r="B177" s="92">
        <f>B176+1</f>
        <v>144</v>
      </c>
      <c r="C177" s="88"/>
      <c r="D177" s="93"/>
      <c r="E177" s="935"/>
      <c r="F177" s="85" t="s">
        <v>483</v>
      </c>
      <c r="G177" s="114"/>
      <c r="H177" s="426"/>
      <c r="I177" s="919">
        <v>6444</v>
      </c>
      <c r="J177" s="934"/>
      <c r="K177" s="306"/>
      <c r="L177" s="263"/>
      <c r="M177" s="263"/>
      <c r="N177" s="263"/>
      <c r="O177" s="263"/>
      <c r="P177" s="44"/>
      <c r="Q177" s="44"/>
      <c r="R177" s="263"/>
      <c r="S177" s="44"/>
      <c r="T177" s="44"/>
      <c r="U177" s="50"/>
      <c r="V177" s="50"/>
      <c r="W177" s="50"/>
      <c r="X177" s="50"/>
      <c r="Y177" s="50"/>
      <c r="Z177" s="50"/>
      <c r="AA177" s="44"/>
      <c r="AB177" s="44"/>
      <c r="AC177" s="44"/>
      <c r="AD177" s="44"/>
    </row>
    <row r="178" spans="2:30" ht="12.75">
      <c r="B178" s="92">
        <f>B177+1</f>
        <v>145</v>
      </c>
      <c r="C178" s="969"/>
      <c r="D178" s="970"/>
      <c r="E178" s="971"/>
      <c r="F178" s="1079" t="s">
        <v>493</v>
      </c>
      <c r="G178" s="1080"/>
      <c r="H178" s="972"/>
      <c r="I178" s="973">
        <v>9113</v>
      </c>
      <c r="J178" s="934"/>
      <c r="K178" s="306"/>
      <c r="L178" s="263"/>
      <c r="M178" s="263"/>
      <c r="N178" s="263"/>
      <c r="O178" s="263"/>
      <c r="P178" s="44"/>
      <c r="Q178" s="44"/>
      <c r="R178" s="263"/>
      <c r="S178" s="44"/>
      <c r="T178" s="44"/>
      <c r="U178" s="50"/>
      <c r="V178" s="50"/>
      <c r="W178" s="50"/>
      <c r="X178" s="50"/>
      <c r="Y178" s="50"/>
      <c r="Z178" s="50"/>
      <c r="AA178" s="44"/>
      <c r="AB178" s="44"/>
      <c r="AC178" s="44"/>
      <c r="AD178" s="44"/>
    </row>
    <row r="179" spans="2:30" ht="12.75" customHeight="1" thickBot="1">
      <c r="B179" s="92">
        <f>B178+1</f>
        <v>146</v>
      </c>
      <c r="C179" s="444"/>
      <c r="D179" s="445"/>
      <c r="E179" s="446"/>
      <c r="F179" s="447"/>
      <c r="G179" s="448"/>
      <c r="H179" s="449"/>
      <c r="I179" s="920"/>
      <c r="J179" s="934"/>
      <c r="K179" s="306"/>
      <c r="L179" s="263"/>
      <c r="M179" s="263"/>
      <c r="N179" s="263"/>
      <c r="O179" s="263"/>
      <c r="P179" s="44"/>
      <c r="Q179" s="44"/>
      <c r="R179" s="263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</row>
    <row r="180" spans="2:30" s="241" customFormat="1" ht="31.5" customHeight="1" thickBot="1" thickTop="1">
      <c r="B180" s="832">
        <f>B179+1</f>
        <v>147</v>
      </c>
      <c r="C180" s="784"/>
      <c r="D180" s="785"/>
      <c r="E180" s="786"/>
      <c r="F180" s="787" t="s">
        <v>97</v>
      </c>
      <c r="G180" s="788"/>
      <c r="H180" s="789">
        <f>H153+H23+H7</f>
        <v>26642000</v>
      </c>
      <c r="I180" s="921">
        <f>I153+I23+I7</f>
        <v>14436988.11</v>
      </c>
      <c r="J180" s="988">
        <f>I180/H180*100</f>
        <v>54.1888300803243</v>
      </c>
      <c r="K180" s="933"/>
      <c r="L180" s="930"/>
      <c r="M180" s="263"/>
      <c r="N180" s="263"/>
      <c r="O180" s="263"/>
      <c r="P180" s="929"/>
      <c r="Q180" s="929"/>
      <c r="R180" s="263"/>
      <c r="S180" s="44"/>
      <c r="T180" s="44"/>
      <c r="U180" s="44"/>
      <c r="V180" s="44"/>
      <c r="W180" s="44"/>
      <c r="X180" s="929"/>
      <c r="Y180" s="929"/>
      <c r="Z180" s="929"/>
      <c r="AA180" s="929"/>
      <c r="AB180" s="929"/>
      <c r="AC180" s="929"/>
      <c r="AD180" s="929"/>
    </row>
    <row r="181" spans="11:30" ht="15.75" customHeight="1">
      <c r="K181" s="306"/>
      <c r="L181" s="263"/>
      <c r="M181" s="263"/>
      <c r="N181" s="263"/>
      <c r="O181" s="263"/>
      <c r="P181" s="44"/>
      <c r="Q181" s="44"/>
      <c r="R181" s="263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</row>
    <row r="182" spans="2:30" ht="12.75">
      <c r="B182"/>
      <c r="C182"/>
      <c r="D182"/>
      <c r="E182"/>
      <c r="F182"/>
      <c r="G182"/>
      <c r="K182" s="306"/>
      <c r="L182" s="263"/>
      <c r="M182" s="263"/>
      <c r="N182" s="263"/>
      <c r="O182" s="930"/>
      <c r="P182" s="44"/>
      <c r="Q182" s="44"/>
      <c r="R182" s="263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</row>
    <row r="183" spans="11:30" ht="12.75">
      <c r="K183" s="306"/>
      <c r="L183" s="263"/>
      <c r="M183" s="263"/>
      <c r="N183" s="263"/>
      <c r="O183" s="263"/>
      <c r="P183" s="44"/>
      <c r="Q183" s="44"/>
      <c r="R183" s="263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</row>
    <row r="184" spans="11:30" ht="12.75">
      <c r="K184" s="306"/>
      <c r="L184" s="263"/>
      <c r="M184" s="263"/>
      <c r="N184" s="263"/>
      <c r="O184" s="263"/>
      <c r="P184" s="44"/>
      <c r="Q184" s="44"/>
      <c r="R184" s="263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</row>
    <row r="185" spans="11:30" ht="12.75">
      <c r="K185" s="306"/>
      <c r="L185" s="263"/>
      <c r="M185" s="263"/>
      <c r="N185" s="263"/>
      <c r="O185" s="263"/>
      <c r="P185" s="44"/>
      <c r="Q185" s="44"/>
      <c r="R185" s="929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</row>
    <row r="186" spans="11:30" ht="12.75">
      <c r="K186" s="306"/>
      <c r="L186" s="263"/>
      <c r="M186" s="263"/>
      <c r="N186" s="263"/>
      <c r="O186" s="263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</row>
    <row r="187" spans="9:30" ht="12.75">
      <c r="I187" s="667"/>
      <c r="K187" s="306"/>
      <c r="L187" s="263"/>
      <c r="M187" s="263"/>
      <c r="N187" s="930"/>
      <c r="O187" s="263"/>
      <c r="P187" s="44"/>
      <c r="Q187" s="44"/>
      <c r="R187" s="44"/>
      <c r="S187" s="44"/>
      <c r="T187" s="44"/>
      <c r="U187" s="929"/>
      <c r="V187" s="929"/>
      <c r="W187" s="929"/>
      <c r="X187" s="929"/>
      <c r="Y187" s="929"/>
      <c r="Z187" s="929"/>
      <c r="AA187" s="44"/>
      <c r="AB187" s="44"/>
      <c r="AC187" s="44"/>
      <c r="AD187" s="44"/>
    </row>
    <row r="188" spans="11:30" ht="15.75" customHeight="1">
      <c r="K188" s="306"/>
      <c r="L188" s="263"/>
      <c r="M188" s="263"/>
      <c r="N188" s="263"/>
      <c r="O188" s="263"/>
      <c r="P188" s="44"/>
      <c r="Q188" s="44"/>
      <c r="R188" s="44"/>
      <c r="S188" s="44"/>
      <c r="T188" s="44"/>
      <c r="U188" s="44"/>
      <c r="V188" s="44"/>
      <c r="W188" s="44"/>
      <c r="X188" s="44"/>
      <c r="Y188" s="263"/>
      <c r="Z188" s="44"/>
      <c r="AA188" s="44"/>
      <c r="AB188" s="44"/>
      <c r="AC188" s="44"/>
      <c r="AD188" s="44"/>
    </row>
    <row r="189" spans="11:30" ht="13.5" customHeight="1">
      <c r="K189" s="306"/>
      <c r="L189" s="263"/>
      <c r="M189" s="930"/>
      <c r="N189" s="263"/>
      <c r="O189" s="263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</row>
    <row r="190" spans="11:30" ht="12.75">
      <c r="K190" s="306"/>
      <c r="L190" s="263"/>
      <c r="M190" s="263"/>
      <c r="N190" s="263"/>
      <c r="O190" s="263"/>
      <c r="P190" s="44"/>
      <c r="Q190" s="44"/>
      <c r="R190" s="44"/>
      <c r="S190" s="44"/>
      <c r="T190" s="44"/>
      <c r="U190" s="44"/>
      <c r="V190" s="44"/>
      <c r="W190" s="44"/>
      <c r="X190" s="44"/>
      <c r="Y190" s="263"/>
      <c r="Z190" s="44"/>
      <c r="AA190" s="44"/>
      <c r="AB190" s="44"/>
      <c r="AC190" s="44"/>
      <c r="AD190" s="44"/>
    </row>
    <row r="191" spans="11:30" ht="12.75">
      <c r="K191" s="306"/>
      <c r="L191" s="263"/>
      <c r="M191" s="263"/>
      <c r="N191" s="263"/>
      <c r="O191" s="263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</row>
    <row r="192" spans="2:30" ht="12.75">
      <c r="B192"/>
      <c r="C192"/>
      <c r="D192"/>
      <c r="E192"/>
      <c r="F192" s="7"/>
      <c r="G192" s="7"/>
      <c r="K192" s="306"/>
      <c r="L192" s="263"/>
      <c r="M192" s="263"/>
      <c r="N192" s="263"/>
      <c r="O192" s="263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</row>
    <row r="193" spans="2:30" ht="12.75">
      <c r="B193"/>
      <c r="C193"/>
      <c r="D193"/>
      <c r="E193"/>
      <c r="F193" s="7"/>
      <c r="G193" s="7"/>
      <c r="K193" s="306"/>
      <c r="L193" s="263"/>
      <c r="M193" s="263"/>
      <c r="N193" s="263"/>
      <c r="O193" s="263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</row>
    <row r="194" spans="6:30" ht="12.75">
      <c r="F194" s="7"/>
      <c r="G194" s="7"/>
      <c r="K194" s="306"/>
      <c r="L194" s="263"/>
      <c r="M194" s="263"/>
      <c r="N194" s="263"/>
      <c r="O194" s="263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</row>
    <row r="195" spans="6:30" ht="12.75">
      <c r="F195" s="108"/>
      <c r="G195" s="7"/>
      <c r="K195" s="306"/>
      <c r="L195" s="263"/>
      <c r="M195" s="263"/>
      <c r="N195" s="263"/>
      <c r="O195" s="263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</row>
    <row r="196" spans="6:30" ht="12.75">
      <c r="F196" s="108"/>
      <c r="G196" s="7"/>
      <c r="K196" s="306"/>
      <c r="L196" s="263"/>
      <c r="M196" s="263"/>
      <c r="N196" s="263"/>
      <c r="O196" s="263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</row>
    <row r="197" spans="6:7" ht="12.75">
      <c r="F197" s="108"/>
      <c r="G197" s="7"/>
    </row>
    <row r="198" spans="6:7" ht="12.75">
      <c r="F198" s="108"/>
      <c r="G198" s="7"/>
    </row>
    <row r="199" spans="6:7" ht="12.75">
      <c r="F199" s="108"/>
      <c r="G199" s="7"/>
    </row>
    <row r="200" spans="6:7" ht="12.75">
      <c r="F200" s="108"/>
      <c r="G200" s="7"/>
    </row>
    <row r="201" spans="6:7" ht="12.75">
      <c r="F201" s="108"/>
      <c r="G201" s="7"/>
    </row>
    <row r="202" spans="6:7" ht="15.75" customHeight="1">
      <c r="F202" s="108"/>
      <c r="G202" s="7"/>
    </row>
    <row r="203" spans="6:7" ht="13.5" customHeight="1">
      <c r="F203" s="108"/>
      <c r="G203" s="7"/>
    </row>
    <row r="204" spans="6:7" ht="13.5" customHeight="1">
      <c r="F204" s="108"/>
      <c r="G204" s="7"/>
    </row>
    <row r="205" spans="6:7" ht="12.75">
      <c r="F205" s="108"/>
      <c r="G205" s="7"/>
    </row>
    <row r="206" spans="6:7" ht="12.75">
      <c r="F206" s="108"/>
      <c r="G206" s="7"/>
    </row>
    <row r="207" spans="6:7" ht="12.75">
      <c r="F207" s="108"/>
      <c r="G207" s="7"/>
    </row>
    <row r="208" spans="6:7" ht="12.75">
      <c r="F208" s="108"/>
      <c r="G208" s="7"/>
    </row>
    <row r="209" spans="6:7" ht="12.75">
      <c r="F209" s="108"/>
      <c r="G209" s="7"/>
    </row>
    <row r="210" spans="6:7" ht="12.75">
      <c r="F210" s="108"/>
      <c r="G210" s="7"/>
    </row>
    <row r="211" spans="6:7" ht="12.75">
      <c r="F211" s="108"/>
      <c r="G211" s="7"/>
    </row>
    <row r="212" spans="6:7" ht="12.75">
      <c r="F212" s="108"/>
      <c r="G212" s="7"/>
    </row>
    <row r="213" spans="6:7" ht="12.75">
      <c r="F213" s="108"/>
      <c r="G213" s="7"/>
    </row>
    <row r="214" spans="6:7" ht="12.75">
      <c r="F214" s="7"/>
      <c r="G214" s="7"/>
    </row>
  </sheetData>
  <sheetProtection selectLockedCells="1" selectUnlockedCells="1"/>
  <mergeCells count="15">
    <mergeCell ref="I149:I152"/>
    <mergeCell ref="J149:J152"/>
    <mergeCell ref="F178:G178"/>
    <mergeCell ref="F158:G158"/>
    <mergeCell ref="B149:G150"/>
    <mergeCell ref="H149:H152"/>
    <mergeCell ref="B1:J1"/>
    <mergeCell ref="I74:I77"/>
    <mergeCell ref="J74:J77"/>
    <mergeCell ref="B3:G4"/>
    <mergeCell ref="I3:I6"/>
    <mergeCell ref="J3:J6"/>
    <mergeCell ref="H3:H6"/>
    <mergeCell ref="B74:G75"/>
    <mergeCell ref="H74:H77"/>
  </mergeCells>
  <printOptions/>
  <pageMargins left="0.7480314960629921" right="0.1968503937007874" top="0.31" bottom="0.15748031496062992" header="0.28" footer="0.1574803149606299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50"/>
  <sheetViews>
    <sheetView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8515625" style="6" customWidth="1"/>
    <col min="3" max="3" width="3.7109375" style="5" customWidth="1"/>
    <col min="4" max="4" width="2.28125" style="0" customWidth="1"/>
    <col min="5" max="5" width="44.00390625" style="0" customWidth="1"/>
    <col min="6" max="6" width="6.28125" style="0" customWidth="1"/>
    <col min="7" max="7" width="6.140625" style="0" customWidth="1"/>
    <col min="8" max="8" width="8.7109375" style="0" customWidth="1"/>
    <col min="9" max="9" width="8.28125" style="0" customWidth="1"/>
    <col min="10" max="10" width="10.421875" style="0" customWidth="1"/>
    <col min="11" max="11" width="10.421875" style="487" customWidth="1"/>
    <col min="12" max="12" width="7.28125" style="487" customWidth="1"/>
    <col min="13" max="13" width="1.8515625" style="121" customWidth="1"/>
    <col min="14" max="14" width="7.57421875" style="0" customWidth="1"/>
    <col min="15" max="15" width="8.7109375" style="0" customWidth="1"/>
    <col min="16" max="17" width="11.28125" style="0" customWidth="1"/>
    <col min="18" max="18" width="6.7109375" style="0" customWidth="1"/>
    <col min="19" max="19" width="2.421875" style="46" customWidth="1"/>
    <col min="20" max="20" width="10.57421875" style="0" customWidth="1"/>
    <col min="21" max="21" width="11.57421875" style="0" customWidth="1"/>
    <col min="22" max="22" width="6.57421875" style="989" customWidth="1"/>
  </cols>
  <sheetData>
    <row r="1" spans="10:21" ht="15.75" customHeight="1">
      <c r="J1" s="188"/>
      <c r="K1" s="50"/>
      <c r="L1" s="50"/>
      <c r="M1" s="289"/>
      <c r="N1" s="44"/>
      <c r="O1" s="44"/>
      <c r="P1" s="50"/>
      <c r="Q1" s="50"/>
      <c r="R1" s="50"/>
      <c r="S1" s="262"/>
      <c r="T1" s="263"/>
      <c r="U1" s="44"/>
    </row>
    <row r="2" spans="3:20" ht="29.25" customHeight="1">
      <c r="C2" s="264" t="s">
        <v>236</v>
      </c>
      <c r="I2" s="171"/>
      <c r="J2" s="196"/>
      <c r="K2" s="682"/>
      <c r="L2" s="682"/>
      <c r="M2" s="196"/>
      <c r="N2" s="171"/>
      <c r="T2" s="248"/>
    </row>
    <row r="3" ht="6" customHeight="1" thickBot="1"/>
    <row r="4" spans="2:22" ht="12.75" customHeight="1" thickBot="1">
      <c r="B4" s="1184" t="s">
        <v>306</v>
      </c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6"/>
      <c r="O4" s="1186"/>
      <c r="P4" s="1187"/>
      <c r="Q4" s="1189"/>
      <c r="R4" s="1131" t="s">
        <v>406</v>
      </c>
      <c r="S4" s="249"/>
      <c r="T4" s="1100" t="s">
        <v>405</v>
      </c>
      <c r="U4" s="1096" t="s">
        <v>465</v>
      </c>
      <c r="V4" s="1134" t="s">
        <v>406</v>
      </c>
    </row>
    <row r="5" spans="2:22" ht="18.75" customHeight="1" thickTop="1">
      <c r="B5" s="1143" t="s">
        <v>11</v>
      </c>
      <c r="C5" s="1144"/>
      <c r="D5" s="1144"/>
      <c r="E5" s="1144"/>
      <c r="F5" s="1144"/>
      <c r="G5" s="1144"/>
      <c r="H5" s="1144"/>
      <c r="I5" s="1144"/>
      <c r="J5" s="1145"/>
      <c r="K5" s="683"/>
      <c r="L5" s="1176" t="s">
        <v>406</v>
      </c>
      <c r="M5" s="407"/>
      <c r="N5" s="1181" t="s">
        <v>294</v>
      </c>
      <c r="O5" s="1182"/>
      <c r="P5" s="1183"/>
      <c r="Q5" s="1190"/>
      <c r="R5" s="1132"/>
      <c r="S5" s="250"/>
      <c r="T5" s="1101"/>
      <c r="U5" s="1097"/>
      <c r="V5" s="1135"/>
    </row>
    <row r="6" spans="2:22" ht="12.75" customHeight="1">
      <c r="B6" s="40"/>
      <c r="C6" s="1106" t="s">
        <v>147</v>
      </c>
      <c r="D6" s="1106" t="s">
        <v>148</v>
      </c>
      <c r="E6" s="1088" t="s">
        <v>10</v>
      </c>
      <c r="F6" s="1191"/>
      <c r="G6" s="1191"/>
      <c r="H6" s="1191"/>
      <c r="I6" s="1191"/>
      <c r="J6" s="1192"/>
      <c r="K6" s="917"/>
      <c r="L6" s="1132"/>
      <c r="M6" s="392"/>
      <c r="N6" s="1188" t="s">
        <v>10</v>
      </c>
      <c r="O6" s="1179"/>
      <c r="P6" s="1180"/>
      <c r="Q6" s="1190"/>
      <c r="R6" s="1132"/>
      <c r="S6" s="15"/>
      <c r="T6" s="1101"/>
      <c r="U6" s="1097"/>
      <c r="V6" s="1135"/>
    </row>
    <row r="7" spans="2:22" ht="39" customHeight="1">
      <c r="B7" s="40"/>
      <c r="C7" s="1107"/>
      <c r="D7" s="1107"/>
      <c r="E7" s="51" t="s">
        <v>4</v>
      </c>
      <c r="F7" s="1111">
        <v>610</v>
      </c>
      <c r="G7" s="1113">
        <v>620</v>
      </c>
      <c r="H7" s="1113">
        <v>630</v>
      </c>
      <c r="I7" s="1098">
        <v>640</v>
      </c>
      <c r="J7" s="1125" t="s">
        <v>492</v>
      </c>
      <c r="K7" s="1094" t="s">
        <v>465</v>
      </c>
      <c r="L7" s="1132"/>
      <c r="M7" s="168"/>
      <c r="N7" s="1146">
        <v>713</v>
      </c>
      <c r="O7" s="1113">
        <v>717</v>
      </c>
      <c r="P7" s="1125" t="s">
        <v>492</v>
      </c>
      <c r="Q7" s="1094" t="s">
        <v>465</v>
      </c>
      <c r="R7" s="1132"/>
      <c r="S7" s="251"/>
      <c r="T7" s="1101"/>
      <c r="U7" s="1097"/>
      <c r="V7" s="1135"/>
    </row>
    <row r="8" spans="2:22" ht="33.75" customHeight="1" thickBot="1">
      <c r="B8" s="40"/>
      <c r="C8" s="1107"/>
      <c r="D8" s="1107"/>
      <c r="E8" s="51"/>
      <c r="F8" s="1111"/>
      <c r="G8" s="1113"/>
      <c r="H8" s="1113"/>
      <c r="I8" s="1099"/>
      <c r="J8" s="1110"/>
      <c r="K8" s="1095"/>
      <c r="L8" s="1177"/>
      <c r="M8" s="412"/>
      <c r="N8" s="1146"/>
      <c r="O8" s="1113"/>
      <c r="P8" s="1110"/>
      <c r="Q8" s="1095"/>
      <c r="R8" s="1177"/>
      <c r="S8" s="195"/>
      <c r="T8" s="1102"/>
      <c r="U8" s="1097"/>
      <c r="V8" s="1135"/>
    </row>
    <row r="9" spans="2:22" ht="25.5" customHeight="1" thickBot="1" thickTop="1">
      <c r="B9" s="120">
        <v>1</v>
      </c>
      <c r="C9" s="201" t="s">
        <v>237</v>
      </c>
      <c r="D9" s="322"/>
      <c r="E9" s="323"/>
      <c r="F9" s="324">
        <f>F10+F11+F14+F44</f>
        <v>6650</v>
      </c>
      <c r="G9" s="325">
        <f>G10+G11+G14+G44</f>
        <v>2361</v>
      </c>
      <c r="H9" s="325">
        <f>H10+H11+H14+H44</f>
        <v>307859</v>
      </c>
      <c r="I9" s="277">
        <f>I10+I11+I14+I44</f>
        <v>202330</v>
      </c>
      <c r="J9" s="654">
        <f aca="true" t="shared" si="0" ref="J9:J46">SUM(F9:I9)</f>
        <v>519200</v>
      </c>
      <c r="K9" s="723">
        <f>K10+K11+K14+K44</f>
        <v>139584</v>
      </c>
      <c r="L9" s="901">
        <f>K9/J9*100</f>
        <v>26.884437596302003</v>
      </c>
      <c r="M9" s="408"/>
      <c r="N9" s="326">
        <f>N10+N11+N14</f>
        <v>46350</v>
      </c>
      <c r="O9" s="325">
        <f>O10+O11+O14+O44</f>
        <v>388672</v>
      </c>
      <c r="P9" s="654">
        <f>SUM(N9:O9)</f>
        <v>435022</v>
      </c>
      <c r="Q9" s="723">
        <f>Q10+Q11+Q14+Q44</f>
        <v>77139</v>
      </c>
      <c r="R9" s="901">
        <f>Q9/P9*100</f>
        <v>17.732206647020153</v>
      </c>
      <c r="S9" s="278"/>
      <c r="T9" s="864">
        <f aca="true" t="shared" si="1" ref="T9:U13">J9+P9</f>
        <v>954222</v>
      </c>
      <c r="U9" s="723">
        <f t="shared" si="1"/>
        <v>216723</v>
      </c>
      <c r="V9" s="901">
        <f>U9/T9*100</f>
        <v>22.712010412671265</v>
      </c>
    </row>
    <row r="10" spans="2:22" ht="15.75" thickTop="1">
      <c r="B10" s="30">
        <f aca="true" t="shared" si="2" ref="B10:B45">B9+1</f>
        <v>2</v>
      </c>
      <c r="C10" s="41">
        <v>1</v>
      </c>
      <c r="D10" s="42" t="s">
        <v>128</v>
      </c>
      <c r="E10" s="43"/>
      <c r="F10" s="153"/>
      <c r="G10" s="157"/>
      <c r="H10" s="157"/>
      <c r="I10" s="157"/>
      <c r="J10" s="858">
        <f t="shared" si="0"/>
        <v>0</v>
      </c>
      <c r="K10" s="724">
        <v>0</v>
      </c>
      <c r="L10" s="891"/>
      <c r="M10" s="186"/>
      <c r="N10" s="254"/>
      <c r="O10" s="157"/>
      <c r="P10" s="865">
        <v>0</v>
      </c>
      <c r="Q10" s="724"/>
      <c r="R10" s="891"/>
      <c r="S10" s="260"/>
      <c r="T10" s="860">
        <f t="shared" si="1"/>
        <v>0</v>
      </c>
      <c r="U10" s="724">
        <f t="shared" si="1"/>
        <v>0</v>
      </c>
      <c r="V10" s="889"/>
    </row>
    <row r="11" spans="2:22" ht="15">
      <c r="B11" s="30">
        <f t="shared" si="2"/>
        <v>3</v>
      </c>
      <c r="C11" s="41">
        <v>2</v>
      </c>
      <c r="D11" s="42" t="s">
        <v>129</v>
      </c>
      <c r="E11" s="43"/>
      <c r="F11" s="153"/>
      <c r="G11" s="157"/>
      <c r="H11" s="157"/>
      <c r="I11" s="157">
        <f>I12+I13</f>
        <v>25000</v>
      </c>
      <c r="J11" s="852">
        <f t="shared" si="0"/>
        <v>25000</v>
      </c>
      <c r="K11" s="672">
        <f>SUM(K12:K13)</f>
        <v>0</v>
      </c>
      <c r="L11" s="891">
        <f aca="true" t="shared" si="3" ref="L11:L46">K11/J11*100</f>
        <v>0</v>
      </c>
      <c r="M11" s="186"/>
      <c r="N11" s="254"/>
      <c r="O11" s="157"/>
      <c r="P11" s="862">
        <f>P12+P13</f>
        <v>0</v>
      </c>
      <c r="Q11" s="672"/>
      <c r="R11" s="891"/>
      <c r="S11" s="260"/>
      <c r="T11" s="860">
        <f t="shared" si="1"/>
        <v>25000</v>
      </c>
      <c r="U11" s="672">
        <f t="shared" si="1"/>
        <v>0</v>
      </c>
      <c r="V11" s="891">
        <f aca="true" t="shared" si="4" ref="V11:V46">U11/T11*100</f>
        <v>0</v>
      </c>
    </row>
    <row r="12" spans="2:22" ht="12.75">
      <c r="B12" s="30">
        <f t="shared" si="2"/>
        <v>4</v>
      </c>
      <c r="C12" s="39"/>
      <c r="D12" s="2"/>
      <c r="E12" s="140" t="s">
        <v>193</v>
      </c>
      <c r="F12" s="327"/>
      <c r="G12" s="328"/>
      <c r="H12" s="329"/>
      <c r="I12" s="328">
        <v>20000</v>
      </c>
      <c r="J12" s="627">
        <f t="shared" si="0"/>
        <v>20000</v>
      </c>
      <c r="K12" s="966"/>
      <c r="L12" s="890">
        <f t="shared" si="3"/>
        <v>0</v>
      </c>
      <c r="M12" s="170"/>
      <c r="N12" s="362"/>
      <c r="O12" s="349"/>
      <c r="P12" s="626">
        <f>SUM(N12:O12)</f>
        <v>0</v>
      </c>
      <c r="Q12" s="669"/>
      <c r="R12" s="890"/>
      <c r="S12" s="381"/>
      <c r="T12" s="382">
        <f t="shared" si="1"/>
        <v>20000</v>
      </c>
      <c r="U12" s="669">
        <f t="shared" si="1"/>
        <v>0</v>
      </c>
      <c r="V12" s="890">
        <f t="shared" si="4"/>
        <v>0</v>
      </c>
    </row>
    <row r="13" spans="2:22" ht="12.75">
      <c r="B13" s="30">
        <f t="shared" si="2"/>
        <v>5</v>
      </c>
      <c r="C13" s="39"/>
      <c r="D13" s="14"/>
      <c r="E13" s="140" t="s">
        <v>194</v>
      </c>
      <c r="F13" s="330"/>
      <c r="G13" s="331"/>
      <c r="H13" s="332"/>
      <c r="I13" s="331">
        <v>5000</v>
      </c>
      <c r="J13" s="627">
        <f t="shared" si="0"/>
        <v>5000</v>
      </c>
      <c r="K13" s="669"/>
      <c r="L13" s="890">
        <f t="shared" si="3"/>
        <v>0</v>
      </c>
      <c r="M13" s="170"/>
      <c r="N13" s="365"/>
      <c r="O13" s="328"/>
      <c r="P13" s="627">
        <f>SUM(N13:O13)</f>
        <v>0</v>
      </c>
      <c r="Q13" s="669"/>
      <c r="R13" s="890"/>
      <c r="S13" s="381"/>
      <c r="T13" s="383">
        <f t="shared" si="1"/>
        <v>5000</v>
      </c>
      <c r="U13" s="669">
        <f t="shared" si="1"/>
        <v>0</v>
      </c>
      <c r="V13" s="890">
        <f t="shared" si="4"/>
        <v>0</v>
      </c>
    </row>
    <row r="14" spans="2:22" ht="15">
      <c r="B14" s="30">
        <f t="shared" si="2"/>
        <v>6</v>
      </c>
      <c r="C14" s="41">
        <v>3</v>
      </c>
      <c r="D14" s="42" t="s">
        <v>175</v>
      </c>
      <c r="E14" s="43"/>
      <c r="F14" s="153">
        <f>F15+F20+F26+F31+F41</f>
        <v>6650</v>
      </c>
      <c r="G14" s="157">
        <f>G15+G20+G26+G31+G41</f>
        <v>2361</v>
      </c>
      <c r="H14" s="157">
        <f>H15+H20+H26+H31+H41</f>
        <v>301784</v>
      </c>
      <c r="I14" s="157">
        <f>I15+I20+I26+I31+I41</f>
        <v>177330</v>
      </c>
      <c r="J14" s="852">
        <f t="shared" si="0"/>
        <v>488125</v>
      </c>
      <c r="K14" s="672">
        <f>K15+K20+K26+K31+K41</f>
        <v>139444</v>
      </c>
      <c r="L14" s="891">
        <f t="shared" si="3"/>
        <v>28.56727272727273</v>
      </c>
      <c r="M14" s="186"/>
      <c r="N14" s="254">
        <f>N15+N20+N26+N31</f>
        <v>46350</v>
      </c>
      <c r="O14" s="157">
        <f>O15+O20+O26+O31</f>
        <v>356155</v>
      </c>
      <c r="P14" s="862">
        <f>SUM(N14:O14)</f>
        <v>402505</v>
      </c>
      <c r="Q14" s="672">
        <f>Q15+Q20+Q26+Q31+Q41</f>
        <v>77139</v>
      </c>
      <c r="R14" s="891">
        <f>Q14/P14*100</f>
        <v>19.16473087290841</v>
      </c>
      <c r="S14" s="260"/>
      <c r="T14" s="860">
        <f>J14+P14</f>
        <v>890630</v>
      </c>
      <c r="U14" s="672">
        <f aca="true" t="shared" si="5" ref="U14:U23">K14+Q14</f>
        <v>216583</v>
      </c>
      <c r="V14" s="891">
        <f t="shared" si="4"/>
        <v>24.317954706219194</v>
      </c>
    </row>
    <row r="15" spans="2:22" ht="12.75">
      <c r="B15" s="30">
        <f t="shared" si="2"/>
        <v>7</v>
      </c>
      <c r="C15" s="60"/>
      <c r="D15" s="63" t="s">
        <v>5</v>
      </c>
      <c r="E15" s="314" t="s">
        <v>130</v>
      </c>
      <c r="F15" s="333"/>
      <c r="G15" s="334"/>
      <c r="H15" s="335">
        <v>4530</v>
      </c>
      <c r="I15" s="334">
        <f>I16</f>
        <v>50000</v>
      </c>
      <c r="J15" s="633">
        <f t="shared" si="0"/>
        <v>54530</v>
      </c>
      <c r="K15" s="668">
        <f>SUM(K16:K19)</f>
        <v>14125</v>
      </c>
      <c r="L15" s="890">
        <f t="shared" si="3"/>
        <v>25.90317256556024</v>
      </c>
      <c r="M15" s="170"/>
      <c r="N15" s="342"/>
      <c r="O15" s="343">
        <f>O18</f>
        <v>993</v>
      </c>
      <c r="P15" s="625">
        <f aca="true" t="shared" si="6" ref="P15:P41">SUM(N15:O15)</f>
        <v>993</v>
      </c>
      <c r="Q15" s="668">
        <f>SUM(Q16:Q19)</f>
        <v>1016</v>
      </c>
      <c r="R15" s="890">
        <f>Q15/P15*100</f>
        <v>102.31621349446122</v>
      </c>
      <c r="S15" s="381"/>
      <c r="T15" s="405">
        <f>J15+P15</f>
        <v>55523</v>
      </c>
      <c r="U15" s="668">
        <f t="shared" si="5"/>
        <v>15141</v>
      </c>
      <c r="V15" s="890">
        <f t="shared" si="4"/>
        <v>27.269780091133406</v>
      </c>
    </row>
    <row r="16" spans="2:22" ht="12.75">
      <c r="B16" s="30">
        <f t="shared" si="2"/>
        <v>8</v>
      </c>
      <c r="C16" s="28"/>
      <c r="D16" s="14"/>
      <c r="E16" s="140" t="s">
        <v>225</v>
      </c>
      <c r="F16" s="330"/>
      <c r="G16" s="331"/>
      <c r="H16" s="332"/>
      <c r="I16" s="331">
        <v>50000</v>
      </c>
      <c r="J16" s="627">
        <f t="shared" si="0"/>
        <v>50000</v>
      </c>
      <c r="K16" s="669"/>
      <c r="L16" s="890">
        <f t="shared" si="3"/>
        <v>0</v>
      </c>
      <c r="M16" s="170"/>
      <c r="N16" s="365"/>
      <c r="O16" s="328"/>
      <c r="P16" s="627">
        <f t="shared" si="6"/>
        <v>0</v>
      </c>
      <c r="Q16" s="669"/>
      <c r="R16" s="890"/>
      <c r="S16" s="381"/>
      <c r="T16" s="383">
        <f>J16+P16</f>
        <v>50000</v>
      </c>
      <c r="U16" s="669">
        <f t="shared" si="5"/>
        <v>0</v>
      </c>
      <c r="V16" s="890">
        <f t="shared" si="4"/>
        <v>0</v>
      </c>
    </row>
    <row r="17" spans="2:22" ht="12.75">
      <c r="B17" s="30">
        <f t="shared" si="2"/>
        <v>9</v>
      </c>
      <c r="C17" s="28"/>
      <c r="D17" s="14"/>
      <c r="E17" s="140" t="s">
        <v>386</v>
      </c>
      <c r="F17" s="330"/>
      <c r="G17" s="331"/>
      <c r="H17" s="332">
        <v>4530</v>
      </c>
      <c r="I17" s="331"/>
      <c r="J17" s="627">
        <f t="shared" si="0"/>
        <v>4530</v>
      </c>
      <c r="K17" s="966">
        <v>4530</v>
      </c>
      <c r="L17" s="890">
        <f t="shared" si="3"/>
        <v>100</v>
      </c>
      <c r="M17" s="170"/>
      <c r="N17" s="365"/>
      <c r="O17" s="331"/>
      <c r="P17" s="627"/>
      <c r="Q17" s="669"/>
      <c r="R17" s="890"/>
      <c r="S17" s="381"/>
      <c r="T17" s="383"/>
      <c r="U17" s="669">
        <f t="shared" si="5"/>
        <v>4530</v>
      </c>
      <c r="V17" s="890"/>
    </row>
    <row r="18" spans="2:22" ht="12.75">
      <c r="B18" s="30">
        <f t="shared" si="2"/>
        <v>10</v>
      </c>
      <c r="C18" s="28"/>
      <c r="D18" s="14"/>
      <c r="E18" s="538" t="s">
        <v>344</v>
      </c>
      <c r="F18" s="330"/>
      <c r="G18" s="331"/>
      <c r="H18" s="332"/>
      <c r="I18" s="331"/>
      <c r="J18" s="627">
        <f t="shared" si="0"/>
        <v>0</v>
      </c>
      <c r="K18" s="966"/>
      <c r="L18" s="890"/>
      <c r="M18" s="170"/>
      <c r="N18" s="348"/>
      <c r="O18" s="331">
        <v>993</v>
      </c>
      <c r="P18" s="627">
        <f t="shared" si="6"/>
        <v>993</v>
      </c>
      <c r="Q18" s="966">
        <v>1016</v>
      </c>
      <c r="R18" s="890">
        <f>Q18/P18*100</f>
        <v>102.31621349446122</v>
      </c>
      <c r="S18" s="381"/>
      <c r="T18" s="383">
        <f>J18+P18</f>
        <v>993</v>
      </c>
      <c r="U18" s="669">
        <f t="shared" si="5"/>
        <v>1016</v>
      </c>
      <c r="V18" s="890">
        <f t="shared" si="4"/>
        <v>102.31621349446122</v>
      </c>
    </row>
    <row r="19" spans="2:22" ht="12.75">
      <c r="B19" s="30">
        <f t="shared" si="2"/>
        <v>11</v>
      </c>
      <c r="C19" s="28"/>
      <c r="D19" s="14"/>
      <c r="E19" s="140" t="s">
        <v>430</v>
      </c>
      <c r="F19" s="330"/>
      <c r="G19" s="331"/>
      <c r="H19" s="332"/>
      <c r="I19" s="331"/>
      <c r="J19" s="627"/>
      <c r="K19" s="966">
        <v>9595</v>
      </c>
      <c r="L19" s="890"/>
      <c r="M19" s="170"/>
      <c r="N19" s="727"/>
      <c r="O19" s="729"/>
      <c r="P19" s="728"/>
      <c r="Q19" s="730"/>
      <c r="R19" s="890"/>
      <c r="S19" s="381"/>
      <c r="T19" s="382"/>
      <c r="U19" s="669">
        <f t="shared" si="5"/>
        <v>9595</v>
      </c>
      <c r="V19" s="890"/>
    </row>
    <row r="20" spans="2:22" ht="12.75">
      <c r="B20" s="30">
        <f t="shared" si="2"/>
        <v>12</v>
      </c>
      <c r="C20" s="60"/>
      <c r="D20" s="59" t="s">
        <v>6</v>
      </c>
      <c r="E20" s="321" t="s">
        <v>131</v>
      </c>
      <c r="F20" s="336"/>
      <c r="G20" s="337"/>
      <c r="H20" s="338">
        <v>1205</v>
      </c>
      <c r="I20" s="337">
        <f>I21+I22+I24</f>
        <v>127330</v>
      </c>
      <c r="J20" s="633">
        <f t="shared" si="0"/>
        <v>128535</v>
      </c>
      <c r="K20" s="668">
        <f>SUM(K21:K25)</f>
        <v>6657</v>
      </c>
      <c r="L20" s="890">
        <f t="shared" si="3"/>
        <v>5.1791340879915975</v>
      </c>
      <c r="M20" s="170"/>
      <c r="N20" s="493"/>
      <c r="O20" s="334"/>
      <c r="P20" s="633">
        <f t="shared" si="6"/>
        <v>0</v>
      </c>
      <c r="Q20" s="668">
        <v>0</v>
      </c>
      <c r="R20" s="890"/>
      <c r="S20" s="381"/>
      <c r="T20" s="405">
        <f>J20+P20</f>
        <v>128535</v>
      </c>
      <c r="U20" s="668">
        <f t="shared" si="5"/>
        <v>6657</v>
      </c>
      <c r="V20" s="890">
        <f t="shared" si="4"/>
        <v>5.1791340879915975</v>
      </c>
    </row>
    <row r="21" spans="2:22" ht="12.75">
      <c r="B21" s="30">
        <f t="shared" si="2"/>
        <v>13</v>
      </c>
      <c r="C21" s="39"/>
      <c r="D21" s="14"/>
      <c r="E21" s="140" t="s">
        <v>225</v>
      </c>
      <c r="F21" s="330"/>
      <c r="G21" s="331"/>
      <c r="H21" s="332"/>
      <c r="I21" s="331">
        <v>120000</v>
      </c>
      <c r="J21" s="627">
        <f t="shared" si="0"/>
        <v>120000</v>
      </c>
      <c r="K21" s="669"/>
      <c r="L21" s="890">
        <f t="shared" si="3"/>
        <v>0</v>
      </c>
      <c r="M21" s="170"/>
      <c r="N21" s="362"/>
      <c r="O21" s="349"/>
      <c r="P21" s="626">
        <f t="shared" si="6"/>
        <v>0</v>
      </c>
      <c r="Q21" s="669"/>
      <c r="R21" s="890"/>
      <c r="S21" s="381"/>
      <c r="T21" s="383">
        <f>J21+P21</f>
        <v>120000</v>
      </c>
      <c r="U21" s="669">
        <f t="shared" si="5"/>
        <v>0</v>
      </c>
      <c r="V21" s="890">
        <f t="shared" si="4"/>
        <v>0</v>
      </c>
    </row>
    <row r="22" spans="2:22" ht="12.75">
      <c r="B22" s="30">
        <f t="shared" si="2"/>
        <v>14</v>
      </c>
      <c r="C22" s="39"/>
      <c r="D22" s="14"/>
      <c r="E22" s="140" t="s">
        <v>311</v>
      </c>
      <c r="F22" s="330"/>
      <c r="G22" s="331"/>
      <c r="H22" s="332"/>
      <c r="I22" s="331">
        <v>2500</v>
      </c>
      <c r="J22" s="627">
        <f t="shared" si="0"/>
        <v>2500</v>
      </c>
      <c r="K22" s="669"/>
      <c r="L22" s="890">
        <f t="shared" si="3"/>
        <v>0</v>
      </c>
      <c r="M22" s="170"/>
      <c r="N22" s="362"/>
      <c r="O22" s="349"/>
      <c r="P22" s="626">
        <f t="shared" si="6"/>
        <v>0</v>
      </c>
      <c r="Q22" s="669"/>
      <c r="R22" s="890"/>
      <c r="S22" s="381"/>
      <c r="T22" s="383">
        <f>J22+P22</f>
        <v>2500</v>
      </c>
      <c r="U22" s="669">
        <f t="shared" si="5"/>
        <v>0</v>
      </c>
      <c r="V22" s="890">
        <f t="shared" si="4"/>
        <v>0</v>
      </c>
    </row>
    <row r="23" spans="2:22" ht="12.75">
      <c r="B23" s="30">
        <f t="shared" si="2"/>
        <v>15</v>
      </c>
      <c r="C23" s="39"/>
      <c r="D23" s="14"/>
      <c r="E23" s="140" t="s">
        <v>386</v>
      </c>
      <c r="F23" s="330"/>
      <c r="G23" s="331"/>
      <c r="H23" s="332">
        <v>1205</v>
      </c>
      <c r="I23" s="331"/>
      <c r="J23" s="627">
        <f t="shared" si="0"/>
        <v>1205</v>
      </c>
      <c r="K23" s="669"/>
      <c r="L23" s="890">
        <f t="shared" si="3"/>
        <v>0</v>
      </c>
      <c r="M23" s="170"/>
      <c r="N23" s="362"/>
      <c r="O23" s="349"/>
      <c r="P23" s="626"/>
      <c r="Q23" s="669"/>
      <c r="R23" s="890"/>
      <c r="S23" s="381"/>
      <c r="T23" s="383"/>
      <c r="U23" s="669">
        <f t="shared" si="5"/>
        <v>0</v>
      </c>
      <c r="V23" s="890"/>
    </row>
    <row r="24" spans="2:22" ht="12.75">
      <c r="B24" s="30">
        <f t="shared" si="2"/>
        <v>16</v>
      </c>
      <c r="C24" s="39"/>
      <c r="D24" s="14"/>
      <c r="E24" s="538" t="s">
        <v>344</v>
      </c>
      <c r="F24" s="330"/>
      <c r="G24" s="331"/>
      <c r="H24" s="332"/>
      <c r="I24" s="331">
        <f>3330+1500</f>
        <v>4830</v>
      </c>
      <c r="J24" s="627">
        <f t="shared" si="0"/>
        <v>4830</v>
      </c>
      <c r="K24" s="669">
        <v>3330</v>
      </c>
      <c r="L24" s="890">
        <f t="shared" si="3"/>
        <v>68.94409937888199</v>
      </c>
      <c r="M24" s="170"/>
      <c r="N24" s="362"/>
      <c r="O24" s="349"/>
      <c r="P24" s="626"/>
      <c r="Q24" s="669"/>
      <c r="R24" s="890"/>
      <c r="S24" s="381"/>
      <c r="T24" s="383">
        <f>J24+P24</f>
        <v>4830</v>
      </c>
      <c r="U24" s="669">
        <f>K24+Q24</f>
        <v>3330</v>
      </c>
      <c r="V24" s="890">
        <f t="shared" si="4"/>
        <v>68.94409937888199</v>
      </c>
    </row>
    <row r="25" spans="2:22" ht="12.75">
      <c r="B25" s="30">
        <f t="shared" si="2"/>
        <v>17</v>
      </c>
      <c r="C25" s="39"/>
      <c r="D25" s="14"/>
      <c r="E25" s="140" t="s">
        <v>430</v>
      </c>
      <c r="F25" s="330"/>
      <c r="G25" s="331"/>
      <c r="H25" s="332"/>
      <c r="I25" s="331"/>
      <c r="J25" s="627"/>
      <c r="K25" s="966">
        <v>3327</v>
      </c>
      <c r="L25" s="890"/>
      <c r="M25" s="170"/>
      <c r="N25" s="362"/>
      <c r="O25" s="349"/>
      <c r="P25" s="626"/>
      <c r="Q25" s="669"/>
      <c r="R25" s="890"/>
      <c r="S25" s="381"/>
      <c r="T25" s="382"/>
      <c r="U25" s="669"/>
      <c r="V25" s="890"/>
    </row>
    <row r="26" spans="2:22" ht="12.75">
      <c r="B26" s="30">
        <f t="shared" si="2"/>
        <v>18</v>
      </c>
      <c r="C26" s="60"/>
      <c r="D26" s="63" t="s">
        <v>7</v>
      </c>
      <c r="E26" s="314" t="s">
        <v>82</v>
      </c>
      <c r="F26" s="333"/>
      <c r="G26" s="334"/>
      <c r="H26" s="335">
        <f>SUM(H27:H29)</f>
        <v>132270</v>
      </c>
      <c r="I26" s="335"/>
      <c r="J26" s="633">
        <f t="shared" si="0"/>
        <v>132270</v>
      </c>
      <c r="K26" s="668">
        <f>SUM(K27:K30)</f>
        <v>32502</v>
      </c>
      <c r="L26" s="890">
        <f t="shared" si="3"/>
        <v>24.572465411657973</v>
      </c>
      <c r="M26" s="170"/>
      <c r="N26" s="342"/>
      <c r="O26" s="335"/>
      <c r="P26" s="625">
        <f t="shared" si="6"/>
        <v>0</v>
      </c>
      <c r="Q26" s="668">
        <v>0</v>
      </c>
      <c r="R26" s="890"/>
      <c r="S26" s="381"/>
      <c r="T26" s="405">
        <f>J26+P26</f>
        <v>132270</v>
      </c>
      <c r="U26" s="668">
        <f>K26+Q26</f>
        <v>32502</v>
      </c>
      <c r="V26" s="890">
        <f t="shared" si="4"/>
        <v>24.572465411657973</v>
      </c>
    </row>
    <row r="27" spans="2:22" ht="12.75">
      <c r="B27" s="30">
        <f t="shared" si="2"/>
        <v>19</v>
      </c>
      <c r="C27" s="28"/>
      <c r="D27" s="14"/>
      <c r="E27" s="140" t="s">
        <v>225</v>
      </c>
      <c r="F27" s="330"/>
      <c r="G27" s="331"/>
      <c r="H27" s="332"/>
      <c r="I27" s="331"/>
      <c r="J27" s="627">
        <f t="shared" si="0"/>
        <v>0</v>
      </c>
      <c r="K27" s="669"/>
      <c r="L27" s="890"/>
      <c r="M27" s="170"/>
      <c r="N27" s="362"/>
      <c r="O27" s="349"/>
      <c r="P27" s="626">
        <f t="shared" si="6"/>
        <v>0</v>
      </c>
      <c r="Q27" s="669"/>
      <c r="R27" s="890"/>
      <c r="S27" s="381"/>
      <c r="T27" s="383">
        <f>J27+P27</f>
        <v>0</v>
      </c>
      <c r="U27" s="669">
        <f>K27+Q27</f>
        <v>0</v>
      </c>
      <c r="V27" s="890"/>
    </row>
    <row r="28" spans="2:22" ht="12.75">
      <c r="B28" s="30">
        <f t="shared" si="2"/>
        <v>20</v>
      </c>
      <c r="C28" s="28"/>
      <c r="D28" s="14"/>
      <c r="E28" s="140" t="s">
        <v>386</v>
      </c>
      <c r="F28" s="330"/>
      <c r="G28" s="330"/>
      <c r="H28" s="357">
        <v>12270</v>
      </c>
      <c r="I28" s="331"/>
      <c r="J28" s="627">
        <f t="shared" si="0"/>
        <v>12270</v>
      </c>
      <c r="K28" s="966">
        <v>6133</v>
      </c>
      <c r="L28" s="890">
        <f t="shared" si="3"/>
        <v>49.98370008149959</v>
      </c>
      <c r="M28" s="170"/>
      <c r="N28" s="362"/>
      <c r="O28" s="349"/>
      <c r="P28" s="626"/>
      <c r="Q28" s="669"/>
      <c r="R28" s="890"/>
      <c r="S28" s="381"/>
      <c r="T28" s="382"/>
      <c r="U28" s="669">
        <f>K28+Q28</f>
        <v>6133</v>
      </c>
      <c r="V28" s="890"/>
    </row>
    <row r="29" spans="2:22" ht="12.75">
      <c r="B29" s="30">
        <f t="shared" si="2"/>
        <v>21</v>
      </c>
      <c r="C29" s="28"/>
      <c r="D29" s="14"/>
      <c r="E29" s="140" t="s">
        <v>387</v>
      </c>
      <c r="F29" s="330"/>
      <c r="G29" s="330"/>
      <c r="H29" s="357">
        <v>120000</v>
      </c>
      <c r="I29" s="331"/>
      <c r="J29" s="627">
        <f t="shared" si="0"/>
        <v>120000</v>
      </c>
      <c r="K29" s="966"/>
      <c r="L29" s="890">
        <f t="shared" si="3"/>
        <v>0</v>
      </c>
      <c r="M29" s="170"/>
      <c r="N29" s="362"/>
      <c r="O29" s="349"/>
      <c r="P29" s="626"/>
      <c r="Q29" s="669"/>
      <c r="R29" s="890"/>
      <c r="S29" s="381"/>
      <c r="T29" s="382"/>
      <c r="U29" s="669">
        <f>K29+Q29</f>
        <v>0</v>
      </c>
      <c r="V29" s="890"/>
    </row>
    <row r="30" spans="2:22" ht="12.75">
      <c r="B30" s="30">
        <f t="shared" si="2"/>
        <v>22</v>
      </c>
      <c r="C30" s="28"/>
      <c r="D30" s="14"/>
      <c r="E30" s="140" t="s">
        <v>430</v>
      </c>
      <c r="F30" s="330"/>
      <c r="G30" s="330"/>
      <c r="H30" s="357"/>
      <c r="I30" s="331"/>
      <c r="J30" s="627"/>
      <c r="K30" s="966">
        <v>26369</v>
      </c>
      <c r="L30" s="890"/>
      <c r="M30" s="170"/>
      <c r="N30" s="362"/>
      <c r="O30" s="349"/>
      <c r="P30" s="626"/>
      <c r="Q30" s="669"/>
      <c r="R30" s="890"/>
      <c r="S30" s="381"/>
      <c r="T30" s="382"/>
      <c r="U30" s="669"/>
      <c r="V30" s="890"/>
    </row>
    <row r="31" spans="2:22" ht="12.75">
      <c r="B31" s="30">
        <f t="shared" si="2"/>
        <v>23</v>
      </c>
      <c r="C31" s="60"/>
      <c r="D31" s="59" t="s">
        <v>8</v>
      </c>
      <c r="E31" s="321" t="s">
        <v>132</v>
      </c>
      <c r="F31" s="336"/>
      <c r="G31" s="336"/>
      <c r="H31" s="336">
        <f>5110+150000</f>
        <v>155110</v>
      </c>
      <c r="I31" s="337"/>
      <c r="J31" s="633">
        <f t="shared" si="0"/>
        <v>155110</v>
      </c>
      <c r="K31" s="668">
        <f>SUM(K32:K40)</f>
        <v>71218</v>
      </c>
      <c r="L31" s="890">
        <f t="shared" si="3"/>
        <v>45.9145122816066</v>
      </c>
      <c r="M31" s="170"/>
      <c r="N31" s="342">
        <f>SUM(N32:N36)</f>
        <v>46350</v>
      </c>
      <c r="O31" s="343">
        <f>SUM(O32:O40)</f>
        <v>355162</v>
      </c>
      <c r="P31" s="625">
        <f t="shared" si="6"/>
        <v>401512</v>
      </c>
      <c r="Q31" s="668">
        <f>SUM(Q32:Q40)</f>
        <v>76123</v>
      </c>
      <c r="R31" s="890">
        <f>Q31/P31*100</f>
        <v>18.959084659985255</v>
      </c>
      <c r="S31" s="381"/>
      <c r="T31" s="405">
        <f aca="true" t="shared" si="7" ref="T31:U33">J31+P31</f>
        <v>556622</v>
      </c>
      <c r="U31" s="668">
        <f t="shared" si="7"/>
        <v>147341</v>
      </c>
      <c r="V31" s="890">
        <f t="shared" si="4"/>
        <v>26.470567099395996</v>
      </c>
    </row>
    <row r="32" spans="2:22" ht="12.75">
      <c r="B32" s="30">
        <f t="shared" si="2"/>
        <v>24</v>
      </c>
      <c r="C32" s="28"/>
      <c r="D32" s="14"/>
      <c r="E32" s="140" t="s">
        <v>302</v>
      </c>
      <c r="F32" s="330"/>
      <c r="G32" s="331"/>
      <c r="H32" s="332"/>
      <c r="I32" s="331"/>
      <c r="J32" s="627">
        <f t="shared" si="0"/>
        <v>0</v>
      </c>
      <c r="K32" s="669"/>
      <c r="L32" s="890"/>
      <c r="M32" s="170"/>
      <c r="N32" s="362"/>
      <c r="O32" s="349"/>
      <c r="P32" s="626">
        <f t="shared" si="6"/>
        <v>0</v>
      </c>
      <c r="Q32" s="669"/>
      <c r="R32" s="890"/>
      <c r="S32" s="381"/>
      <c r="T32" s="383">
        <f t="shared" si="7"/>
        <v>0</v>
      </c>
      <c r="U32" s="669">
        <f t="shared" si="7"/>
        <v>0</v>
      </c>
      <c r="V32" s="890"/>
    </row>
    <row r="33" spans="2:22" ht="12.75">
      <c r="B33" s="30">
        <f t="shared" si="2"/>
        <v>25</v>
      </c>
      <c r="C33" s="28"/>
      <c r="D33" s="14"/>
      <c r="E33" s="140" t="s">
        <v>276</v>
      </c>
      <c r="F33" s="339"/>
      <c r="G33" s="340"/>
      <c r="H33" s="341"/>
      <c r="I33" s="331"/>
      <c r="J33" s="627">
        <f t="shared" si="0"/>
        <v>0</v>
      </c>
      <c r="K33" s="966"/>
      <c r="L33" s="890"/>
      <c r="M33" s="170"/>
      <c r="N33" s="362"/>
      <c r="O33" s="349"/>
      <c r="P33" s="626">
        <f>SUM(N33:O33)</f>
        <v>0</v>
      </c>
      <c r="Q33" s="669"/>
      <c r="R33" s="890"/>
      <c r="S33" s="381"/>
      <c r="T33" s="383">
        <f t="shared" si="7"/>
        <v>0</v>
      </c>
      <c r="U33" s="669">
        <f t="shared" si="7"/>
        <v>0</v>
      </c>
      <c r="V33" s="890"/>
    </row>
    <row r="34" spans="2:22" ht="12.75">
      <c r="B34" s="30">
        <f t="shared" si="2"/>
        <v>26</v>
      </c>
      <c r="C34" s="28"/>
      <c r="D34" s="14"/>
      <c r="E34" s="140" t="s">
        <v>388</v>
      </c>
      <c r="F34" s="339"/>
      <c r="G34" s="340"/>
      <c r="H34" s="607">
        <v>150000</v>
      </c>
      <c r="I34" s="331"/>
      <c r="J34" s="627">
        <f t="shared" si="0"/>
        <v>150000</v>
      </c>
      <c r="K34" s="966">
        <f>68577+42+166</f>
        <v>68785</v>
      </c>
      <c r="L34" s="890">
        <f t="shared" si="3"/>
        <v>45.85666666666667</v>
      </c>
      <c r="M34" s="170"/>
      <c r="N34" s="362"/>
      <c r="O34" s="349"/>
      <c r="P34" s="626"/>
      <c r="Q34" s="669"/>
      <c r="R34" s="890"/>
      <c r="S34" s="381"/>
      <c r="T34" s="383"/>
      <c r="U34" s="669">
        <f aca="true" t="shared" si="8" ref="U34:U46">K34+Q34</f>
        <v>68785</v>
      </c>
      <c r="V34" s="890"/>
    </row>
    <row r="35" spans="2:22" ht="12.75">
      <c r="B35" s="30">
        <f t="shared" si="2"/>
        <v>27</v>
      </c>
      <c r="C35" s="28"/>
      <c r="D35" s="14"/>
      <c r="E35" s="140" t="s">
        <v>389</v>
      </c>
      <c r="F35" s="339"/>
      <c r="G35" s="340"/>
      <c r="H35" s="607">
        <v>5110</v>
      </c>
      <c r="I35" s="331"/>
      <c r="J35" s="627">
        <f t="shared" si="0"/>
        <v>5110</v>
      </c>
      <c r="K35" s="966">
        <f>293+2140</f>
        <v>2433</v>
      </c>
      <c r="L35" s="890">
        <f t="shared" si="3"/>
        <v>47.61252446183953</v>
      </c>
      <c r="M35" s="170"/>
      <c r="N35" s="362"/>
      <c r="O35" s="349"/>
      <c r="P35" s="626"/>
      <c r="Q35" s="669"/>
      <c r="R35" s="890"/>
      <c r="S35" s="381"/>
      <c r="T35" s="383"/>
      <c r="U35" s="669">
        <f t="shared" si="8"/>
        <v>2433</v>
      </c>
      <c r="V35" s="890"/>
    </row>
    <row r="36" spans="2:22" ht="12.75">
      <c r="B36" s="30">
        <f t="shared" si="2"/>
        <v>28</v>
      </c>
      <c r="C36" s="28"/>
      <c r="D36" s="14"/>
      <c r="E36" s="538" t="s">
        <v>368</v>
      </c>
      <c r="F36" s="330"/>
      <c r="G36" s="331"/>
      <c r="H36" s="332"/>
      <c r="I36" s="331"/>
      <c r="J36" s="627">
        <f t="shared" si="0"/>
        <v>0</v>
      </c>
      <c r="K36" s="669"/>
      <c r="L36" s="890"/>
      <c r="M36" s="170"/>
      <c r="N36" s="362">
        <v>46350</v>
      </c>
      <c r="O36" s="349">
        <v>140162</v>
      </c>
      <c r="P36" s="626">
        <f t="shared" si="6"/>
        <v>186512</v>
      </c>
      <c r="Q36" s="966">
        <f>76123-Q37</f>
        <v>13129</v>
      </c>
      <c r="R36" s="890">
        <f>Q36/P36*100</f>
        <v>7.039225358153899</v>
      </c>
      <c r="S36" s="381"/>
      <c r="T36" s="383">
        <f aca="true" t="shared" si="9" ref="T36:T41">J36+P36</f>
        <v>186512</v>
      </c>
      <c r="U36" s="669">
        <f t="shared" si="8"/>
        <v>13129</v>
      </c>
      <c r="V36" s="890">
        <f t="shared" si="4"/>
        <v>7.039225358153899</v>
      </c>
    </row>
    <row r="37" spans="2:22" ht="12.75">
      <c r="B37" s="30">
        <f t="shared" si="2"/>
        <v>29</v>
      </c>
      <c r="C37" s="28"/>
      <c r="D37" s="14"/>
      <c r="E37" s="538" t="s">
        <v>369</v>
      </c>
      <c r="F37" s="330"/>
      <c r="G37" s="331"/>
      <c r="H37" s="332"/>
      <c r="I37" s="331"/>
      <c r="J37" s="627">
        <f t="shared" si="0"/>
        <v>0</v>
      </c>
      <c r="K37" s="669"/>
      <c r="L37" s="890"/>
      <c r="M37" s="170"/>
      <c r="N37" s="362"/>
      <c r="O37" s="349">
        <v>126000</v>
      </c>
      <c r="P37" s="626">
        <f t="shared" si="6"/>
        <v>126000</v>
      </c>
      <c r="Q37" s="966">
        <v>62994</v>
      </c>
      <c r="R37" s="890">
        <f>Q37/P37*100</f>
        <v>49.99523809523809</v>
      </c>
      <c r="S37" s="381"/>
      <c r="T37" s="383">
        <f t="shared" si="9"/>
        <v>126000</v>
      </c>
      <c r="U37" s="669">
        <f t="shared" si="8"/>
        <v>62994</v>
      </c>
      <c r="V37" s="890">
        <f t="shared" si="4"/>
        <v>49.99523809523809</v>
      </c>
    </row>
    <row r="38" spans="2:22" ht="12.75">
      <c r="B38" s="30">
        <f t="shared" si="2"/>
        <v>30</v>
      </c>
      <c r="C38" s="28"/>
      <c r="D38" s="14"/>
      <c r="E38" s="141" t="s">
        <v>350</v>
      </c>
      <c r="F38" s="330"/>
      <c r="G38" s="331"/>
      <c r="H38" s="332"/>
      <c r="I38" s="331"/>
      <c r="J38" s="627">
        <f t="shared" si="0"/>
        <v>0</v>
      </c>
      <c r="K38" s="669"/>
      <c r="L38" s="890"/>
      <c r="M38" s="170"/>
      <c r="N38" s="362"/>
      <c r="O38" s="349"/>
      <c r="P38" s="626">
        <f>SUM(N38:O38)</f>
        <v>0</v>
      </c>
      <c r="Q38" s="669"/>
      <c r="R38" s="890"/>
      <c r="S38" s="381"/>
      <c r="T38" s="383">
        <f t="shared" si="9"/>
        <v>0</v>
      </c>
      <c r="U38" s="669">
        <f t="shared" si="8"/>
        <v>0</v>
      </c>
      <c r="V38" s="890"/>
    </row>
    <row r="39" spans="2:22" ht="12.75">
      <c r="B39" s="30">
        <f t="shared" si="2"/>
        <v>31</v>
      </c>
      <c r="C39" s="28"/>
      <c r="D39" s="14"/>
      <c r="E39" s="141" t="s">
        <v>346</v>
      </c>
      <c r="F39" s="330"/>
      <c r="G39" s="331"/>
      <c r="H39" s="332"/>
      <c r="I39" s="331"/>
      <c r="J39" s="627">
        <f t="shared" si="0"/>
        <v>0</v>
      </c>
      <c r="K39" s="669"/>
      <c r="L39" s="890"/>
      <c r="M39" s="170"/>
      <c r="N39" s="362"/>
      <c r="O39" s="349">
        <v>24000</v>
      </c>
      <c r="P39" s="626">
        <f t="shared" si="6"/>
        <v>24000</v>
      </c>
      <c r="Q39" s="669"/>
      <c r="R39" s="890">
        <f>Q39/P39*100</f>
        <v>0</v>
      </c>
      <c r="S39" s="381"/>
      <c r="T39" s="382">
        <f t="shared" si="9"/>
        <v>24000</v>
      </c>
      <c r="U39" s="669">
        <f t="shared" si="8"/>
        <v>0</v>
      </c>
      <c r="V39" s="890">
        <f t="shared" si="4"/>
        <v>0</v>
      </c>
    </row>
    <row r="40" spans="2:22" ht="12.75">
      <c r="B40" s="30">
        <f t="shared" si="2"/>
        <v>32</v>
      </c>
      <c r="C40" s="28"/>
      <c r="D40" s="14"/>
      <c r="E40" s="141" t="s">
        <v>347</v>
      </c>
      <c r="F40" s="330"/>
      <c r="G40" s="331"/>
      <c r="H40" s="332"/>
      <c r="I40" s="331"/>
      <c r="J40" s="627">
        <f t="shared" si="0"/>
        <v>0</v>
      </c>
      <c r="K40" s="669"/>
      <c r="L40" s="890"/>
      <c r="M40" s="170"/>
      <c r="N40" s="362"/>
      <c r="O40" s="349">
        <v>65000</v>
      </c>
      <c r="P40" s="626">
        <f t="shared" si="6"/>
        <v>65000</v>
      </c>
      <c r="Q40" s="669"/>
      <c r="R40" s="890">
        <f>Q40/P40*100</f>
        <v>0</v>
      </c>
      <c r="S40" s="381"/>
      <c r="T40" s="382">
        <f t="shared" si="9"/>
        <v>65000</v>
      </c>
      <c r="U40" s="669">
        <f t="shared" si="8"/>
        <v>0</v>
      </c>
      <c r="V40" s="890">
        <f t="shared" si="4"/>
        <v>0</v>
      </c>
    </row>
    <row r="41" spans="2:22" ht="12.75">
      <c r="B41" s="30">
        <f t="shared" si="2"/>
        <v>33</v>
      </c>
      <c r="C41" s="60"/>
      <c r="D41" s="63" t="s">
        <v>9</v>
      </c>
      <c r="E41" s="314" t="s">
        <v>133</v>
      </c>
      <c r="F41" s="333">
        <f>F43</f>
        <v>6650</v>
      </c>
      <c r="G41" s="334">
        <f>G43</f>
        <v>2361</v>
      </c>
      <c r="H41" s="334">
        <f>H42+H43</f>
        <v>8669</v>
      </c>
      <c r="I41" s="334"/>
      <c r="J41" s="633">
        <f t="shared" si="0"/>
        <v>17680</v>
      </c>
      <c r="K41" s="668">
        <f>K43</f>
        <v>14942</v>
      </c>
      <c r="L41" s="890">
        <f t="shared" si="3"/>
        <v>84.51357466063348</v>
      </c>
      <c r="M41" s="170"/>
      <c r="N41" s="342"/>
      <c r="O41" s="343"/>
      <c r="P41" s="625">
        <f t="shared" si="6"/>
        <v>0</v>
      </c>
      <c r="Q41" s="668"/>
      <c r="R41" s="890"/>
      <c r="S41" s="381"/>
      <c r="T41" s="405">
        <f t="shared" si="9"/>
        <v>17680</v>
      </c>
      <c r="U41" s="668">
        <f t="shared" si="8"/>
        <v>14942</v>
      </c>
      <c r="V41" s="890">
        <f t="shared" si="4"/>
        <v>84.51357466063348</v>
      </c>
    </row>
    <row r="42" spans="2:22" ht="12.75">
      <c r="B42" s="30">
        <f t="shared" si="2"/>
        <v>34</v>
      </c>
      <c r="C42" s="28"/>
      <c r="D42" s="14"/>
      <c r="E42" s="140" t="s">
        <v>389</v>
      </c>
      <c r="F42" s="339"/>
      <c r="G42" s="340"/>
      <c r="H42" s="607">
        <v>680</v>
      </c>
      <c r="I42" s="331"/>
      <c r="J42" s="627">
        <f>SUM(F42:I42)</f>
        <v>680</v>
      </c>
      <c r="K42" s="669"/>
      <c r="L42" s="890">
        <f t="shared" si="3"/>
        <v>0</v>
      </c>
      <c r="M42" s="170"/>
      <c r="N42" s="362"/>
      <c r="O42" s="349"/>
      <c r="P42" s="626"/>
      <c r="Q42" s="669"/>
      <c r="R42" s="890"/>
      <c r="S42" s="381"/>
      <c r="T42" s="383"/>
      <c r="U42" s="669">
        <f t="shared" si="8"/>
        <v>0</v>
      </c>
      <c r="V42" s="890"/>
    </row>
    <row r="43" spans="2:22" ht="12.75">
      <c r="B43" s="30">
        <f t="shared" si="2"/>
        <v>35</v>
      </c>
      <c r="C43" s="28"/>
      <c r="D43" s="2"/>
      <c r="E43" s="435" t="s">
        <v>315</v>
      </c>
      <c r="F43" s="327">
        <v>6650</v>
      </c>
      <c r="G43" s="328">
        <v>2361</v>
      </c>
      <c r="H43" s="329">
        <v>7989</v>
      </c>
      <c r="I43" s="328"/>
      <c r="J43" s="627">
        <f t="shared" si="0"/>
        <v>17000</v>
      </c>
      <c r="K43" s="669">
        <v>14942</v>
      </c>
      <c r="L43" s="890">
        <f t="shared" si="3"/>
        <v>87.89411764705882</v>
      </c>
      <c r="M43" s="170"/>
      <c r="N43" s="362"/>
      <c r="O43" s="349"/>
      <c r="P43" s="626"/>
      <c r="Q43" s="669"/>
      <c r="R43" s="890"/>
      <c r="S43" s="381"/>
      <c r="T43" s="383">
        <f>J43+P43</f>
        <v>17000</v>
      </c>
      <c r="U43" s="669">
        <f t="shared" si="8"/>
        <v>14942</v>
      </c>
      <c r="V43" s="890">
        <f t="shared" si="4"/>
        <v>87.89411764705882</v>
      </c>
    </row>
    <row r="44" spans="2:22" ht="15">
      <c r="B44" s="30">
        <f t="shared" si="2"/>
        <v>36</v>
      </c>
      <c r="C44" s="36">
        <v>4</v>
      </c>
      <c r="D44" s="37" t="s">
        <v>266</v>
      </c>
      <c r="E44" s="38"/>
      <c r="F44" s="158"/>
      <c r="G44" s="159"/>
      <c r="H44" s="159">
        <f>6000+75</f>
        <v>6075</v>
      </c>
      <c r="I44" s="159"/>
      <c r="J44" s="852">
        <f t="shared" si="0"/>
        <v>6075</v>
      </c>
      <c r="K44" s="672">
        <f>K45+K46</f>
        <v>140</v>
      </c>
      <c r="L44" s="891">
        <f t="shared" si="3"/>
        <v>2.3045267489711936</v>
      </c>
      <c r="M44" s="186"/>
      <c r="N44" s="259"/>
      <c r="O44" s="159">
        <f>O46</f>
        <v>32517</v>
      </c>
      <c r="P44" s="862">
        <f>SUM(N44:O44)</f>
        <v>32517</v>
      </c>
      <c r="Q44" s="672"/>
      <c r="R44" s="891">
        <f>Q44/P44*100</f>
        <v>0</v>
      </c>
      <c r="S44" s="260"/>
      <c r="T44" s="861">
        <f>J44+P44</f>
        <v>38592</v>
      </c>
      <c r="U44" s="672">
        <f t="shared" si="8"/>
        <v>140</v>
      </c>
      <c r="V44" s="891">
        <f t="shared" si="4"/>
        <v>0.36276948590381425</v>
      </c>
    </row>
    <row r="45" spans="2:22" ht="12.75">
      <c r="B45" s="30">
        <f t="shared" si="2"/>
        <v>37</v>
      </c>
      <c r="C45" s="28"/>
      <c r="D45" s="14"/>
      <c r="E45" s="141" t="s">
        <v>343</v>
      </c>
      <c r="F45" s="330"/>
      <c r="G45" s="331"/>
      <c r="H45" s="332">
        <v>2000</v>
      </c>
      <c r="I45" s="331"/>
      <c r="J45" s="627">
        <f t="shared" si="0"/>
        <v>2000</v>
      </c>
      <c r="K45" s="966">
        <f>140-K46</f>
        <v>57</v>
      </c>
      <c r="L45" s="890">
        <f t="shared" si="3"/>
        <v>2.85</v>
      </c>
      <c r="M45" s="170"/>
      <c r="N45" s="365"/>
      <c r="O45" s="328"/>
      <c r="P45" s="627">
        <f>SUM(N45:O45)</f>
        <v>0</v>
      </c>
      <c r="Q45" s="669"/>
      <c r="R45" s="890"/>
      <c r="S45" s="381"/>
      <c r="T45" s="383">
        <f>J45+P45</f>
        <v>2000</v>
      </c>
      <c r="U45" s="669">
        <f t="shared" si="8"/>
        <v>57</v>
      </c>
      <c r="V45" s="890">
        <f t="shared" si="4"/>
        <v>2.85</v>
      </c>
    </row>
    <row r="46" spans="2:22" ht="13.5" thickBot="1">
      <c r="B46" s="31">
        <f>B45+1</f>
        <v>38</v>
      </c>
      <c r="C46" s="510"/>
      <c r="D46" s="511"/>
      <c r="E46" s="608" t="s">
        <v>344</v>
      </c>
      <c r="F46" s="513"/>
      <c r="G46" s="490"/>
      <c r="H46" s="514">
        <v>140</v>
      </c>
      <c r="I46" s="490"/>
      <c r="J46" s="644">
        <f t="shared" si="0"/>
        <v>140</v>
      </c>
      <c r="K46" s="679">
        <v>83</v>
      </c>
      <c r="L46" s="892">
        <f t="shared" si="3"/>
        <v>59.285714285714285</v>
      </c>
      <c r="M46" s="170"/>
      <c r="N46" s="509"/>
      <c r="O46" s="490">
        <f>32517</f>
        <v>32517</v>
      </c>
      <c r="P46" s="637">
        <f>O46</f>
        <v>32517</v>
      </c>
      <c r="Q46" s="679"/>
      <c r="R46" s="892">
        <f>Q46/P46*100</f>
        <v>0</v>
      </c>
      <c r="S46" s="381"/>
      <c r="T46" s="406">
        <f>J46+P46</f>
        <v>32657</v>
      </c>
      <c r="U46" s="679">
        <f t="shared" si="8"/>
        <v>83</v>
      </c>
      <c r="V46" s="892">
        <f t="shared" si="4"/>
        <v>0.25415684233089386</v>
      </c>
    </row>
    <row r="47" spans="10:18" ht="12.75">
      <c r="J47" s="19"/>
      <c r="K47" s="671"/>
      <c r="L47" s="671"/>
      <c r="P47" s="19"/>
      <c r="Q47" s="19"/>
      <c r="R47" s="19"/>
    </row>
    <row r="50" spans="11:17" ht="12.75">
      <c r="K50" s="671"/>
      <c r="Q50" s="19"/>
    </row>
  </sheetData>
  <sheetProtection/>
  <mergeCells count="23">
    <mergeCell ref="C6:C8"/>
    <mergeCell ref="F7:F8"/>
    <mergeCell ref="B5:J5"/>
    <mergeCell ref="E6:J6"/>
    <mergeCell ref="D6:D8"/>
    <mergeCell ref="G7:G8"/>
    <mergeCell ref="P7:P8"/>
    <mergeCell ref="N6:P6"/>
    <mergeCell ref="J7:J8"/>
    <mergeCell ref="L5:L8"/>
    <mergeCell ref="I7:I8"/>
    <mergeCell ref="N7:N8"/>
    <mergeCell ref="H7:H8"/>
    <mergeCell ref="O7:O8"/>
    <mergeCell ref="R4:R8"/>
    <mergeCell ref="Q4:Q6"/>
    <mergeCell ref="K7:K8"/>
    <mergeCell ref="V4:V8"/>
    <mergeCell ref="T4:T8"/>
    <mergeCell ref="N5:P5"/>
    <mergeCell ref="Q7:Q8"/>
    <mergeCell ref="U4:U8"/>
    <mergeCell ref="B4:P4"/>
  </mergeCells>
  <printOptions/>
  <pageMargins left="0.1968503937007874" right="0.1968503937007874" top="0.31496062992125984" bottom="0.5905511811023623" header="0.5118110236220472" footer="0.5118110236220472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W3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57421875" style="6" customWidth="1"/>
    <col min="3" max="3" width="2.140625" style="5" customWidth="1"/>
    <col min="4" max="4" width="2.00390625" style="0" customWidth="1"/>
    <col min="5" max="5" width="45.00390625" style="0" customWidth="1"/>
    <col min="6" max="6" width="6.140625" style="0" customWidth="1"/>
    <col min="7" max="7" width="6.7109375" style="0" customWidth="1"/>
    <col min="8" max="8" width="8.57421875" style="0" customWidth="1"/>
    <col min="9" max="9" width="8.28125" style="0" customWidth="1"/>
    <col min="10" max="10" width="10.7109375" style="0" customWidth="1"/>
    <col min="11" max="11" width="10.7109375" style="487" customWidth="1"/>
    <col min="12" max="12" width="7.00390625" style="487" customWidth="1"/>
    <col min="13" max="13" width="1.1484375" style="46" customWidth="1"/>
    <col min="14" max="14" width="4.57421875" style="0" customWidth="1"/>
    <col min="15" max="15" width="8.00390625" style="0" customWidth="1"/>
    <col min="16" max="16" width="10.8515625" style="0" customWidth="1"/>
    <col min="17" max="17" width="10.8515625" style="487" customWidth="1"/>
    <col min="18" max="18" width="7.28125" style="487" customWidth="1"/>
    <col min="19" max="19" width="1.1484375" style="46" customWidth="1"/>
    <col min="20" max="20" width="11.57421875" style="0" customWidth="1"/>
    <col min="21" max="21" width="11.00390625" style="0" customWidth="1"/>
    <col min="22" max="22" width="7.7109375" style="989" customWidth="1"/>
  </cols>
  <sheetData>
    <row r="1" spans="10:20" ht="15.75" customHeight="1">
      <c r="J1" s="188"/>
      <c r="K1" s="50"/>
      <c r="L1" s="50"/>
      <c r="M1" s="48"/>
      <c r="N1" s="44"/>
      <c r="O1" s="44"/>
      <c r="P1" s="50"/>
      <c r="Q1" s="50"/>
      <c r="R1" s="50"/>
      <c r="S1" s="262"/>
      <c r="T1" s="263"/>
    </row>
    <row r="2" spans="3:20" ht="27">
      <c r="C2" s="264" t="s">
        <v>250</v>
      </c>
      <c r="I2" s="856"/>
      <c r="J2" s="871">
        <v>577500</v>
      </c>
      <c r="K2" s="731"/>
      <c r="L2" s="731"/>
      <c r="M2" s="856"/>
      <c r="N2" s="856"/>
      <c r="P2" s="248"/>
      <c r="Q2" s="708"/>
      <c r="R2" s="708"/>
      <c r="T2" s="248"/>
    </row>
    <row r="3" ht="5.25" customHeight="1" thickBot="1"/>
    <row r="4" spans="2:22" ht="12.75" customHeight="1" thickBot="1">
      <c r="B4" s="1184" t="s">
        <v>306</v>
      </c>
      <c r="C4" s="1197"/>
      <c r="D4" s="1197"/>
      <c r="E4" s="1197"/>
      <c r="F4" s="1197"/>
      <c r="G4" s="1197"/>
      <c r="H4" s="1197"/>
      <c r="I4" s="1197"/>
      <c r="J4" s="1197"/>
      <c r="K4" s="1197"/>
      <c r="L4" s="1197"/>
      <c r="M4" s="1197"/>
      <c r="N4" s="1197"/>
      <c r="O4" s="1197"/>
      <c r="P4" s="1198"/>
      <c r="Q4" s="1194"/>
      <c r="R4" s="1131" t="s">
        <v>406</v>
      </c>
      <c r="S4" s="249"/>
      <c r="T4" s="1100" t="s">
        <v>405</v>
      </c>
      <c r="U4" s="1096" t="s">
        <v>465</v>
      </c>
      <c r="V4" s="1134" t="s">
        <v>406</v>
      </c>
    </row>
    <row r="5" spans="2:22" ht="18.75" customHeight="1" thickTop="1">
      <c r="B5" s="1143" t="s">
        <v>11</v>
      </c>
      <c r="C5" s="1147"/>
      <c r="D5" s="1147"/>
      <c r="E5" s="1147"/>
      <c r="F5" s="1147"/>
      <c r="G5" s="1147"/>
      <c r="H5" s="1147"/>
      <c r="I5" s="1147"/>
      <c r="J5" s="1148"/>
      <c r="K5" s="683"/>
      <c r="L5" s="1176" t="s">
        <v>406</v>
      </c>
      <c r="M5" s="250"/>
      <c r="N5" s="1143" t="s">
        <v>294</v>
      </c>
      <c r="O5" s="1147"/>
      <c r="P5" s="1148"/>
      <c r="Q5" s="1195"/>
      <c r="R5" s="1132"/>
      <c r="S5" s="250"/>
      <c r="T5" s="1199"/>
      <c r="U5" s="1097"/>
      <c r="V5" s="1135"/>
    </row>
    <row r="6" spans="2:22" ht="12.75" customHeight="1">
      <c r="B6" s="40"/>
      <c r="C6" s="1169" t="s">
        <v>147</v>
      </c>
      <c r="D6" s="1169" t="s">
        <v>148</v>
      </c>
      <c r="E6" s="1088" t="s">
        <v>10</v>
      </c>
      <c r="F6" s="1089"/>
      <c r="G6" s="1089"/>
      <c r="H6" s="1089"/>
      <c r="I6" s="1089"/>
      <c r="J6" s="1090"/>
      <c r="K6" s="714"/>
      <c r="L6" s="1132"/>
      <c r="M6" s="15"/>
      <c r="N6" s="1118" t="s">
        <v>10</v>
      </c>
      <c r="O6" s="1089"/>
      <c r="P6" s="1090"/>
      <c r="Q6" s="1196"/>
      <c r="R6" s="1132"/>
      <c r="S6" s="15"/>
      <c r="T6" s="1199"/>
      <c r="U6" s="1097"/>
      <c r="V6" s="1135"/>
    </row>
    <row r="7" spans="2:22" ht="43.5" customHeight="1">
      <c r="B7" s="40"/>
      <c r="C7" s="1106"/>
      <c r="D7" s="1106"/>
      <c r="E7" s="438" t="s">
        <v>4</v>
      </c>
      <c r="F7" s="1098">
        <v>610</v>
      </c>
      <c r="G7" s="1098">
        <v>620</v>
      </c>
      <c r="H7" s="1098">
        <v>630</v>
      </c>
      <c r="I7" s="1098">
        <v>640</v>
      </c>
      <c r="J7" s="1125" t="s">
        <v>492</v>
      </c>
      <c r="K7" s="1094" t="s">
        <v>465</v>
      </c>
      <c r="L7" s="1132"/>
      <c r="M7" s="266"/>
      <c r="N7" s="1121">
        <v>716</v>
      </c>
      <c r="O7" s="1098">
        <v>717</v>
      </c>
      <c r="P7" s="1125" t="s">
        <v>492</v>
      </c>
      <c r="Q7" s="1094" t="s">
        <v>465</v>
      </c>
      <c r="R7" s="1132"/>
      <c r="S7" s="251"/>
      <c r="T7" s="1199"/>
      <c r="U7" s="1097"/>
      <c r="V7" s="1135"/>
    </row>
    <row r="8" spans="2:22" ht="34.5" customHeight="1" thickBot="1">
      <c r="B8" s="45"/>
      <c r="C8" s="1129"/>
      <c r="D8" s="1129"/>
      <c r="E8" s="123"/>
      <c r="F8" s="1099"/>
      <c r="G8" s="1099"/>
      <c r="H8" s="1099"/>
      <c r="I8" s="1099"/>
      <c r="J8" s="1110"/>
      <c r="K8" s="1095"/>
      <c r="L8" s="1177"/>
      <c r="M8" s="195"/>
      <c r="N8" s="1122"/>
      <c r="O8" s="1099"/>
      <c r="P8" s="1110"/>
      <c r="Q8" s="1095"/>
      <c r="R8" s="1177"/>
      <c r="S8" s="195"/>
      <c r="T8" s="1200"/>
      <c r="U8" s="1193"/>
      <c r="V8" s="1135"/>
    </row>
    <row r="9" spans="2:23" ht="24.75" customHeight="1" thickBot="1" thickTop="1">
      <c r="B9" s="30">
        <v>1</v>
      </c>
      <c r="C9" s="198" t="s">
        <v>251</v>
      </c>
      <c r="D9" s="280"/>
      <c r="E9" s="298"/>
      <c r="F9" s="277">
        <f>F10+F25+F31+F33+F35</f>
        <v>0</v>
      </c>
      <c r="G9" s="277">
        <f>G10+G25+G31+G33+G35</f>
        <v>0</v>
      </c>
      <c r="H9" s="277">
        <f>H10+H25+H31+H33+H35</f>
        <v>173000</v>
      </c>
      <c r="I9" s="277">
        <f>I10+I25+I31+I33+I35</f>
        <v>42500</v>
      </c>
      <c r="J9" s="642">
        <f aca="true" t="shared" si="0" ref="J9:J31">SUM(F9:I9)</f>
        <v>215500</v>
      </c>
      <c r="K9" s="676">
        <f>K10+K25+K31+K33+K35</f>
        <v>113266</v>
      </c>
      <c r="L9" s="901">
        <f>K9/J9*100</f>
        <v>52.55962877030163</v>
      </c>
      <c r="M9" s="372"/>
      <c r="N9" s="279">
        <f>N10+N25+N31+N33+N35</f>
        <v>250</v>
      </c>
      <c r="O9" s="277">
        <f>O10+O25+O31+O33+O35</f>
        <v>48102</v>
      </c>
      <c r="P9" s="642">
        <f>SUM(N9:O9)</f>
        <v>48352</v>
      </c>
      <c r="Q9" s="676">
        <f>Q10+Q25+Q31+Q33+Q35</f>
        <v>8820</v>
      </c>
      <c r="R9" s="901">
        <f>Q9/P9*100</f>
        <v>18.24123097286565</v>
      </c>
      <c r="S9" s="278"/>
      <c r="T9" s="872">
        <f aca="true" t="shared" si="1" ref="T9:T24">J9+P9</f>
        <v>263852</v>
      </c>
      <c r="U9" s="676">
        <f aca="true" t="shared" si="2" ref="U9:U24">K9+Q9</f>
        <v>122086</v>
      </c>
      <c r="V9" s="901">
        <f>U9/T9*100</f>
        <v>46.270636568985644</v>
      </c>
      <c r="W9" s="19"/>
    </row>
    <row r="10" spans="2:22" ht="15.75" thickTop="1">
      <c r="B10" s="30">
        <f>B9+1</f>
        <v>2</v>
      </c>
      <c r="C10" s="41">
        <v>1</v>
      </c>
      <c r="D10" s="42" t="s">
        <v>123</v>
      </c>
      <c r="E10" s="136"/>
      <c r="F10" s="153"/>
      <c r="G10" s="157"/>
      <c r="H10" s="157">
        <f>H11+H12+H24</f>
        <v>17209</v>
      </c>
      <c r="I10" s="157">
        <f>I11+I12</f>
        <v>42500</v>
      </c>
      <c r="J10" s="870">
        <f t="shared" si="0"/>
        <v>59709</v>
      </c>
      <c r="K10" s="675">
        <v>4321</v>
      </c>
      <c r="L10" s="891">
        <f aca="true" t="shared" si="3" ref="L10:L34">K10/J10*100</f>
        <v>7.236764976804166</v>
      </c>
      <c r="M10" s="260"/>
      <c r="N10" s="254"/>
      <c r="O10" s="157"/>
      <c r="P10" s="865">
        <v>0</v>
      </c>
      <c r="Q10" s="675"/>
      <c r="R10" s="891"/>
      <c r="S10" s="260"/>
      <c r="T10" s="873">
        <f t="shared" si="1"/>
        <v>59709</v>
      </c>
      <c r="U10" s="675">
        <f t="shared" si="2"/>
        <v>4321</v>
      </c>
      <c r="V10" s="891">
        <f aca="true" t="shared" si="4" ref="V10:V35">U10/T10*100</f>
        <v>7.236764976804166</v>
      </c>
    </row>
    <row r="11" spans="2:22" ht="12.75">
      <c r="B11" s="30">
        <f aca="true" t="shared" si="5" ref="B11:B35">B10+1</f>
        <v>3</v>
      </c>
      <c r="C11" s="28"/>
      <c r="D11" s="2"/>
      <c r="E11" s="439" t="s">
        <v>241</v>
      </c>
      <c r="F11" s="327"/>
      <c r="G11" s="328"/>
      <c r="H11" s="329"/>
      <c r="I11" s="328">
        <v>20000</v>
      </c>
      <c r="J11" s="621">
        <f t="shared" si="0"/>
        <v>20000</v>
      </c>
      <c r="K11" s="669"/>
      <c r="L11" s="890">
        <f t="shared" si="3"/>
        <v>0</v>
      </c>
      <c r="M11" s="35"/>
      <c r="N11" s="362"/>
      <c r="O11" s="349"/>
      <c r="P11" s="626">
        <f aca="true" t="shared" si="6" ref="P11:P24">SUM(N11:O11)</f>
        <v>0</v>
      </c>
      <c r="Q11" s="669"/>
      <c r="R11" s="890"/>
      <c r="S11" s="35"/>
      <c r="T11" s="275">
        <f t="shared" si="1"/>
        <v>20000</v>
      </c>
      <c r="U11" s="669">
        <f t="shared" si="2"/>
        <v>0</v>
      </c>
      <c r="V11" s="890">
        <f t="shared" si="4"/>
        <v>0</v>
      </c>
    </row>
    <row r="12" spans="2:22" ht="12.75">
      <c r="B12" s="30">
        <f t="shared" si="5"/>
        <v>4</v>
      </c>
      <c r="C12" s="39"/>
      <c r="D12" s="14"/>
      <c r="E12" s="145" t="s">
        <v>278</v>
      </c>
      <c r="F12" s="330"/>
      <c r="G12" s="331"/>
      <c r="H12" s="331">
        <f>SUM(H13:H23)</f>
        <v>8500</v>
      </c>
      <c r="I12" s="331">
        <f>SUM(I13:I23)</f>
        <v>22500</v>
      </c>
      <c r="J12" s="621">
        <f t="shared" si="0"/>
        <v>31000</v>
      </c>
      <c r="K12" s="669"/>
      <c r="L12" s="890">
        <f t="shared" si="3"/>
        <v>0</v>
      </c>
      <c r="M12" s="35"/>
      <c r="N12" s="362"/>
      <c r="O12" s="349"/>
      <c r="P12" s="626">
        <f t="shared" si="6"/>
        <v>0</v>
      </c>
      <c r="Q12" s="669"/>
      <c r="R12" s="890"/>
      <c r="S12" s="35"/>
      <c r="T12" s="275">
        <f t="shared" si="1"/>
        <v>31000</v>
      </c>
      <c r="U12" s="669">
        <f t="shared" si="2"/>
        <v>0</v>
      </c>
      <c r="V12" s="890">
        <f t="shared" si="4"/>
        <v>0</v>
      </c>
    </row>
    <row r="13" spans="2:23" ht="12.75">
      <c r="B13" s="30">
        <f t="shared" si="5"/>
        <v>5</v>
      </c>
      <c r="C13" s="39"/>
      <c r="D13" s="14"/>
      <c r="E13" s="145" t="s">
        <v>182</v>
      </c>
      <c r="F13" s="330"/>
      <c r="G13" s="331"/>
      <c r="H13" s="332"/>
      <c r="I13" s="331">
        <v>5000</v>
      </c>
      <c r="J13" s="621">
        <f t="shared" si="0"/>
        <v>5000</v>
      </c>
      <c r="K13" s="669"/>
      <c r="L13" s="890">
        <f t="shared" si="3"/>
        <v>0</v>
      </c>
      <c r="M13" s="35"/>
      <c r="N13" s="365"/>
      <c r="O13" s="328"/>
      <c r="P13" s="626">
        <f t="shared" si="6"/>
        <v>0</v>
      </c>
      <c r="Q13" s="669"/>
      <c r="R13" s="890"/>
      <c r="S13" s="35"/>
      <c r="T13" s="275">
        <f t="shared" si="1"/>
        <v>5000</v>
      </c>
      <c r="U13" s="669">
        <f t="shared" si="2"/>
        <v>0</v>
      </c>
      <c r="V13" s="890">
        <f t="shared" si="4"/>
        <v>0</v>
      </c>
      <c r="W13" s="19"/>
    </row>
    <row r="14" spans="2:22" ht="12.75">
      <c r="B14" s="30">
        <f t="shared" si="5"/>
        <v>6</v>
      </c>
      <c r="C14" s="39"/>
      <c r="D14" s="14"/>
      <c r="E14" s="145" t="s">
        <v>183</v>
      </c>
      <c r="F14" s="330"/>
      <c r="G14" s="331"/>
      <c r="H14" s="332"/>
      <c r="I14" s="331">
        <v>5000</v>
      </c>
      <c r="J14" s="621">
        <f t="shared" si="0"/>
        <v>5000</v>
      </c>
      <c r="K14" s="669"/>
      <c r="L14" s="890">
        <f t="shared" si="3"/>
        <v>0</v>
      </c>
      <c r="M14" s="35"/>
      <c r="N14" s="365"/>
      <c r="O14" s="328"/>
      <c r="P14" s="626">
        <f t="shared" si="6"/>
        <v>0</v>
      </c>
      <c r="Q14" s="669"/>
      <c r="R14" s="890"/>
      <c r="S14" s="35"/>
      <c r="T14" s="275">
        <f t="shared" si="1"/>
        <v>5000</v>
      </c>
      <c r="U14" s="669">
        <f t="shared" si="2"/>
        <v>0</v>
      </c>
      <c r="V14" s="890">
        <f t="shared" si="4"/>
        <v>0</v>
      </c>
    </row>
    <row r="15" spans="2:22" ht="12.75">
      <c r="B15" s="30">
        <f t="shared" si="5"/>
        <v>7</v>
      </c>
      <c r="C15" s="29"/>
      <c r="D15" s="14"/>
      <c r="E15" s="145" t="s">
        <v>305</v>
      </c>
      <c r="F15" s="330"/>
      <c r="G15" s="331"/>
      <c r="H15" s="332"/>
      <c r="I15" s="331">
        <v>3000</v>
      </c>
      <c r="J15" s="621">
        <f t="shared" si="0"/>
        <v>3000</v>
      </c>
      <c r="K15" s="669"/>
      <c r="L15" s="890">
        <f t="shared" si="3"/>
        <v>0</v>
      </c>
      <c r="M15" s="35"/>
      <c r="N15" s="365"/>
      <c r="O15" s="328"/>
      <c r="P15" s="627">
        <f t="shared" si="6"/>
        <v>0</v>
      </c>
      <c r="Q15" s="669"/>
      <c r="R15" s="890"/>
      <c r="S15" s="35"/>
      <c r="T15" s="275">
        <f t="shared" si="1"/>
        <v>3000</v>
      </c>
      <c r="U15" s="669">
        <f t="shared" si="2"/>
        <v>0</v>
      </c>
      <c r="V15" s="890">
        <f t="shared" si="4"/>
        <v>0</v>
      </c>
    </row>
    <row r="16" spans="2:22" ht="12.75">
      <c r="B16" s="30">
        <f t="shared" si="5"/>
        <v>8</v>
      </c>
      <c r="C16" s="29"/>
      <c r="D16" s="14"/>
      <c r="E16" s="145" t="s">
        <v>316</v>
      </c>
      <c r="F16" s="330"/>
      <c r="G16" s="331"/>
      <c r="H16" s="332"/>
      <c r="I16" s="331">
        <v>4000</v>
      </c>
      <c r="J16" s="621">
        <f t="shared" si="0"/>
        <v>4000</v>
      </c>
      <c r="K16" s="669"/>
      <c r="L16" s="890">
        <f t="shared" si="3"/>
        <v>0</v>
      </c>
      <c r="M16" s="35"/>
      <c r="N16" s="365"/>
      <c r="O16" s="328"/>
      <c r="P16" s="627">
        <f t="shared" si="6"/>
        <v>0</v>
      </c>
      <c r="Q16" s="669"/>
      <c r="R16" s="890"/>
      <c r="S16" s="35"/>
      <c r="T16" s="275">
        <f t="shared" si="1"/>
        <v>4000</v>
      </c>
      <c r="U16" s="669">
        <f t="shared" si="2"/>
        <v>0</v>
      </c>
      <c r="V16" s="890">
        <f t="shared" si="4"/>
        <v>0</v>
      </c>
    </row>
    <row r="17" spans="2:22" ht="12.75">
      <c r="B17" s="30">
        <f t="shared" si="5"/>
        <v>9</v>
      </c>
      <c r="C17" s="29"/>
      <c r="D17" s="14"/>
      <c r="E17" s="145" t="s">
        <v>402</v>
      </c>
      <c r="F17" s="330"/>
      <c r="G17" s="331"/>
      <c r="H17" s="332">
        <v>1500</v>
      </c>
      <c r="I17" s="331"/>
      <c r="J17" s="621">
        <f t="shared" si="0"/>
        <v>1500</v>
      </c>
      <c r="K17" s="669"/>
      <c r="L17" s="890">
        <f t="shared" si="3"/>
        <v>0</v>
      </c>
      <c r="M17" s="35"/>
      <c r="N17" s="368"/>
      <c r="O17" s="331"/>
      <c r="P17" s="627">
        <v>0</v>
      </c>
      <c r="Q17" s="669"/>
      <c r="R17" s="890"/>
      <c r="S17" s="35"/>
      <c r="T17" s="275">
        <f t="shared" si="1"/>
        <v>1500</v>
      </c>
      <c r="U17" s="669">
        <f t="shared" si="2"/>
        <v>0</v>
      </c>
      <c r="V17" s="890">
        <f t="shared" si="4"/>
        <v>0</v>
      </c>
    </row>
    <row r="18" spans="2:22" ht="12.75">
      <c r="B18" s="30">
        <f t="shared" si="5"/>
        <v>10</v>
      </c>
      <c r="C18" s="29"/>
      <c r="D18" s="14"/>
      <c r="E18" s="145" t="s">
        <v>403</v>
      </c>
      <c r="F18" s="330"/>
      <c r="G18" s="331"/>
      <c r="H18" s="332"/>
      <c r="I18" s="331">
        <v>3500</v>
      </c>
      <c r="J18" s="621">
        <f t="shared" si="0"/>
        <v>3500</v>
      </c>
      <c r="K18" s="669"/>
      <c r="L18" s="890">
        <f t="shared" si="3"/>
        <v>0</v>
      </c>
      <c r="M18" s="35"/>
      <c r="N18" s="368"/>
      <c r="O18" s="331"/>
      <c r="P18" s="627">
        <v>0</v>
      </c>
      <c r="Q18" s="669"/>
      <c r="R18" s="890"/>
      <c r="S18" s="35"/>
      <c r="T18" s="275">
        <f t="shared" si="1"/>
        <v>3500</v>
      </c>
      <c r="U18" s="669">
        <f t="shared" si="2"/>
        <v>0</v>
      </c>
      <c r="V18" s="890">
        <f t="shared" si="4"/>
        <v>0</v>
      </c>
    </row>
    <row r="19" spans="2:22" ht="12.75">
      <c r="B19" s="30">
        <f t="shared" si="5"/>
        <v>11</v>
      </c>
      <c r="C19" s="29"/>
      <c r="D19" s="14"/>
      <c r="E19" s="145" t="s">
        <v>404</v>
      </c>
      <c r="F19" s="330"/>
      <c r="G19" s="331"/>
      <c r="H19" s="332">
        <v>1500</v>
      </c>
      <c r="I19" s="331"/>
      <c r="J19" s="621">
        <f t="shared" si="0"/>
        <v>1500</v>
      </c>
      <c r="K19" s="669"/>
      <c r="L19" s="890">
        <f t="shared" si="3"/>
        <v>0</v>
      </c>
      <c r="M19" s="35"/>
      <c r="N19" s="368"/>
      <c r="O19" s="331"/>
      <c r="P19" s="627">
        <v>0</v>
      </c>
      <c r="Q19" s="669"/>
      <c r="R19" s="890"/>
      <c r="S19" s="35"/>
      <c r="T19" s="275">
        <f t="shared" si="1"/>
        <v>1500</v>
      </c>
      <c r="U19" s="669">
        <f t="shared" si="2"/>
        <v>0</v>
      </c>
      <c r="V19" s="890">
        <f t="shared" si="4"/>
        <v>0</v>
      </c>
    </row>
    <row r="20" spans="2:22" ht="12.75">
      <c r="B20" s="30">
        <f t="shared" si="5"/>
        <v>12</v>
      </c>
      <c r="C20" s="29"/>
      <c r="D20" s="14"/>
      <c r="E20" s="145" t="s">
        <v>472</v>
      </c>
      <c r="F20" s="330"/>
      <c r="G20" s="331"/>
      <c r="H20" s="332">
        <v>1500</v>
      </c>
      <c r="I20" s="331"/>
      <c r="J20" s="621">
        <f t="shared" si="0"/>
        <v>1500</v>
      </c>
      <c r="K20" s="669">
        <f>K10-K21-K24</f>
        <v>2088</v>
      </c>
      <c r="L20" s="890">
        <f t="shared" si="3"/>
        <v>139.2</v>
      </c>
      <c r="M20" s="35"/>
      <c r="N20" s="368"/>
      <c r="O20" s="331"/>
      <c r="P20" s="627">
        <f t="shared" si="6"/>
        <v>0</v>
      </c>
      <c r="Q20" s="669"/>
      <c r="R20" s="890"/>
      <c r="S20" s="35"/>
      <c r="T20" s="275">
        <f t="shared" si="1"/>
        <v>1500</v>
      </c>
      <c r="U20" s="669">
        <f t="shared" si="2"/>
        <v>2088</v>
      </c>
      <c r="V20" s="890">
        <f t="shared" si="4"/>
        <v>139.2</v>
      </c>
    </row>
    <row r="21" spans="2:22" ht="12.75">
      <c r="B21" s="30">
        <f t="shared" si="5"/>
        <v>13</v>
      </c>
      <c r="C21" s="29"/>
      <c r="D21" s="14"/>
      <c r="E21" s="145" t="s">
        <v>471</v>
      </c>
      <c r="F21" s="330"/>
      <c r="G21" s="331"/>
      <c r="H21" s="332">
        <v>2500</v>
      </c>
      <c r="I21" s="331"/>
      <c r="J21" s="621">
        <f t="shared" si="0"/>
        <v>2500</v>
      </c>
      <c r="K21" s="669">
        <v>746</v>
      </c>
      <c r="L21" s="890">
        <f t="shared" si="3"/>
        <v>29.84</v>
      </c>
      <c r="M21" s="35"/>
      <c r="N21" s="368"/>
      <c r="O21" s="331"/>
      <c r="P21" s="627">
        <f t="shared" si="6"/>
        <v>0</v>
      </c>
      <c r="Q21" s="669"/>
      <c r="R21" s="890"/>
      <c r="S21" s="35"/>
      <c r="T21" s="275">
        <f t="shared" si="1"/>
        <v>2500</v>
      </c>
      <c r="U21" s="669">
        <f t="shared" si="2"/>
        <v>746</v>
      </c>
      <c r="V21" s="890">
        <f t="shared" si="4"/>
        <v>29.84</v>
      </c>
    </row>
    <row r="22" spans="2:22" ht="12.75">
      <c r="B22" s="30">
        <f t="shared" si="5"/>
        <v>14</v>
      </c>
      <c r="C22" s="29"/>
      <c r="D22" s="14"/>
      <c r="E22" s="145" t="s">
        <v>313</v>
      </c>
      <c r="F22" s="330"/>
      <c r="G22" s="331"/>
      <c r="H22" s="332">
        <v>1500</v>
      </c>
      <c r="I22" s="331"/>
      <c r="J22" s="621">
        <f t="shared" si="0"/>
        <v>1500</v>
      </c>
      <c r="K22" s="669"/>
      <c r="L22" s="890">
        <f t="shared" si="3"/>
        <v>0</v>
      </c>
      <c r="M22" s="35"/>
      <c r="N22" s="368"/>
      <c r="O22" s="331"/>
      <c r="P22" s="627">
        <f t="shared" si="6"/>
        <v>0</v>
      </c>
      <c r="Q22" s="669"/>
      <c r="R22" s="890"/>
      <c r="S22" s="35"/>
      <c r="T22" s="275">
        <f t="shared" si="1"/>
        <v>1500</v>
      </c>
      <c r="U22" s="669">
        <f t="shared" si="2"/>
        <v>0</v>
      </c>
      <c r="V22" s="890">
        <f t="shared" si="4"/>
        <v>0</v>
      </c>
    </row>
    <row r="23" spans="2:22" ht="12.75">
      <c r="B23" s="30">
        <f t="shared" si="5"/>
        <v>15</v>
      </c>
      <c r="C23" s="29"/>
      <c r="D23" s="14"/>
      <c r="E23" s="145" t="s">
        <v>329</v>
      </c>
      <c r="F23" s="330"/>
      <c r="G23" s="331"/>
      <c r="H23" s="332"/>
      <c r="I23" s="331">
        <v>2000</v>
      </c>
      <c r="J23" s="621">
        <f t="shared" si="0"/>
        <v>2000</v>
      </c>
      <c r="K23" s="669"/>
      <c r="L23" s="890">
        <f t="shared" si="3"/>
        <v>0</v>
      </c>
      <c r="M23" s="35"/>
      <c r="N23" s="368"/>
      <c r="O23" s="331"/>
      <c r="P23" s="627">
        <f t="shared" si="6"/>
        <v>0</v>
      </c>
      <c r="Q23" s="669"/>
      <c r="R23" s="890"/>
      <c r="S23" s="35"/>
      <c r="T23" s="275">
        <f t="shared" si="1"/>
        <v>2000</v>
      </c>
      <c r="U23" s="669">
        <f t="shared" si="2"/>
        <v>0</v>
      </c>
      <c r="V23" s="890">
        <f t="shared" si="4"/>
        <v>0</v>
      </c>
    </row>
    <row r="24" spans="2:22" ht="12.75">
      <c r="B24" s="30">
        <f t="shared" si="5"/>
        <v>16</v>
      </c>
      <c r="C24" s="29"/>
      <c r="D24" s="14"/>
      <c r="E24" s="539" t="s">
        <v>344</v>
      </c>
      <c r="F24" s="330"/>
      <c r="G24" s="330"/>
      <c r="H24" s="327">
        <v>8709</v>
      </c>
      <c r="I24" s="331"/>
      <c r="J24" s="621">
        <f t="shared" si="0"/>
        <v>8709</v>
      </c>
      <c r="K24" s="669">
        <v>1487</v>
      </c>
      <c r="L24" s="890">
        <f t="shared" si="3"/>
        <v>17.074290963371226</v>
      </c>
      <c r="M24" s="35"/>
      <c r="N24" s="368"/>
      <c r="O24" s="331"/>
      <c r="P24" s="627">
        <f t="shared" si="6"/>
        <v>0</v>
      </c>
      <c r="Q24" s="669"/>
      <c r="R24" s="890"/>
      <c r="S24" s="35"/>
      <c r="T24" s="275">
        <f t="shared" si="1"/>
        <v>8709</v>
      </c>
      <c r="U24" s="669">
        <f t="shared" si="2"/>
        <v>1487</v>
      </c>
      <c r="V24" s="890">
        <f t="shared" si="4"/>
        <v>17.074290963371226</v>
      </c>
    </row>
    <row r="25" spans="2:22" ht="15">
      <c r="B25" s="30">
        <f t="shared" si="5"/>
        <v>17</v>
      </c>
      <c r="C25" s="41">
        <v>2</v>
      </c>
      <c r="D25" s="42" t="s">
        <v>124</v>
      </c>
      <c r="E25" s="136"/>
      <c r="F25" s="153">
        <v>0</v>
      </c>
      <c r="G25" s="153">
        <v>0</v>
      </c>
      <c r="H25" s="153">
        <f>SUM(H26:H30)</f>
        <v>120000</v>
      </c>
      <c r="I25" s="157"/>
      <c r="J25" s="869">
        <f t="shared" si="0"/>
        <v>120000</v>
      </c>
      <c r="K25" s="672">
        <f>SUM(K26:K30)</f>
        <v>75694</v>
      </c>
      <c r="L25" s="891">
        <f t="shared" si="3"/>
        <v>63.07833333333333</v>
      </c>
      <c r="M25" s="260"/>
      <c r="N25" s="254">
        <f>SUM(N26:N30)</f>
        <v>250</v>
      </c>
      <c r="O25" s="157">
        <f>SUM(O26:O29)</f>
        <v>29782</v>
      </c>
      <c r="P25" s="859">
        <f aca="true" t="shared" si="7" ref="P25:P30">SUM(N25:O25)</f>
        <v>30032</v>
      </c>
      <c r="Q25" s="672">
        <f>SUM(Q26:Q30)</f>
        <v>8820</v>
      </c>
      <c r="R25" s="891">
        <f>Q25/P25*100</f>
        <v>29.368673415023977</v>
      </c>
      <c r="S25" s="260"/>
      <c r="T25" s="874">
        <f>J25+P25</f>
        <v>150032</v>
      </c>
      <c r="U25" s="672">
        <f aca="true" t="shared" si="8" ref="U25:U35">K25+Q25</f>
        <v>84514</v>
      </c>
      <c r="V25" s="891">
        <f t="shared" si="4"/>
        <v>56.330649461448225</v>
      </c>
    </row>
    <row r="26" spans="2:22" ht="12.75">
      <c r="B26" s="30">
        <f t="shared" si="5"/>
        <v>18</v>
      </c>
      <c r="C26" s="28"/>
      <c r="D26" s="2"/>
      <c r="E26" s="439" t="s">
        <v>348</v>
      </c>
      <c r="F26" s="327"/>
      <c r="G26" s="328"/>
      <c r="H26" s="332">
        <v>110000</v>
      </c>
      <c r="I26" s="331"/>
      <c r="J26" s="621">
        <f t="shared" si="0"/>
        <v>110000</v>
      </c>
      <c r="K26" s="669">
        <v>56566</v>
      </c>
      <c r="L26" s="890">
        <f t="shared" si="3"/>
        <v>51.42363636363636</v>
      </c>
      <c r="M26" s="35"/>
      <c r="N26" s="365"/>
      <c r="O26" s="328"/>
      <c r="P26" s="627">
        <f t="shared" si="7"/>
        <v>0</v>
      </c>
      <c r="Q26" s="669"/>
      <c r="R26" s="890"/>
      <c r="S26" s="35"/>
      <c r="T26" s="257">
        <f>J26+P26</f>
        <v>110000</v>
      </c>
      <c r="U26" s="669">
        <f t="shared" si="8"/>
        <v>56566</v>
      </c>
      <c r="V26" s="890">
        <f t="shared" si="4"/>
        <v>51.42363636363636</v>
      </c>
    </row>
    <row r="27" spans="2:22" ht="12.75">
      <c r="B27" s="30">
        <f t="shared" si="5"/>
        <v>19</v>
      </c>
      <c r="C27" s="29"/>
      <c r="D27" s="2"/>
      <c r="E27" s="439" t="s">
        <v>390</v>
      </c>
      <c r="F27" s="330"/>
      <c r="G27" s="331"/>
      <c r="H27" s="332">
        <v>10000</v>
      </c>
      <c r="I27" s="331"/>
      <c r="J27" s="621">
        <f t="shared" si="0"/>
        <v>10000</v>
      </c>
      <c r="K27" s="669">
        <f>3290+15838</f>
        <v>19128</v>
      </c>
      <c r="L27" s="890">
        <f t="shared" si="3"/>
        <v>191.28</v>
      </c>
      <c r="M27" s="35"/>
      <c r="N27" s="368"/>
      <c r="O27" s="331"/>
      <c r="P27" s="627"/>
      <c r="Q27" s="669"/>
      <c r="R27" s="890"/>
      <c r="S27" s="35"/>
      <c r="T27" s="257"/>
      <c r="U27" s="669">
        <f t="shared" si="8"/>
        <v>19128</v>
      </c>
      <c r="V27" s="890"/>
    </row>
    <row r="28" spans="2:22" ht="12.75">
      <c r="B28" s="30">
        <f t="shared" si="5"/>
        <v>20</v>
      </c>
      <c r="C28" s="29"/>
      <c r="D28" s="2"/>
      <c r="E28" s="439" t="s">
        <v>372</v>
      </c>
      <c r="F28" s="330"/>
      <c r="G28" s="331"/>
      <c r="H28" s="332"/>
      <c r="I28" s="331"/>
      <c r="J28" s="621">
        <f t="shared" si="0"/>
        <v>0</v>
      </c>
      <c r="K28" s="669"/>
      <c r="L28" s="890"/>
      <c r="M28" s="35"/>
      <c r="N28" s="368"/>
      <c r="O28" s="331">
        <v>14072</v>
      </c>
      <c r="P28" s="627">
        <f t="shared" si="7"/>
        <v>14072</v>
      </c>
      <c r="Q28" s="669">
        <v>7036</v>
      </c>
      <c r="R28" s="890">
        <f>Q28/P28*100</f>
        <v>50</v>
      </c>
      <c r="S28" s="35"/>
      <c r="T28" s="257">
        <f aca="true" t="shared" si="9" ref="T28:T35">J28+P28</f>
        <v>14072</v>
      </c>
      <c r="U28" s="669">
        <f t="shared" si="8"/>
        <v>7036</v>
      </c>
      <c r="V28" s="890">
        <f t="shared" si="4"/>
        <v>50</v>
      </c>
    </row>
    <row r="29" spans="2:22" ht="12.75">
      <c r="B29" s="30">
        <f t="shared" si="5"/>
        <v>21</v>
      </c>
      <c r="C29" s="29"/>
      <c r="D29" s="2"/>
      <c r="E29" s="294" t="s">
        <v>331</v>
      </c>
      <c r="F29" s="330"/>
      <c r="G29" s="331"/>
      <c r="H29" s="332"/>
      <c r="I29" s="331"/>
      <c r="J29" s="621">
        <f t="shared" si="0"/>
        <v>0</v>
      </c>
      <c r="K29" s="669"/>
      <c r="L29" s="890"/>
      <c r="M29" s="35"/>
      <c r="N29" s="368"/>
      <c r="O29" s="331">
        <v>15710</v>
      </c>
      <c r="P29" s="627">
        <f t="shared" si="7"/>
        <v>15710</v>
      </c>
      <c r="Q29" s="669">
        <v>1400</v>
      </c>
      <c r="R29" s="890">
        <f>Q29/P29*100</f>
        <v>8.911521323997453</v>
      </c>
      <c r="S29" s="35"/>
      <c r="T29" s="257">
        <f t="shared" si="9"/>
        <v>15710</v>
      </c>
      <c r="U29" s="669">
        <f t="shared" si="8"/>
        <v>1400</v>
      </c>
      <c r="V29" s="890">
        <f t="shared" si="4"/>
        <v>8.911521323997453</v>
      </c>
    </row>
    <row r="30" spans="2:22" ht="12.75">
      <c r="B30" s="30">
        <f t="shared" si="5"/>
        <v>22</v>
      </c>
      <c r="C30" s="29"/>
      <c r="D30" s="2"/>
      <c r="E30" s="294" t="s">
        <v>332</v>
      </c>
      <c r="F30" s="330"/>
      <c r="G30" s="331"/>
      <c r="H30" s="332"/>
      <c r="I30" s="331"/>
      <c r="J30" s="621">
        <f t="shared" si="0"/>
        <v>0</v>
      </c>
      <c r="K30" s="669"/>
      <c r="L30" s="890"/>
      <c r="M30" s="35"/>
      <c r="N30" s="368">
        <v>250</v>
      </c>
      <c r="O30" s="331"/>
      <c r="P30" s="627">
        <f t="shared" si="7"/>
        <v>250</v>
      </c>
      <c r="Q30" s="669">
        <v>384</v>
      </c>
      <c r="R30" s="890">
        <f>Q30/P30*100</f>
        <v>153.6</v>
      </c>
      <c r="S30" s="35"/>
      <c r="T30" s="257">
        <f t="shared" si="9"/>
        <v>250</v>
      </c>
      <c r="U30" s="669">
        <f t="shared" si="8"/>
        <v>384</v>
      </c>
      <c r="V30" s="890">
        <f t="shared" si="4"/>
        <v>153.6</v>
      </c>
    </row>
    <row r="31" spans="2:22" ht="15">
      <c r="B31" s="30">
        <f t="shared" si="5"/>
        <v>23</v>
      </c>
      <c r="C31" s="41">
        <v>3</v>
      </c>
      <c r="D31" s="42" t="s">
        <v>125</v>
      </c>
      <c r="E31" s="136"/>
      <c r="F31" s="153"/>
      <c r="G31" s="157"/>
      <c r="H31" s="157">
        <f>SUM(H32:H32)</f>
        <v>17623</v>
      </c>
      <c r="I31" s="157"/>
      <c r="J31" s="869">
        <f t="shared" si="0"/>
        <v>17623</v>
      </c>
      <c r="K31" s="672">
        <f>K32</f>
        <v>17018</v>
      </c>
      <c r="L31" s="891">
        <f t="shared" si="3"/>
        <v>96.56698632468932</v>
      </c>
      <c r="M31" s="260"/>
      <c r="N31" s="254"/>
      <c r="O31" s="157"/>
      <c r="P31" s="859">
        <v>0</v>
      </c>
      <c r="Q31" s="672"/>
      <c r="R31" s="891"/>
      <c r="S31" s="260"/>
      <c r="T31" s="874">
        <f t="shared" si="9"/>
        <v>17623</v>
      </c>
      <c r="U31" s="672">
        <f t="shared" si="8"/>
        <v>17018</v>
      </c>
      <c r="V31" s="891">
        <f t="shared" si="4"/>
        <v>96.56698632468932</v>
      </c>
    </row>
    <row r="32" spans="2:22" ht="12.75">
      <c r="B32" s="30">
        <f t="shared" si="5"/>
        <v>24</v>
      </c>
      <c r="C32" s="29"/>
      <c r="D32" s="503"/>
      <c r="E32" s="540" t="s">
        <v>344</v>
      </c>
      <c r="F32" s="330"/>
      <c r="G32" s="330"/>
      <c r="H32" s="327">
        <v>17623</v>
      </c>
      <c r="I32" s="331"/>
      <c r="J32" s="621">
        <f>H32</f>
        <v>17623</v>
      </c>
      <c r="K32" s="669">
        <f>16316+702</f>
        <v>17018</v>
      </c>
      <c r="L32" s="890">
        <f t="shared" si="3"/>
        <v>96.56698632468932</v>
      </c>
      <c r="M32" s="35"/>
      <c r="N32" s="368"/>
      <c r="O32" s="331"/>
      <c r="P32" s="628"/>
      <c r="Q32" s="669"/>
      <c r="R32" s="890"/>
      <c r="S32" s="35"/>
      <c r="T32" s="275">
        <f t="shared" si="9"/>
        <v>17623</v>
      </c>
      <c r="U32" s="669">
        <f t="shared" si="8"/>
        <v>17018</v>
      </c>
      <c r="V32" s="890">
        <f t="shared" si="4"/>
        <v>96.56698632468932</v>
      </c>
    </row>
    <row r="33" spans="2:22" ht="15">
      <c r="B33" s="30">
        <f t="shared" si="5"/>
        <v>25</v>
      </c>
      <c r="C33" s="41">
        <v>4</v>
      </c>
      <c r="D33" s="42" t="s">
        <v>126</v>
      </c>
      <c r="E33" s="136"/>
      <c r="F33" s="153"/>
      <c r="G33" s="157"/>
      <c r="H33" s="157">
        <f>H34</f>
        <v>18168</v>
      </c>
      <c r="I33" s="157"/>
      <c r="J33" s="869">
        <f>SUM(F33:I33)</f>
        <v>18168</v>
      </c>
      <c r="K33" s="672">
        <f>K34</f>
        <v>16233</v>
      </c>
      <c r="L33" s="891">
        <f t="shared" si="3"/>
        <v>89.34940554821664</v>
      </c>
      <c r="M33" s="260"/>
      <c r="N33" s="254"/>
      <c r="O33" s="157"/>
      <c r="P33" s="859">
        <f>SUM(N33:O33)</f>
        <v>0</v>
      </c>
      <c r="Q33" s="672"/>
      <c r="R33" s="891"/>
      <c r="S33" s="260"/>
      <c r="T33" s="874">
        <f t="shared" si="9"/>
        <v>18168</v>
      </c>
      <c r="U33" s="672">
        <f t="shared" si="8"/>
        <v>16233</v>
      </c>
      <c r="V33" s="891">
        <f t="shared" si="4"/>
        <v>89.34940554821664</v>
      </c>
    </row>
    <row r="34" spans="2:22" ht="12.75">
      <c r="B34" s="30">
        <f t="shared" si="5"/>
        <v>26</v>
      </c>
      <c r="C34" s="29"/>
      <c r="D34" s="503"/>
      <c r="E34" s="540" t="s">
        <v>344</v>
      </c>
      <c r="F34" s="330"/>
      <c r="G34" s="330"/>
      <c r="H34" s="327">
        <f>14150+2000+2018</f>
        <v>18168</v>
      </c>
      <c r="I34" s="331"/>
      <c r="J34" s="621">
        <f>H34</f>
        <v>18168</v>
      </c>
      <c r="K34" s="669">
        <f>16233</f>
        <v>16233</v>
      </c>
      <c r="L34" s="890">
        <f t="shared" si="3"/>
        <v>89.34940554821664</v>
      </c>
      <c r="M34" s="35"/>
      <c r="N34" s="368"/>
      <c r="O34" s="331"/>
      <c r="P34" s="628"/>
      <c r="Q34" s="669"/>
      <c r="R34" s="890"/>
      <c r="S34" s="35"/>
      <c r="T34" s="275">
        <f t="shared" si="9"/>
        <v>18168</v>
      </c>
      <c r="U34" s="669">
        <f t="shared" si="8"/>
        <v>16233</v>
      </c>
      <c r="V34" s="890">
        <f t="shared" si="4"/>
        <v>89.34940554821664</v>
      </c>
    </row>
    <row r="35" spans="2:22" ht="15.75" thickBot="1">
      <c r="B35" s="31">
        <f t="shared" si="5"/>
        <v>27</v>
      </c>
      <c r="C35" s="56">
        <v>5</v>
      </c>
      <c r="D35" s="57" t="s">
        <v>127</v>
      </c>
      <c r="E35" s="400"/>
      <c r="F35" s="161"/>
      <c r="G35" s="162"/>
      <c r="H35" s="162"/>
      <c r="I35" s="162"/>
      <c r="J35" s="875">
        <f>SUM(F35:I35)</f>
        <v>0</v>
      </c>
      <c r="K35" s="673">
        <v>0</v>
      </c>
      <c r="L35" s="906"/>
      <c r="M35" s="260"/>
      <c r="N35" s="295"/>
      <c r="O35" s="162">
        <v>18320</v>
      </c>
      <c r="P35" s="859">
        <f>SUM(N35:O35)</f>
        <v>18320</v>
      </c>
      <c r="Q35" s="673"/>
      <c r="R35" s="906">
        <f>Q35/P35*100</f>
        <v>0</v>
      </c>
      <c r="S35" s="260"/>
      <c r="T35" s="876">
        <f t="shared" si="9"/>
        <v>18320</v>
      </c>
      <c r="U35" s="673">
        <f t="shared" si="8"/>
        <v>0</v>
      </c>
      <c r="V35" s="906">
        <f t="shared" si="4"/>
        <v>0</v>
      </c>
    </row>
    <row r="36" spans="10:12" ht="12.75">
      <c r="J36" s="33"/>
      <c r="K36" s="670"/>
      <c r="L36" s="670"/>
    </row>
    <row r="37" ht="12.75">
      <c r="Q37" s="671"/>
    </row>
    <row r="38" ht="12.75">
      <c r="K38" s="671"/>
    </row>
  </sheetData>
  <sheetProtection/>
  <mergeCells count="23">
    <mergeCell ref="V4:V8"/>
    <mergeCell ref="Q7:Q8"/>
    <mergeCell ref="J7:J8"/>
    <mergeCell ref="F7:F8"/>
    <mergeCell ref="B5:J5"/>
    <mergeCell ref="I7:I8"/>
    <mergeCell ref="L5:L8"/>
    <mergeCell ref="T4:T8"/>
    <mergeCell ref="O7:O8"/>
    <mergeCell ref="G7:G8"/>
    <mergeCell ref="D6:D8"/>
    <mergeCell ref="R4:R8"/>
    <mergeCell ref="E6:J6"/>
    <mergeCell ref="B4:P4"/>
    <mergeCell ref="C6:C8"/>
    <mergeCell ref="K7:K8"/>
    <mergeCell ref="U4:U8"/>
    <mergeCell ref="H7:H8"/>
    <mergeCell ref="N6:P6"/>
    <mergeCell ref="N7:N8"/>
    <mergeCell ref="N5:P5"/>
    <mergeCell ref="P7:P8"/>
    <mergeCell ref="Q4:Q6"/>
  </mergeCells>
  <printOptions/>
  <pageMargins left="0.15748031496062992" right="0.2362204724409449" top="0.4724409448818898" bottom="0.2362204724409449" header="0.31496062992125984" footer="0.1968503937007874"/>
  <pageSetup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W33"/>
  <sheetViews>
    <sheetView zoomScale="92" zoomScaleNormal="92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8515625" style="6" customWidth="1"/>
    <col min="3" max="3" width="2.421875" style="5" customWidth="1"/>
    <col min="4" max="4" width="2.28125" style="0" customWidth="1"/>
    <col min="5" max="5" width="33.7109375" style="0" customWidth="1"/>
    <col min="6" max="6" width="7.00390625" style="0" customWidth="1"/>
    <col min="7" max="7" width="7.7109375" style="0" customWidth="1"/>
    <col min="8" max="8" width="11.00390625" style="0" customWidth="1"/>
    <col min="9" max="9" width="8.28125" style="0" customWidth="1"/>
    <col min="10" max="10" width="12.8515625" style="0" customWidth="1"/>
    <col min="11" max="11" width="9.8515625" style="487" customWidth="1"/>
    <col min="12" max="12" width="6.7109375" style="487" customWidth="1"/>
    <col min="13" max="13" width="2.00390625" style="46" customWidth="1"/>
    <col min="14" max="14" width="4.8515625" style="0" customWidth="1"/>
    <col min="15" max="15" width="8.28125" style="0" customWidth="1"/>
    <col min="16" max="16" width="13.421875" style="0" customWidth="1"/>
    <col min="17" max="17" width="10.8515625" style="0" customWidth="1"/>
    <col min="18" max="18" width="7.00390625" style="0" customWidth="1"/>
    <col min="19" max="19" width="1.421875" style="269" customWidth="1"/>
    <col min="20" max="20" width="11.00390625" style="0" customWidth="1"/>
    <col min="21" max="21" width="10.57421875" style="0" customWidth="1"/>
    <col min="22" max="22" width="6.7109375" style="44" customWidth="1"/>
    <col min="23" max="23" width="9.57421875" style="0" bestFit="1" customWidth="1"/>
  </cols>
  <sheetData>
    <row r="1" spans="10:20" ht="15.75" customHeight="1">
      <c r="J1" s="190"/>
      <c r="K1" s="671"/>
      <c r="L1" s="671"/>
      <c r="M1" s="48"/>
      <c r="N1" s="44"/>
      <c r="O1" s="44"/>
      <c r="P1" s="50"/>
      <c r="Q1" s="50"/>
      <c r="R1" s="50"/>
      <c r="S1" s="193"/>
      <c r="T1" s="263"/>
    </row>
    <row r="2" spans="3:20" ht="27">
      <c r="C2" s="264" t="s">
        <v>337</v>
      </c>
      <c r="I2" s="171"/>
      <c r="J2" s="196"/>
      <c r="K2" s="682"/>
      <c r="L2" s="682"/>
      <c r="M2" s="171"/>
      <c r="P2" s="248"/>
      <c r="Q2" s="248"/>
      <c r="R2" s="248"/>
      <c r="T2" s="248"/>
    </row>
    <row r="3" ht="4.5" customHeight="1" thickBot="1"/>
    <row r="4" spans="2:22" ht="12.75" customHeight="1" thickBot="1">
      <c r="B4" s="1184" t="s">
        <v>306</v>
      </c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6"/>
      <c r="O4" s="1186"/>
      <c r="P4" s="1187"/>
      <c r="Q4" s="733"/>
      <c r="R4" s="1131" t="s">
        <v>406</v>
      </c>
      <c r="S4" s="270"/>
      <c r="T4" s="1100" t="s">
        <v>405</v>
      </c>
      <c r="U4" s="1096" t="s">
        <v>465</v>
      </c>
      <c r="V4" s="1134" t="s">
        <v>406</v>
      </c>
    </row>
    <row r="5" spans="2:22" ht="18.75" customHeight="1" thickTop="1">
      <c r="B5" s="1143" t="s">
        <v>11</v>
      </c>
      <c r="C5" s="1144"/>
      <c r="D5" s="1144"/>
      <c r="E5" s="1144"/>
      <c r="F5" s="1144"/>
      <c r="G5" s="1144"/>
      <c r="H5" s="1144"/>
      <c r="I5" s="1144"/>
      <c r="J5" s="1145"/>
      <c r="K5" s="683"/>
      <c r="L5" s="1176" t="s">
        <v>406</v>
      </c>
      <c r="M5" s="290"/>
      <c r="N5" s="1181" t="s">
        <v>294</v>
      </c>
      <c r="O5" s="1182"/>
      <c r="P5" s="1183"/>
      <c r="Q5" s="734"/>
      <c r="R5" s="1132"/>
      <c r="S5" s="271"/>
      <c r="T5" s="1101"/>
      <c r="U5" s="1097"/>
      <c r="V5" s="1135"/>
    </row>
    <row r="6" spans="2:22" ht="12.75" customHeight="1">
      <c r="B6" s="40"/>
      <c r="C6" s="1106" t="s">
        <v>147</v>
      </c>
      <c r="D6" s="1106" t="s">
        <v>148</v>
      </c>
      <c r="E6" s="1088" t="s">
        <v>10</v>
      </c>
      <c r="F6" s="1191"/>
      <c r="G6" s="1191"/>
      <c r="H6" s="1191"/>
      <c r="I6" s="1191"/>
      <c r="J6" s="1192"/>
      <c r="K6" s="714"/>
      <c r="L6" s="1132"/>
      <c r="M6" s="15"/>
      <c r="N6" s="1118" t="s">
        <v>10</v>
      </c>
      <c r="O6" s="1191"/>
      <c r="P6" s="1192"/>
      <c r="Q6" s="722"/>
      <c r="R6" s="1132"/>
      <c r="S6" s="15"/>
      <c r="T6" s="1101"/>
      <c r="U6" s="1097"/>
      <c r="V6" s="1135"/>
    </row>
    <row r="7" spans="2:22" ht="27.75" customHeight="1">
      <c r="B7" s="40"/>
      <c r="C7" s="1107"/>
      <c r="D7" s="1107"/>
      <c r="E7" s="438" t="s">
        <v>4</v>
      </c>
      <c r="F7" s="1111">
        <v>610</v>
      </c>
      <c r="G7" s="1113">
        <v>620</v>
      </c>
      <c r="H7" s="1113">
        <v>630</v>
      </c>
      <c r="I7" s="1098">
        <v>640</v>
      </c>
      <c r="J7" s="1125" t="s">
        <v>492</v>
      </c>
      <c r="K7" s="1094" t="s">
        <v>465</v>
      </c>
      <c r="L7" s="1132"/>
      <c r="M7" s="251"/>
      <c r="N7" s="1121">
        <v>716</v>
      </c>
      <c r="O7" s="1159">
        <v>717</v>
      </c>
      <c r="P7" s="1125" t="s">
        <v>492</v>
      </c>
      <c r="Q7" s="1094" t="s">
        <v>465</v>
      </c>
      <c r="R7" s="1132"/>
      <c r="S7" s="272"/>
      <c r="T7" s="1101"/>
      <c r="U7" s="1097"/>
      <c r="V7" s="1135"/>
    </row>
    <row r="8" spans="2:22" ht="34.5" customHeight="1" thickBot="1">
      <c r="B8" s="45"/>
      <c r="C8" s="1108"/>
      <c r="D8" s="1108"/>
      <c r="E8" s="123"/>
      <c r="F8" s="1112"/>
      <c r="G8" s="1099"/>
      <c r="H8" s="1099"/>
      <c r="I8" s="1099"/>
      <c r="J8" s="1110"/>
      <c r="K8" s="1095"/>
      <c r="L8" s="1177"/>
      <c r="M8" s="195"/>
      <c r="N8" s="1146"/>
      <c r="O8" s="1111"/>
      <c r="P8" s="1110"/>
      <c r="Q8" s="1095"/>
      <c r="R8" s="1177"/>
      <c r="S8" s="373"/>
      <c r="T8" s="1102"/>
      <c r="U8" s="1097"/>
      <c r="V8" s="1135"/>
    </row>
    <row r="9" spans="2:23" ht="25.5" customHeight="1" thickBot="1" thickTop="1">
      <c r="B9" s="30">
        <v>1</v>
      </c>
      <c r="C9" s="198" t="s">
        <v>252</v>
      </c>
      <c r="D9" s="280"/>
      <c r="E9" s="441"/>
      <c r="F9" s="285">
        <f>F10+F15+F23+F26+F28+F30</f>
        <v>66770</v>
      </c>
      <c r="G9" s="285">
        <f>G10+G15+G23+G26+G28+G30</f>
        <v>23726</v>
      </c>
      <c r="H9" s="285">
        <f>H10+H15+H23+H26+H28+H30</f>
        <v>4884504</v>
      </c>
      <c r="I9" s="285">
        <f>I10+I15+I23+I26+I28+I30</f>
        <v>15000</v>
      </c>
      <c r="J9" s="877">
        <f>SUM(F9:I9)</f>
        <v>4990000</v>
      </c>
      <c r="K9" s="676">
        <f>K10+K15+K23+K26+K28+K30</f>
        <v>383213</v>
      </c>
      <c r="L9" s="901">
        <f>K9/J9*100</f>
        <v>7.6796192384769535</v>
      </c>
      <c r="M9" s="278"/>
      <c r="N9" s="326">
        <f>N10+N15+N23+N26+N28+N30</f>
        <v>0</v>
      </c>
      <c r="O9" s="324">
        <f>O10+O15+O23+O26+O28+O30</f>
        <v>208257</v>
      </c>
      <c r="P9" s="877">
        <f>SUM(N9:O9)</f>
        <v>208257</v>
      </c>
      <c r="Q9" s="676">
        <f>Q10+Q15+Q23+Q26+Q28+Q30</f>
        <v>57190</v>
      </c>
      <c r="R9" s="901">
        <f>Q9/P9*100</f>
        <v>27.461261806325837</v>
      </c>
      <c r="S9" s="278"/>
      <c r="T9" s="872">
        <f aca="true" t="shared" si="0" ref="T9:T30">J9+P9</f>
        <v>5198257</v>
      </c>
      <c r="U9" s="676">
        <f aca="true" t="shared" si="1" ref="U9:U30">K9+Q9</f>
        <v>440403</v>
      </c>
      <c r="V9" s="901">
        <f>U9/T9*100</f>
        <v>8.472128253758903</v>
      </c>
      <c r="W9" s="19"/>
    </row>
    <row r="10" spans="2:23" ht="15.75" thickTop="1">
      <c r="B10" s="30">
        <f>B9+1</f>
        <v>2</v>
      </c>
      <c r="C10" s="41">
        <v>1</v>
      </c>
      <c r="D10" s="42" t="s">
        <v>1</v>
      </c>
      <c r="E10" s="136"/>
      <c r="F10" s="153">
        <f>F11</f>
        <v>4500</v>
      </c>
      <c r="G10" s="157">
        <f>G11</f>
        <v>1620</v>
      </c>
      <c r="H10" s="157">
        <f>SUM(H11:H14)</f>
        <v>1834066</v>
      </c>
      <c r="I10" s="157"/>
      <c r="J10" s="853">
        <f>SUM(F10:I10)</f>
        <v>1840186</v>
      </c>
      <c r="K10" s="675">
        <f>SUM(K11:K14)</f>
        <v>162615</v>
      </c>
      <c r="L10" s="891">
        <f aca="true" t="shared" si="2" ref="L10:L30">K10/J10*100</f>
        <v>8.836878445983178</v>
      </c>
      <c r="M10" s="260"/>
      <c r="N10" s="254"/>
      <c r="O10" s="153">
        <f>SUM(O11:O14)</f>
        <v>129639</v>
      </c>
      <c r="P10" s="859">
        <f>SUM(N10:O10)</f>
        <v>129639</v>
      </c>
      <c r="Q10" s="675">
        <f>SUM(Q11:Q14)</f>
        <v>24660</v>
      </c>
      <c r="R10" s="891">
        <f>Q10/P10*100</f>
        <v>19.022053548700622</v>
      </c>
      <c r="S10" s="260"/>
      <c r="T10" s="860">
        <f t="shared" si="0"/>
        <v>1969825</v>
      </c>
      <c r="U10" s="675">
        <f t="shared" si="1"/>
        <v>187275</v>
      </c>
      <c r="V10" s="889">
        <f aca="true" t="shared" si="3" ref="V10:V30">U10/T10*100</f>
        <v>9.50718972497557</v>
      </c>
      <c r="W10" s="19"/>
    </row>
    <row r="11" spans="2:22" ht="12.75">
      <c r="B11" s="30">
        <f aca="true" t="shared" si="4" ref="B11:B30">B10+1</f>
        <v>3</v>
      </c>
      <c r="C11" s="143"/>
      <c r="D11" s="70"/>
      <c r="E11" s="440" t="s">
        <v>315</v>
      </c>
      <c r="F11" s="330">
        <v>4500</v>
      </c>
      <c r="G11" s="330">
        <v>1620</v>
      </c>
      <c r="H11" s="329">
        <v>28880</v>
      </c>
      <c r="I11" s="331"/>
      <c r="J11" s="627">
        <f aca="true" t="shared" si="5" ref="J11:J30">SUM(F11:I11)</f>
        <v>35000</v>
      </c>
      <c r="K11" s="669">
        <f>61+13391</f>
        <v>13452</v>
      </c>
      <c r="L11" s="890">
        <f t="shared" si="2"/>
        <v>38.434285714285714</v>
      </c>
      <c r="M11" s="35"/>
      <c r="N11" s="348"/>
      <c r="O11" s="327"/>
      <c r="P11" s="657">
        <f aca="true" t="shared" si="6" ref="P11:P24">SUM(N11:O11)</f>
        <v>0</v>
      </c>
      <c r="Q11" s="669"/>
      <c r="R11" s="890"/>
      <c r="S11" s="381"/>
      <c r="T11" s="382">
        <f t="shared" si="0"/>
        <v>35000</v>
      </c>
      <c r="U11" s="669">
        <f t="shared" si="1"/>
        <v>13452</v>
      </c>
      <c r="V11" s="890">
        <f t="shared" si="3"/>
        <v>38.434285714285714</v>
      </c>
    </row>
    <row r="12" spans="2:23" ht="12.75">
      <c r="B12" s="30">
        <f t="shared" si="4"/>
        <v>4</v>
      </c>
      <c r="C12" s="142"/>
      <c r="D12" s="70"/>
      <c r="E12" s="540" t="s">
        <v>344</v>
      </c>
      <c r="F12" s="330"/>
      <c r="G12" s="330"/>
      <c r="H12" s="332">
        <f>1555186</f>
        <v>1555186</v>
      </c>
      <c r="I12" s="331"/>
      <c r="J12" s="627">
        <f t="shared" si="5"/>
        <v>1555186</v>
      </c>
      <c r="K12" s="669">
        <v>144477</v>
      </c>
      <c r="L12" s="890">
        <f t="shared" si="2"/>
        <v>9.290014184798475</v>
      </c>
      <c r="M12" s="35"/>
      <c r="N12" s="387"/>
      <c r="O12" s="330"/>
      <c r="P12" s="657"/>
      <c r="Q12" s="669"/>
      <c r="R12" s="890"/>
      <c r="S12" s="381"/>
      <c r="T12" s="382">
        <f t="shared" si="0"/>
        <v>1555186</v>
      </c>
      <c r="U12" s="669">
        <f t="shared" si="1"/>
        <v>144477</v>
      </c>
      <c r="V12" s="890">
        <f t="shared" si="3"/>
        <v>9.290014184798475</v>
      </c>
      <c r="W12" s="19"/>
    </row>
    <row r="13" spans="2:22" ht="12.75">
      <c r="B13" s="30">
        <f t="shared" si="4"/>
        <v>5</v>
      </c>
      <c r="C13" s="142"/>
      <c r="D13" s="70"/>
      <c r="E13" s="294" t="s">
        <v>362</v>
      </c>
      <c r="F13" s="330"/>
      <c r="G13" s="330"/>
      <c r="H13" s="332">
        <v>250000</v>
      </c>
      <c r="I13" s="331"/>
      <c r="J13" s="627">
        <f t="shared" si="5"/>
        <v>250000</v>
      </c>
      <c r="K13" s="669">
        <f>4655+31</f>
        <v>4686</v>
      </c>
      <c r="L13" s="890">
        <f t="shared" si="2"/>
        <v>1.8744</v>
      </c>
      <c r="M13" s="35"/>
      <c r="N13" s="387"/>
      <c r="O13" s="330"/>
      <c r="P13" s="657"/>
      <c r="Q13" s="669"/>
      <c r="R13" s="890"/>
      <c r="S13" s="381"/>
      <c r="T13" s="382">
        <f t="shared" si="0"/>
        <v>250000</v>
      </c>
      <c r="U13" s="669">
        <f t="shared" si="1"/>
        <v>4686</v>
      </c>
      <c r="V13" s="890">
        <f t="shared" si="3"/>
        <v>1.8744</v>
      </c>
    </row>
    <row r="14" spans="2:22" ht="12.75">
      <c r="B14" s="30">
        <f t="shared" si="4"/>
        <v>6</v>
      </c>
      <c r="C14" s="142"/>
      <c r="D14" s="70"/>
      <c r="E14" s="540" t="s">
        <v>370</v>
      </c>
      <c r="F14" s="330"/>
      <c r="G14" s="330"/>
      <c r="H14" s="332"/>
      <c r="I14" s="331"/>
      <c r="J14" s="627">
        <f t="shared" si="5"/>
        <v>0</v>
      </c>
      <c r="K14" s="669"/>
      <c r="L14" s="890"/>
      <c r="M14" s="35"/>
      <c r="N14" s="387"/>
      <c r="O14" s="330">
        <f>152905-23266</f>
        <v>129639</v>
      </c>
      <c r="P14" s="621">
        <f t="shared" si="6"/>
        <v>129639</v>
      </c>
      <c r="Q14" s="669">
        <v>24660</v>
      </c>
      <c r="R14" s="890"/>
      <c r="S14" s="381"/>
      <c r="T14" s="383">
        <f t="shared" si="0"/>
        <v>129639</v>
      </c>
      <c r="U14" s="669">
        <f t="shared" si="1"/>
        <v>24660</v>
      </c>
      <c r="V14" s="890">
        <f t="shared" si="3"/>
        <v>19.022053548700622</v>
      </c>
    </row>
    <row r="15" spans="2:22" ht="15">
      <c r="B15" s="30">
        <f t="shared" si="4"/>
        <v>7</v>
      </c>
      <c r="C15" s="41">
        <v>2</v>
      </c>
      <c r="D15" s="42" t="s">
        <v>263</v>
      </c>
      <c r="E15" s="136"/>
      <c r="F15" s="376"/>
      <c r="G15" s="153"/>
      <c r="H15" s="157">
        <f>H16+H19</f>
        <v>3035614</v>
      </c>
      <c r="I15" s="157"/>
      <c r="J15" s="853">
        <f t="shared" si="5"/>
        <v>3035614</v>
      </c>
      <c r="K15" s="672">
        <f>K16+K19</f>
        <v>138382</v>
      </c>
      <c r="L15" s="891">
        <f t="shared" si="2"/>
        <v>4.558616477589048</v>
      </c>
      <c r="M15" s="194"/>
      <c r="N15" s="254"/>
      <c r="O15" s="153">
        <f>O16+O19</f>
        <v>78618</v>
      </c>
      <c r="P15" s="859">
        <f>SUM(N15:O15)</f>
        <v>78618</v>
      </c>
      <c r="Q15" s="672">
        <f>Q16+Q19</f>
        <v>32530</v>
      </c>
      <c r="R15" s="891">
        <f>Q15/P15*100</f>
        <v>41.37729273194434</v>
      </c>
      <c r="S15" s="260"/>
      <c r="T15" s="860">
        <f t="shared" si="0"/>
        <v>3114232</v>
      </c>
      <c r="U15" s="672">
        <f t="shared" si="1"/>
        <v>170912</v>
      </c>
      <c r="V15" s="891">
        <f t="shared" si="3"/>
        <v>5.488094657045461</v>
      </c>
    </row>
    <row r="16" spans="2:22" s="121" customFormat="1" ht="12.75">
      <c r="B16" s="30">
        <f t="shared" si="4"/>
        <v>8</v>
      </c>
      <c r="C16" s="122"/>
      <c r="D16" s="63" t="s">
        <v>5</v>
      </c>
      <c r="E16" s="442" t="s">
        <v>227</v>
      </c>
      <c r="F16" s="377"/>
      <c r="G16" s="164"/>
      <c r="H16" s="378">
        <v>3033114</v>
      </c>
      <c r="I16" s="165"/>
      <c r="J16" s="655">
        <f t="shared" si="5"/>
        <v>3033114</v>
      </c>
      <c r="K16" s="501">
        <f>SUM(K17:K18)</f>
        <v>138382</v>
      </c>
      <c r="L16" s="891">
        <f t="shared" si="2"/>
        <v>4.56237385076855</v>
      </c>
      <c r="M16" s="194"/>
      <c r="N16" s="374"/>
      <c r="O16" s="164"/>
      <c r="P16" s="658">
        <f t="shared" si="6"/>
        <v>0</v>
      </c>
      <c r="Q16" s="501"/>
      <c r="R16" s="891"/>
      <c r="S16" s="260"/>
      <c r="T16" s="384">
        <f t="shared" si="0"/>
        <v>3033114</v>
      </c>
      <c r="U16" s="501">
        <f t="shared" si="1"/>
        <v>138382</v>
      </c>
      <c r="V16" s="891">
        <f t="shared" si="3"/>
        <v>4.56237385076855</v>
      </c>
    </row>
    <row r="17" spans="2:22" ht="12.75">
      <c r="B17" s="30">
        <f t="shared" si="4"/>
        <v>9</v>
      </c>
      <c r="C17" s="142"/>
      <c r="D17" s="70"/>
      <c r="E17" s="540" t="s">
        <v>344</v>
      </c>
      <c r="F17" s="330"/>
      <c r="G17" s="330"/>
      <c r="H17" s="332">
        <v>1482527</v>
      </c>
      <c r="I17" s="331"/>
      <c r="J17" s="627">
        <f>SUM(F17:I17)</f>
        <v>1482527</v>
      </c>
      <c r="K17" s="669">
        <v>138306</v>
      </c>
      <c r="L17" s="890">
        <f t="shared" si="2"/>
        <v>9.329071241198307</v>
      </c>
      <c r="M17" s="35"/>
      <c r="N17" s="387"/>
      <c r="O17" s="330"/>
      <c r="P17" s="627"/>
      <c r="Q17" s="669"/>
      <c r="R17" s="890"/>
      <c r="S17" s="381"/>
      <c r="T17" s="382">
        <f t="shared" si="0"/>
        <v>1482527</v>
      </c>
      <c r="U17" s="669">
        <f t="shared" si="1"/>
        <v>138306</v>
      </c>
      <c r="V17" s="890">
        <f t="shared" si="3"/>
        <v>9.329071241198307</v>
      </c>
    </row>
    <row r="18" spans="2:22" ht="12.75">
      <c r="B18" s="30">
        <f t="shared" si="4"/>
        <v>10</v>
      </c>
      <c r="C18" s="142"/>
      <c r="D18" s="70"/>
      <c r="E18" s="294" t="s">
        <v>361</v>
      </c>
      <c r="F18" s="330"/>
      <c r="G18" s="330"/>
      <c r="H18" s="332">
        <f>3033114-1482527</f>
        <v>1550587</v>
      </c>
      <c r="I18" s="331"/>
      <c r="J18" s="627">
        <f>SUM(F18:I18)</f>
        <v>1550587</v>
      </c>
      <c r="K18" s="669">
        <f>138382-K17</f>
        <v>76</v>
      </c>
      <c r="L18" s="890">
        <f t="shared" si="2"/>
        <v>0.004901369610347565</v>
      </c>
      <c r="M18" s="35"/>
      <c r="N18" s="387"/>
      <c r="O18" s="328"/>
      <c r="P18" s="621"/>
      <c r="Q18" s="669"/>
      <c r="R18" s="890"/>
      <c r="S18" s="381"/>
      <c r="T18" s="383">
        <f t="shared" si="0"/>
        <v>1550587</v>
      </c>
      <c r="U18" s="669">
        <f t="shared" si="1"/>
        <v>76</v>
      </c>
      <c r="V18" s="890">
        <f t="shared" si="3"/>
        <v>0.004901369610347565</v>
      </c>
    </row>
    <row r="19" spans="2:22" s="121" customFormat="1" ht="12.75">
      <c r="B19" s="30">
        <f t="shared" si="4"/>
        <v>11</v>
      </c>
      <c r="C19" s="122"/>
      <c r="D19" s="63" t="s">
        <v>6</v>
      </c>
      <c r="E19" s="442" t="s">
        <v>119</v>
      </c>
      <c r="F19" s="377"/>
      <c r="G19" s="164"/>
      <c r="H19" s="378">
        <v>2500</v>
      </c>
      <c r="I19" s="165"/>
      <c r="J19" s="655">
        <f t="shared" si="5"/>
        <v>2500</v>
      </c>
      <c r="K19" s="501"/>
      <c r="L19" s="891">
        <f t="shared" si="2"/>
        <v>0</v>
      </c>
      <c r="M19" s="194"/>
      <c r="N19" s="374"/>
      <c r="O19" s="377">
        <f>SUM(O20:O22)</f>
        <v>78618</v>
      </c>
      <c r="P19" s="658">
        <f t="shared" si="6"/>
        <v>78618</v>
      </c>
      <c r="Q19" s="501">
        <f>Q20</f>
        <v>32530</v>
      </c>
      <c r="R19" s="891">
        <f>Q19/P19*100</f>
        <v>41.37729273194434</v>
      </c>
      <c r="S19" s="260"/>
      <c r="T19" s="384">
        <f t="shared" si="0"/>
        <v>81118</v>
      </c>
      <c r="U19" s="501">
        <f t="shared" si="1"/>
        <v>32530</v>
      </c>
      <c r="V19" s="891">
        <f t="shared" si="3"/>
        <v>40.102073522522744</v>
      </c>
    </row>
    <row r="20" spans="2:22" s="121" customFormat="1" ht="12.75">
      <c r="B20" s="30">
        <f t="shared" si="4"/>
        <v>12</v>
      </c>
      <c r="C20" s="122"/>
      <c r="D20" s="70"/>
      <c r="E20" s="443" t="s">
        <v>333</v>
      </c>
      <c r="F20" s="379"/>
      <c r="G20" s="154"/>
      <c r="H20" s="380"/>
      <c r="I20" s="166"/>
      <c r="J20" s="628">
        <f t="shared" si="5"/>
        <v>0</v>
      </c>
      <c r="K20" s="669"/>
      <c r="L20" s="890"/>
      <c r="M20" s="194"/>
      <c r="N20" s="375"/>
      <c r="O20" s="379">
        <v>65060</v>
      </c>
      <c r="P20" s="659">
        <f t="shared" si="6"/>
        <v>65060</v>
      </c>
      <c r="Q20" s="669">
        <v>32530</v>
      </c>
      <c r="R20" s="890">
        <f>Q20/P20*100</f>
        <v>50</v>
      </c>
      <c r="S20" s="385"/>
      <c r="T20" s="383">
        <f t="shared" si="0"/>
        <v>65060</v>
      </c>
      <c r="U20" s="669">
        <f t="shared" si="1"/>
        <v>32530</v>
      </c>
      <c r="V20" s="890">
        <f t="shared" si="3"/>
        <v>50</v>
      </c>
    </row>
    <row r="21" spans="2:22" s="121" customFormat="1" ht="12.75">
      <c r="B21" s="30">
        <f t="shared" si="4"/>
        <v>13</v>
      </c>
      <c r="C21" s="122"/>
      <c r="D21" s="70"/>
      <c r="E21" s="562" t="s">
        <v>365</v>
      </c>
      <c r="F21" s="379"/>
      <c r="G21" s="154"/>
      <c r="H21" s="380"/>
      <c r="I21" s="166"/>
      <c r="J21" s="628">
        <f t="shared" si="5"/>
        <v>0</v>
      </c>
      <c r="K21" s="669"/>
      <c r="L21" s="890"/>
      <c r="M21" s="194"/>
      <c r="N21" s="375"/>
      <c r="O21" s="379">
        <v>5950</v>
      </c>
      <c r="P21" s="659">
        <f t="shared" si="6"/>
        <v>5950</v>
      </c>
      <c r="Q21" s="669"/>
      <c r="R21" s="890"/>
      <c r="S21" s="385"/>
      <c r="T21" s="383">
        <f t="shared" si="0"/>
        <v>5950</v>
      </c>
      <c r="U21" s="669">
        <f t="shared" si="1"/>
        <v>0</v>
      </c>
      <c r="V21" s="890">
        <f t="shared" si="3"/>
        <v>0</v>
      </c>
    </row>
    <row r="22" spans="2:22" s="121" customFormat="1" ht="12.75">
      <c r="B22" s="30">
        <f t="shared" si="4"/>
        <v>14</v>
      </c>
      <c r="C22" s="122"/>
      <c r="D22" s="70"/>
      <c r="E22" s="530" t="s">
        <v>364</v>
      </c>
      <c r="F22" s="379"/>
      <c r="G22" s="154"/>
      <c r="H22" s="380"/>
      <c r="I22" s="166"/>
      <c r="J22" s="628">
        <f t="shared" si="5"/>
        <v>0</v>
      </c>
      <c r="K22" s="669"/>
      <c r="L22" s="890"/>
      <c r="M22" s="194"/>
      <c r="N22" s="375"/>
      <c r="O22" s="379">
        <v>7608</v>
      </c>
      <c r="P22" s="659">
        <f t="shared" si="6"/>
        <v>7608</v>
      </c>
      <c r="Q22" s="669"/>
      <c r="R22" s="890"/>
      <c r="S22" s="385"/>
      <c r="T22" s="383">
        <f t="shared" si="0"/>
        <v>7608</v>
      </c>
      <c r="U22" s="669">
        <f t="shared" si="1"/>
        <v>0</v>
      </c>
      <c r="V22" s="890">
        <f t="shared" si="3"/>
        <v>0</v>
      </c>
    </row>
    <row r="23" spans="2:22" ht="15">
      <c r="B23" s="30">
        <f t="shared" si="4"/>
        <v>15</v>
      </c>
      <c r="C23" s="41">
        <v>3</v>
      </c>
      <c r="D23" s="42" t="s">
        <v>176</v>
      </c>
      <c r="E23" s="136"/>
      <c r="F23" s="153"/>
      <c r="G23" s="157"/>
      <c r="H23" s="157">
        <v>4200</v>
      </c>
      <c r="I23" s="157"/>
      <c r="J23" s="852">
        <f t="shared" si="5"/>
        <v>4200</v>
      </c>
      <c r="K23" s="672">
        <v>360</v>
      </c>
      <c r="L23" s="891">
        <f t="shared" si="2"/>
        <v>8.571428571428571</v>
      </c>
      <c r="M23" s="260"/>
      <c r="N23" s="254"/>
      <c r="O23" s="153"/>
      <c r="P23" s="859">
        <v>0</v>
      </c>
      <c r="Q23" s="672"/>
      <c r="R23" s="891"/>
      <c r="S23" s="260"/>
      <c r="T23" s="860">
        <f t="shared" si="0"/>
        <v>4200</v>
      </c>
      <c r="U23" s="672">
        <f t="shared" si="1"/>
        <v>360</v>
      </c>
      <c r="V23" s="891">
        <f t="shared" si="3"/>
        <v>8.571428571428571</v>
      </c>
    </row>
    <row r="24" spans="2:22" ht="12.75">
      <c r="B24" s="30">
        <f t="shared" si="4"/>
        <v>16</v>
      </c>
      <c r="C24" s="28"/>
      <c r="D24" s="2"/>
      <c r="E24" s="439" t="s">
        <v>242</v>
      </c>
      <c r="F24" s="327"/>
      <c r="G24" s="328"/>
      <c r="H24" s="329"/>
      <c r="I24" s="328"/>
      <c r="J24" s="656">
        <f t="shared" si="5"/>
        <v>0</v>
      </c>
      <c r="K24" s="732"/>
      <c r="L24" s="891"/>
      <c r="M24" s="35"/>
      <c r="N24" s="348"/>
      <c r="O24" s="327"/>
      <c r="P24" s="632">
        <f t="shared" si="6"/>
        <v>0</v>
      </c>
      <c r="Q24" s="732"/>
      <c r="R24" s="891"/>
      <c r="S24" s="381"/>
      <c r="T24" s="382">
        <f t="shared" si="0"/>
        <v>0</v>
      </c>
      <c r="U24" s="732">
        <f t="shared" si="1"/>
        <v>0</v>
      </c>
      <c r="V24" s="891"/>
    </row>
    <row r="25" spans="2:22" ht="12.75">
      <c r="B25" s="30">
        <f t="shared" si="4"/>
        <v>17</v>
      </c>
      <c r="C25" s="142"/>
      <c r="D25" s="70"/>
      <c r="E25" s="540" t="s">
        <v>344</v>
      </c>
      <c r="F25" s="330"/>
      <c r="G25" s="330"/>
      <c r="H25" s="332">
        <v>2094</v>
      </c>
      <c r="I25" s="331"/>
      <c r="J25" s="627">
        <f t="shared" si="5"/>
        <v>2094</v>
      </c>
      <c r="K25" s="669"/>
      <c r="L25" s="890">
        <f t="shared" si="2"/>
        <v>0</v>
      </c>
      <c r="M25" s="35"/>
      <c r="N25" s="387"/>
      <c r="O25" s="330"/>
      <c r="P25" s="627"/>
      <c r="Q25" s="669"/>
      <c r="R25" s="890"/>
      <c r="S25" s="381"/>
      <c r="T25" s="382">
        <f t="shared" si="0"/>
        <v>2094</v>
      </c>
      <c r="U25" s="669">
        <f t="shared" si="1"/>
        <v>0</v>
      </c>
      <c r="V25" s="890">
        <f t="shared" si="3"/>
        <v>0</v>
      </c>
    </row>
    <row r="26" spans="2:22" ht="15">
      <c r="B26" s="30">
        <f t="shared" si="4"/>
        <v>18</v>
      </c>
      <c r="C26" s="41">
        <v>4</v>
      </c>
      <c r="D26" s="42" t="s">
        <v>134</v>
      </c>
      <c r="E26" s="136"/>
      <c r="F26" s="153"/>
      <c r="G26" s="157"/>
      <c r="H26" s="157"/>
      <c r="I26" s="157">
        <f>I27</f>
        <v>15000</v>
      </c>
      <c r="J26" s="852">
        <f t="shared" si="5"/>
        <v>15000</v>
      </c>
      <c r="K26" s="672">
        <f>K27</f>
        <v>4000</v>
      </c>
      <c r="L26" s="891">
        <f t="shared" si="2"/>
        <v>26.666666666666668</v>
      </c>
      <c r="M26" s="260"/>
      <c r="N26" s="254"/>
      <c r="O26" s="153"/>
      <c r="P26" s="859">
        <v>0</v>
      </c>
      <c r="Q26" s="672"/>
      <c r="R26" s="891"/>
      <c r="S26" s="260"/>
      <c r="T26" s="860">
        <f t="shared" si="0"/>
        <v>15000</v>
      </c>
      <c r="U26" s="672">
        <f t="shared" si="1"/>
        <v>4000</v>
      </c>
      <c r="V26" s="891">
        <f t="shared" si="3"/>
        <v>26.666666666666668</v>
      </c>
    </row>
    <row r="27" spans="2:22" ht="12.75">
      <c r="B27" s="30">
        <f t="shared" si="4"/>
        <v>19</v>
      </c>
      <c r="C27" s="28"/>
      <c r="D27" s="2"/>
      <c r="E27" s="145" t="s">
        <v>199</v>
      </c>
      <c r="F27" s="327"/>
      <c r="G27" s="328"/>
      <c r="H27" s="329"/>
      <c r="I27" s="328">
        <v>15000</v>
      </c>
      <c r="J27" s="627">
        <f t="shared" si="5"/>
        <v>15000</v>
      </c>
      <c r="K27" s="669">
        <v>4000</v>
      </c>
      <c r="L27" s="890">
        <f t="shared" si="2"/>
        <v>26.666666666666668</v>
      </c>
      <c r="M27" s="35"/>
      <c r="N27" s="386"/>
      <c r="O27" s="358"/>
      <c r="P27" s="657">
        <f>SUM(N27:O27)</f>
        <v>0</v>
      </c>
      <c r="Q27" s="669"/>
      <c r="R27" s="890"/>
      <c r="S27" s="381"/>
      <c r="T27" s="383">
        <f t="shared" si="0"/>
        <v>15000</v>
      </c>
      <c r="U27" s="669">
        <f t="shared" si="1"/>
        <v>4000</v>
      </c>
      <c r="V27" s="890">
        <f t="shared" si="3"/>
        <v>26.666666666666668</v>
      </c>
    </row>
    <row r="28" spans="2:22" ht="15">
      <c r="B28" s="30">
        <f t="shared" si="4"/>
        <v>20</v>
      </c>
      <c r="C28" s="41">
        <v>5</v>
      </c>
      <c r="D28" s="42" t="s">
        <v>135</v>
      </c>
      <c r="E28" s="136"/>
      <c r="F28" s="153"/>
      <c r="G28" s="157"/>
      <c r="H28" s="157"/>
      <c r="I28" s="157"/>
      <c r="J28" s="852">
        <f t="shared" si="5"/>
        <v>0</v>
      </c>
      <c r="K28" s="672">
        <f>K29</f>
        <v>3095</v>
      </c>
      <c r="L28" s="891"/>
      <c r="M28" s="260"/>
      <c r="N28" s="259"/>
      <c r="O28" s="158"/>
      <c r="P28" s="859">
        <v>0</v>
      </c>
      <c r="Q28" s="672"/>
      <c r="R28" s="891"/>
      <c r="S28" s="260"/>
      <c r="T28" s="860">
        <f t="shared" si="0"/>
        <v>0</v>
      </c>
      <c r="U28" s="672">
        <f t="shared" si="1"/>
        <v>3095</v>
      </c>
      <c r="V28" s="891"/>
    </row>
    <row r="29" spans="2:22" ht="12.75">
      <c r="B29" s="30">
        <f t="shared" si="4"/>
        <v>21</v>
      </c>
      <c r="C29" s="28"/>
      <c r="D29" s="2"/>
      <c r="E29" s="440" t="s">
        <v>315</v>
      </c>
      <c r="F29" s="330"/>
      <c r="G29" s="330"/>
      <c r="H29" s="329"/>
      <c r="I29" s="331"/>
      <c r="J29" s="627">
        <f t="shared" si="5"/>
        <v>0</v>
      </c>
      <c r="K29" s="669">
        <v>3095</v>
      </c>
      <c r="L29" s="890"/>
      <c r="M29" s="35"/>
      <c r="N29" s="348"/>
      <c r="O29" s="327"/>
      <c r="P29" s="621">
        <f>SUM(N29:O29)</f>
        <v>0</v>
      </c>
      <c r="Q29" s="669"/>
      <c r="R29" s="890"/>
      <c r="S29" s="381"/>
      <c r="T29" s="383">
        <f t="shared" si="0"/>
        <v>0</v>
      </c>
      <c r="U29" s="669">
        <f t="shared" si="1"/>
        <v>3095</v>
      </c>
      <c r="V29" s="890"/>
    </row>
    <row r="30" spans="2:22" ht="15.75" thickBot="1">
      <c r="B30" s="31">
        <f t="shared" si="4"/>
        <v>22</v>
      </c>
      <c r="C30" s="56">
        <v>6</v>
      </c>
      <c r="D30" s="57" t="s">
        <v>275</v>
      </c>
      <c r="E30" s="400"/>
      <c r="F30" s="161">
        <v>62270</v>
      </c>
      <c r="G30" s="162">
        <v>22106</v>
      </c>
      <c r="H30" s="162">
        <v>10624</v>
      </c>
      <c r="I30" s="162"/>
      <c r="J30" s="878">
        <f t="shared" si="5"/>
        <v>95000</v>
      </c>
      <c r="K30" s="673">
        <f>12012+62749</f>
        <v>74761</v>
      </c>
      <c r="L30" s="906">
        <f t="shared" si="2"/>
        <v>78.69578947368421</v>
      </c>
      <c r="M30" s="260"/>
      <c r="N30" s="259"/>
      <c r="O30" s="158"/>
      <c r="P30" s="862">
        <v>0</v>
      </c>
      <c r="Q30" s="673"/>
      <c r="R30" s="906"/>
      <c r="S30" s="260"/>
      <c r="T30" s="861">
        <f t="shared" si="0"/>
        <v>95000</v>
      </c>
      <c r="U30" s="673">
        <f t="shared" si="1"/>
        <v>74761</v>
      </c>
      <c r="V30" s="906">
        <f t="shared" si="3"/>
        <v>78.69578947368421</v>
      </c>
    </row>
    <row r="31" spans="10:12" ht="12.75">
      <c r="J31" s="19"/>
      <c r="K31" s="671"/>
      <c r="L31" s="671"/>
    </row>
    <row r="32" ht="12.75">
      <c r="Q32" s="19"/>
    </row>
    <row r="33" ht="12.75">
      <c r="K33" s="671"/>
    </row>
  </sheetData>
  <sheetProtection/>
  <mergeCells count="22">
    <mergeCell ref="T4:T8"/>
    <mergeCell ref="N6:P6"/>
    <mergeCell ref="N7:N8"/>
    <mergeCell ref="R4:R8"/>
    <mergeCell ref="N5:P5"/>
    <mergeCell ref="O7:O8"/>
    <mergeCell ref="E6:J6"/>
    <mergeCell ref="P7:P8"/>
    <mergeCell ref="H7:H8"/>
    <mergeCell ref="I7:I8"/>
    <mergeCell ref="L5:L8"/>
    <mergeCell ref="K7:K8"/>
    <mergeCell ref="V4:V8"/>
    <mergeCell ref="Q7:Q8"/>
    <mergeCell ref="U4:U8"/>
    <mergeCell ref="B5:J5"/>
    <mergeCell ref="B4:P4"/>
    <mergeCell ref="D6:D8"/>
    <mergeCell ref="F7:F8"/>
    <mergeCell ref="G7:G8"/>
    <mergeCell ref="J7:J8"/>
    <mergeCell ref="C6:C8"/>
  </mergeCells>
  <printOptions/>
  <pageMargins left="0.1968503937007874" right="0.2362204724409449" top="0.6692913385826772" bottom="0.2755905511811024" header="0.5118110236220472" footer="0.196850393700787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421875" style="171" customWidth="1"/>
    <col min="2" max="2" width="3.7109375" style="6" customWidth="1"/>
    <col min="3" max="3" width="3.00390625" style="5" customWidth="1"/>
    <col min="4" max="4" width="2.28125" style="0" customWidth="1"/>
    <col min="5" max="5" width="41.421875" style="0" customWidth="1"/>
    <col min="6" max="6" width="10.00390625" style="0" customWidth="1"/>
    <col min="7" max="7" width="8.8515625" style="0" customWidth="1"/>
    <col min="8" max="8" width="10.00390625" style="0" customWidth="1"/>
    <col min="9" max="9" width="8.421875" style="0" customWidth="1"/>
    <col min="10" max="10" width="14.140625" style="0" customWidth="1"/>
    <col min="11" max="11" width="12.140625" style="487" customWidth="1"/>
    <col min="12" max="12" width="7.28125" style="487" customWidth="1"/>
    <col min="13" max="13" width="1.28515625" style="121" customWidth="1"/>
    <col min="14" max="15" width="5.8515625" style="0" customWidth="1"/>
    <col min="16" max="16" width="13.140625" style="0" customWidth="1"/>
    <col min="17" max="17" width="2.28125" style="171" customWidth="1"/>
    <col min="18" max="18" width="13.140625" style="0" customWidth="1"/>
    <col min="19" max="19" width="11.140625" style="152" customWidth="1"/>
    <col min="20" max="20" width="6.421875" style="989" customWidth="1"/>
    <col min="21" max="21" width="9.8515625" style="0" bestFit="1" customWidth="1"/>
  </cols>
  <sheetData>
    <row r="1" spans="10:19" ht="12" customHeight="1">
      <c r="J1" s="188"/>
      <c r="K1" s="50"/>
      <c r="L1" s="50"/>
      <c r="M1" s="289"/>
      <c r="N1" s="44"/>
      <c r="O1" s="44"/>
      <c r="P1" s="50"/>
      <c r="Q1" s="185"/>
      <c r="R1" s="263"/>
      <c r="S1" s="306"/>
    </row>
    <row r="2" spans="3:18" ht="27">
      <c r="C2" s="264" t="s">
        <v>254</v>
      </c>
      <c r="J2" s="196"/>
      <c r="K2" s="682"/>
      <c r="L2" s="682"/>
      <c r="M2" s="196"/>
      <c r="P2" s="248"/>
      <c r="R2" s="248"/>
    </row>
    <row r="3" spans="10:13" ht="6.75" customHeight="1" thickBot="1">
      <c r="J3" s="185"/>
      <c r="K3" s="737"/>
      <c r="L3" s="737"/>
      <c r="M3" s="171"/>
    </row>
    <row r="4" spans="2:20" ht="12.75" customHeight="1" thickBot="1">
      <c r="B4" s="1184" t="s">
        <v>306</v>
      </c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6"/>
      <c r="O4" s="1186"/>
      <c r="P4" s="1187"/>
      <c r="Q4" s="265"/>
      <c r="R4" s="1100" t="s">
        <v>405</v>
      </c>
      <c r="S4" s="1096" t="s">
        <v>465</v>
      </c>
      <c r="T4" s="1134" t="s">
        <v>406</v>
      </c>
    </row>
    <row r="5" spans="2:20" ht="18.75" customHeight="1" thickTop="1">
      <c r="B5" s="1143" t="s">
        <v>11</v>
      </c>
      <c r="C5" s="1144"/>
      <c r="D5" s="1144"/>
      <c r="E5" s="1144"/>
      <c r="F5" s="1144"/>
      <c r="G5" s="1144"/>
      <c r="H5" s="1144"/>
      <c r="I5" s="1144"/>
      <c r="J5" s="1145"/>
      <c r="K5" s="683"/>
      <c r="L5" s="1176" t="s">
        <v>406</v>
      </c>
      <c r="M5" s="407"/>
      <c r="N5" s="1181" t="s">
        <v>294</v>
      </c>
      <c r="O5" s="1182"/>
      <c r="P5" s="1183"/>
      <c r="Q5" s="291"/>
      <c r="R5" s="1101"/>
      <c r="S5" s="1097"/>
      <c r="T5" s="1135"/>
    </row>
    <row r="6" spans="2:20" ht="12.75" customHeight="1">
      <c r="B6" s="40"/>
      <c r="C6" s="1106" t="s">
        <v>147</v>
      </c>
      <c r="D6" s="1106" t="s">
        <v>148</v>
      </c>
      <c r="E6" s="1178" t="s">
        <v>10</v>
      </c>
      <c r="F6" s="1179"/>
      <c r="G6" s="1179"/>
      <c r="H6" s="1179"/>
      <c r="I6" s="1179"/>
      <c r="J6" s="1180"/>
      <c r="K6" s="714"/>
      <c r="L6" s="1132"/>
      <c r="M6" s="392"/>
      <c r="N6" s="1118" t="s">
        <v>10</v>
      </c>
      <c r="O6" s="1119"/>
      <c r="P6" s="1120"/>
      <c r="Q6" s="292"/>
      <c r="R6" s="1101"/>
      <c r="S6" s="1097"/>
      <c r="T6" s="1135"/>
    </row>
    <row r="7" spans="2:20" ht="27.75" customHeight="1">
      <c r="B7" s="40"/>
      <c r="C7" s="1107"/>
      <c r="D7" s="1107"/>
      <c r="E7" s="51" t="s">
        <v>4</v>
      </c>
      <c r="F7" s="1111">
        <v>610</v>
      </c>
      <c r="G7" s="1113">
        <v>620</v>
      </c>
      <c r="H7" s="1113">
        <v>630</v>
      </c>
      <c r="I7" s="1113">
        <v>640</v>
      </c>
      <c r="J7" s="1125" t="s">
        <v>492</v>
      </c>
      <c r="K7" s="1094" t="s">
        <v>465</v>
      </c>
      <c r="L7" s="1132"/>
      <c r="M7" s="168"/>
      <c r="N7" s="1146">
        <v>716</v>
      </c>
      <c r="O7" s="1098">
        <v>717</v>
      </c>
      <c r="P7" s="1125" t="s">
        <v>492</v>
      </c>
      <c r="Q7" s="168"/>
      <c r="R7" s="1101"/>
      <c r="S7" s="1097"/>
      <c r="T7" s="1135"/>
    </row>
    <row r="8" spans="2:20" ht="32.25" customHeight="1" thickBot="1">
      <c r="B8" s="45"/>
      <c r="C8" s="1108"/>
      <c r="D8" s="1108"/>
      <c r="E8" s="52"/>
      <c r="F8" s="1112"/>
      <c r="G8" s="1099"/>
      <c r="H8" s="1099"/>
      <c r="I8" s="1099"/>
      <c r="J8" s="1110"/>
      <c r="K8" s="1095"/>
      <c r="L8" s="1177"/>
      <c r="M8" s="412"/>
      <c r="N8" s="1122"/>
      <c r="O8" s="1099"/>
      <c r="P8" s="1110"/>
      <c r="Q8" s="307"/>
      <c r="R8" s="1102"/>
      <c r="S8" s="1097"/>
      <c r="T8" s="1135"/>
    </row>
    <row r="9" spans="2:21" ht="24.75" customHeight="1" thickBot="1" thickTop="1">
      <c r="B9" s="30">
        <v>1</v>
      </c>
      <c r="C9" s="396" t="s">
        <v>255</v>
      </c>
      <c r="D9" s="280"/>
      <c r="E9" s="281"/>
      <c r="F9" s="277">
        <f>F10+F12+F13+F14+F18+F28+F31+F33+F34+F36+F38</f>
        <v>737600</v>
      </c>
      <c r="G9" s="277">
        <f>G10+G12+G13+G14+G18+G28+G31+G33+G34+G36+G38</f>
        <v>258800</v>
      </c>
      <c r="H9" s="277">
        <f>H10+H12+H13+H14+H18+H28+H31+H33+H34+H36+H38</f>
        <v>493631</v>
      </c>
      <c r="I9" s="277">
        <f>I10+I12+I13+I14+I18+I28+I31+I33+I34+I36+I38</f>
        <v>39969</v>
      </c>
      <c r="J9" s="879">
        <f>SUM(F9:I9)</f>
        <v>1530000</v>
      </c>
      <c r="K9" s="676">
        <f>K10+K12+K13+K14+K18+K28+K31+K33+K34+K36+K38</f>
        <v>800203</v>
      </c>
      <c r="L9" s="907">
        <f>K9/J9*100</f>
        <v>52.300849673202606</v>
      </c>
      <c r="M9" s="408"/>
      <c r="N9" s="279">
        <f>SUM(N10:N11)</f>
        <v>0</v>
      </c>
      <c r="O9" s="277">
        <f>O10+O12+O13+O14+O18+O28+O31+O33+O34+O36</f>
        <v>0</v>
      </c>
      <c r="P9" s="879">
        <f>SUM(N9:O9)</f>
        <v>0</v>
      </c>
      <c r="Q9" s="308"/>
      <c r="R9" s="857">
        <f aca="true" t="shared" si="0" ref="R9:R16">J9+P9</f>
        <v>1530000</v>
      </c>
      <c r="S9" s="676">
        <f>K9</f>
        <v>800203</v>
      </c>
      <c r="T9" s="901">
        <f>S9/R9*100</f>
        <v>52.300849673202606</v>
      </c>
      <c r="U9" s="19"/>
    </row>
    <row r="10" spans="2:20" ht="15.75" thickTop="1">
      <c r="B10" s="30">
        <f aca="true" t="shared" si="1" ref="B10:B39">B9+1</f>
        <v>2</v>
      </c>
      <c r="C10" s="41">
        <v>1</v>
      </c>
      <c r="D10" s="42" t="s">
        <v>112</v>
      </c>
      <c r="E10" s="43"/>
      <c r="F10" s="153">
        <f>F11</f>
        <v>70000</v>
      </c>
      <c r="G10" s="157">
        <f>G11</f>
        <v>24600</v>
      </c>
      <c r="H10" s="157">
        <f>H11</f>
        <v>45000</v>
      </c>
      <c r="I10" s="157">
        <f>I11</f>
        <v>3000</v>
      </c>
      <c r="J10" s="858">
        <f aca="true" t="shared" si="2" ref="J10:J27">SUM(F10:I10)</f>
        <v>142600</v>
      </c>
      <c r="K10" s="675">
        <f>K11</f>
        <v>81157</v>
      </c>
      <c r="L10" s="899">
        <f aca="true" t="shared" si="3" ref="L10:L39">K10/J10*100</f>
        <v>56.91234221598877</v>
      </c>
      <c r="M10" s="186"/>
      <c r="N10" s="254"/>
      <c r="O10" s="157"/>
      <c r="P10" s="880"/>
      <c r="Q10" s="186"/>
      <c r="R10" s="860">
        <f t="shared" si="0"/>
        <v>142600</v>
      </c>
      <c r="S10" s="675">
        <f aca="true" t="shared" si="4" ref="S10:S39">K10</f>
        <v>81157</v>
      </c>
      <c r="T10" s="889">
        <f aca="true" t="shared" si="5" ref="T10:T39">S10/R10*100</f>
        <v>56.91234221598877</v>
      </c>
    </row>
    <row r="11" spans="2:20" ht="12.75">
      <c r="B11" s="30">
        <f t="shared" si="1"/>
        <v>3</v>
      </c>
      <c r="C11" s="28"/>
      <c r="D11" s="2"/>
      <c r="E11" s="140" t="s">
        <v>221</v>
      </c>
      <c r="F11" s="327">
        <v>70000</v>
      </c>
      <c r="G11" s="328">
        <v>24600</v>
      </c>
      <c r="H11" s="329">
        <v>45000</v>
      </c>
      <c r="I11" s="328">
        <v>3000</v>
      </c>
      <c r="J11" s="627">
        <f t="shared" si="2"/>
        <v>142600</v>
      </c>
      <c r="K11" s="735">
        <v>81157</v>
      </c>
      <c r="L11" s="898">
        <f t="shared" si="3"/>
        <v>56.91234221598877</v>
      </c>
      <c r="M11" s="170"/>
      <c r="N11" s="362"/>
      <c r="O11" s="349"/>
      <c r="P11" s="627"/>
      <c r="Q11" s="170"/>
      <c r="R11" s="383">
        <f t="shared" si="0"/>
        <v>142600</v>
      </c>
      <c r="S11" s="735">
        <f t="shared" si="4"/>
        <v>81157</v>
      </c>
      <c r="T11" s="1022">
        <f t="shared" si="5"/>
        <v>56.91234221598877</v>
      </c>
    </row>
    <row r="12" spans="2:20" ht="15">
      <c r="B12" s="30">
        <f t="shared" si="1"/>
        <v>4</v>
      </c>
      <c r="C12" s="41">
        <v>2</v>
      </c>
      <c r="D12" s="42" t="s">
        <v>177</v>
      </c>
      <c r="E12" s="135"/>
      <c r="F12" s="153"/>
      <c r="G12" s="157"/>
      <c r="H12" s="157"/>
      <c r="I12" s="157">
        <v>2000</v>
      </c>
      <c r="J12" s="852">
        <f>I12</f>
        <v>2000</v>
      </c>
      <c r="K12" s="672">
        <v>0</v>
      </c>
      <c r="L12" s="899">
        <f t="shared" si="3"/>
        <v>0</v>
      </c>
      <c r="M12" s="186"/>
      <c r="N12" s="259"/>
      <c r="O12" s="159"/>
      <c r="P12" s="881"/>
      <c r="Q12" s="186"/>
      <c r="R12" s="860">
        <f t="shared" si="0"/>
        <v>2000</v>
      </c>
      <c r="S12" s="672">
        <f t="shared" si="4"/>
        <v>0</v>
      </c>
      <c r="T12" s="891">
        <f t="shared" si="5"/>
        <v>0</v>
      </c>
    </row>
    <row r="13" spans="2:20" ht="15" customHeight="1">
      <c r="B13" s="30">
        <f t="shared" si="1"/>
        <v>5</v>
      </c>
      <c r="C13" s="41">
        <v>3</v>
      </c>
      <c r="D13" s="42" t="s">
        <v>3</v>
      </c>
      <c r="E13" s="819"/>
      <c r="F13" s="153"/>
      <c r="G13" s="157"/>
      <c r="H13" s="157"/>
      <c r="I13" s="157"/>
      <c r="J13" s="852">
        <f t="shared" si="2"/>
        <v>0</v>
      </c>
      <c r="K13" s="672">
        <v>0</v>
      </c>
      <c r="L13" s="899"/>
      <c r="M13" s="186"/>
      <c r="N13" s="259"/>
      <c r="O13" s="159"/>
      <c r="P13" s="881"/>
      <c r="Q13" s="186"/>
      <c r="R13" s="860">
        <f t="shared" si="0"/>
        <v>0</v>
      </c>
      <c r="S13" s="672">
        <f t="shared" si="4"/>
        <v>0</v>
      </c>
      <c r="T13" s="891"/>
    </row>
    <row r="14" spans="2:20" ht="15" customHeight="1">
      <c r="B14" s="30">
        <f t="shared" si="1"/>
        <v>6</v>
      </c>
      <c r="C14" s="41">
        <v>4</v>
      </c>
      <c r="D14" s="42" t="s">
        <v>178</v>
      </c>
      <c r="E14" s="135"/>
      <c r="F14" s="153">
        <f>SUM(F15:F16)</f>
        <v>2500</v>
      </c>
      <c r="G14" s="153">
        <f>SUM(G15:G16)</f>
        <v>800</v>
      </c>
      <c r="H14" s="153">
        <f>SUM(H15:H16)</f>
        <v>2000</v>
      </c>
      <c r="I14" s="153">
        <f>SUM(I15:I16)</f>
        <v>8300</v>
      </c>
      <c r="J14" s="852">
        <f t="shared" si="2"/>
        <v>13600</v>
      </c>
      <c r="K14" s="672">
        <f>K15+K16+K17</f>
        <v>45328</v>
      </c>
      <c r="L14" s="899">
        <f t="shared" si="3"/>
        <v>333.29411764705884</v>
      </c>
      <c r="M14" s="186"/>
      <c r="N14" s="254"/>
      <c r="O14" s="157"/>
      <c r="P14" s="881"/>
      <c r="Q14" s="186"/>
      <c r="R14" s="860">
        <f t="shared" si="0"/>
        <v>13600</v>
      </c>
      <c r="S14" s="672">
        <f t="shared" si="4"/>
        <v>45328</v>
      </c>
      <c r="T14" s="891">
        <f t="shared" si="5"/>
        <v>333.29411764705884</v>
      </c>
    </row>
    <row r="15" spans="2:20" ht="12.75">
      <c r="B15" s="30">
        <f t="shared" si="1"/>
        <v>7</v>
      </c>
      <c r="C15" s="39"/>
      <c r="D15" s="14"/>
      <c r="E15" s="140" t="s">
        <v>223</v>
      </c>
      <c r="F15" s="330">
        <v>2500</v>
      </c>
      <c r="G15" s="331">
        <v>800</v>
      </c>
      <c r="H15" s="332">
        <v>2000</v>
      </c>
      <c r="I15" s="331"/>
      <c r="J15" s="627">
        <f>SUM(F15:I15)</f>
        <v>5300</v>
      </c>
      <c r="K15" s="669">
        <v>33340</v>
      </c>
      <c r="L15" s="898">
        <f t="shared" si="3"/>
        <v>629.0566037735849</v>
      </c>
      <c r="M15" s="170"/>
      <c r="N15" s="365"/>
      <c r="O15" s="328"/>
      <c r="P15" s="627"/>
      <c r="Q15" s="170"/>
      <c r="R15" s="383">
        <f t="shared" si="0"/>
        <v>5300</v>
      </c>
      <c r="S15" s="669">
        <f t="shared" si="4"/>
        <v>33340</v>
      </c>
      <c r="T15" s="890">
        <f t="shared" si="5"/>
        <v>629.0566037735849</v>
      </c>
    </row>
    <row r="16" spans="2:20" ht="12.75">
      <c r="B16" s="30">
        <f t="shared" si="1"/>
        <v>8</v>
      </c>
      <c r="C16" s="32"/>
      <c r="D16" s="14"/>
      <c r="E16" s="820" t="s">
        <v>344</v>
      </c>
      <c r="F16" s="330"/>
      <c r="G16" s="330"/>
      <c r="H16" s="357"/>
      <c r="I16" s="330">
        <v>8300</v>
      </c>
      <c r="J16" s="627">
        <f>SUM(F16:I16)</f>
        <v>8300</v>
      </c>
      <c r="K16" s="669">
        <v>8300</v>
      </c>
      <c r="L16" s="898">
        <f t="shared" si="3"/>
        <v>100</v>
      </c>
      <c r="M16" s="170"/>
      <c r="N16" s="368"/>
      <c r="O16" s="331"/>
      <c r="P16" s="627"/>
      <c r="Q16" s="170"/>
      <c r="R16" s="383">
        <f t="shared" si="0"/>
        <v>8300</v>
      </c>
      <c r="S16" s="669">
        <f t="shared" si="4"/>
        <v>8300</v>
      </c>
      <c r="T16" s="890">
        <f t="shared" si="5"/>
        <v>100</v>
      </c>
    </row>
    <row r="17" spans="2:20" ht="12.75">
      <c r="B17" s="30">
        <f t="shared" si="1"/>
        <v>9</v>
      </c>
      <c r="C17" s="32"/>
      <c r="D17" s="503"/>
      <c r="E17" s="726" t="s">
        <v>442</v>
      </c>
      <c r="F17" s="330"/>
      <c r="G17" s="330"/>
      <c r="H17" s="357"/>
      <c r="I17" s="330"/>
      <c r="J17" s="627"/>
      <c r="K17" s="669">
        <v>3688</v>
      </c>
      <c r="L17" s="898"/>
      <c r="M17" s="170"/>
      <c r="N17" s="368"/>
      <c r="O17" s="331"/>
      <c r="P17" s="627"/>
      <c r="Q17" s="170"/>
      <c r="R17" s="725"/>
      <c r="S17" s="669">
        <f t="shared" si="4"/>
        <v>3688</v>
      </c>
      <c r="T17" s="890"/>
    </row>
    <row r="18" spans="2:20" ht="15">
      <c r="B18" s="30">
        <f t="shared" si="1"/>
        <v>10</v>
      </c>
      <c r="C18" s="41">
        <v>5</v>
      </c>
      <c r="D18" s="42" t="s">
        <v>179</v>
      </c>
      <c r="E18" s="135"/>
      <c r="F18" s="153">
        <f>F19+F20+F23</f>
        <v>79000</v>
      </c>
      <c r="G18" s="153">
        <f>G19+G20+G23</f>
        <v>27800</v>
      </c>
      <c r="H18" s="153">
        <f>H19+H20+H23</f>
        <v>174431</v>
      </c>
      <c r="I18" s="153">
        <f>I19+I20+I23</f>
        <v>17269</v>
      </c>
      <c r="J18" s="852">
        <f t="shared" si="2"/>
        <v>298500</v>
      </c>
      <c r="K18" s="672">
        <f>K19+K20+K23</f>
        <v>122205</v>
      </c>
      <c r="L18" s="899">
        <f t="shared" si="3"/>
        <v>40.93969849246231</v>
      </c>
      <c r="M18" s="186"/>
      <c r="N18" s="254"/>
      <c r="O18" s="157"/>
      <c r="P18" s="881"/>
      <c r="Q18" s="186"/>
      <c r="R18" s="860">
        <f aca="true" t="shared" si="6" ref="R18:R34">J18+P18</f>
        <v>298500</v>
      </c>
      <c r="S18" s="672">
        <f t="shared" si="4"/>
        <v>122205</v>
      </c>
      <c r="T18" s="891">
        <f t="shared" si="5"/>
        <v>40.93969849246231</v>
      </c>
    </row>
    <row r="19" spans="2:20" ht="12.75">
      <c r="B19" s="30">
        <f t="shared" si="1"/>
        <v>11</v>
      </c>
      <c r="C19" s="28"/>
      <c r="D19" s="63" t="s">
        <v>5</v>
      </c>
      <c r="E19" s="314" t="s">
        <v>113</v>
      </c>
      <c r="F19" s="333"/>
      <c r="G19" s="334"/>
      <c r="H19" s="335">
        <v>50000</v>
      </c>
      <c r="I19" s="334"/>
      <c r="J19" s="633">
        <f t="shared" si="2"/>
        <v>50000</v>
      </c>
      <c r="K19" s="668">
        <f>604+3155+4632</f>
        <v>8391</v>
      </c>
      <c r="L19" s="898">
        <f t="shared" si="3"/>
        <v>16.782</v>
      </c>
      <c r="M19" s="170"/>
      <c r="N19" s="342"/>
      <c r="O19" s="343"/>
      <c r="P19" s="633"/>
      <c r="Q19" s="170"/>
      <c r="R19" s="405">
        <f t="shared" si="6"/>
        <v>50000</v>
      </c>
      <c r="S19" s="668">
        <f t="shared" si="4"/>
        <v>8391</v>
      </c>
      <c r="T19" s="890">
        <f t="shared" si="5"/>
        <v>16.782</v>
      </c>
    </row>
    <row r="20" spans="1:20" ht="12.75">
      <c r="A20" s="200"/>
      <c r="B20" s="30">
        <f t="shared" si="1"/>
        <v>12</v>
      </c>
      <c r="C20" s="39"/>
      <c r="D20" s="59" t="s">
        <v>6</v>
      </c>
      <c r="E20" s="321" t="s">
        <v>265</v>
      </c>
      <c r="F20" s="336">
        <f>F21</f>
        <v>79000</v>
      </c>
      <c r="G20" s="337">
        <f>G21</f>
        <v>27800</v>
      </c>
      <c r="H20" s="337">
        <f>H21+H22</f>
        <v>107400</v>
      </c>
      <c r="I20" s="337">
        <f>I21+I22</f>
        <v>2600</v>
      </c>
      <c r="J20" s="633">
        <f>SUM(F20:I20)</f>
        <v>216800</v>
      </c>
      <c r="K20" s="668">
        <f>K21</f>
        <v>94274</v>
      </c>
      <c r="L20" s="898">
        <f t="shared" si="3"/>
        <v>43.48431734317344</v>
      </c>
      <c r="M20" s="170"/>
      <c r="N20" s="342"/>
      <c r="O20" s="343"/>
      <c r="P20" s="633"/>
      <c r="Q20" s="170"/>
      <c r="R20" s="405">
        <f t="shared" si="6"/>
        <v>216800</v>
      </c>
      <c r="S20" s="668">
        <f t="shared" si="4"/>
        <v>94274</v>
      </c>
      <c r="T20" s="890">
        <f t="shared" si="5"/>
        <v>43.48431734317344</v>
      </c>
    </row>
    <row r="21" spans="2:20" ht="12.75">
      <c r="B21" s="30">
        <f t="shared" si="1"/>
        <v>13</v>
      </c>
      <c r="C21" s="39"/>
      <c r="D21" s="14"/>
      <c r="E21" s="140" t="s">
        <v>223</v>
      </c>
      <c r="F21" s="330">
        <v>79000</v>
      </c>
      <c r="G21" s="331">
        <v>27800</v>
      </c>
      <c r="H21" s="332">
        <v>93000</v>
      </c>
      <c r="I21" s="331">
        <v>2600</v>
      </c>
      <c r="J21" s="627">
        <f t="shared" si="2"/>
        <v>202400</v>
      </c>
      <c r="K21" s="669">
        <v>94274</v>
      </c>
      <c r="L21" s="898">
        <f t="shared" si="3"/>
        <v>46.57806324110672</v>
      </c>
      <c r="M21" s="170"/>
      <c r="N21" s="362"/>
      <c r="O21" s="349"/>
      <c r="P21" s="627"/>
      <c r="Q21" s="170"/>
      <c r="R21" s="382">
        <f t="shared" si="6"/>
        <v>202400</v>
      </c>
      <c r="S21" s="669">
        <f t="shared" si="4"/>
        <v>94274</v>
      </c>
      <c r="T21" s="890">
        <f t="shared" si="5"/>
        <v>46.57806324110672</v>
      </c>
    </row>
    <row r="22" spans="2:20" ht="12.75">
      <c r="B22" s="30">
        <f t="shared" si="1"/>
        <v>14</v>
      </c>
      <c r="C22" s="39"/>
      <c r="D22" s="14"/>
      <c r="E22" s="140" t="s">
        <v>309</v>
      </c>
      <c r="F22" s="330"/>
      <c r="G22" s="331"/>
      <c r="H22" s="332">
        <v>14400</v>
      </c>
      <c r="I22" s="331"/>
      <c r="J22" s="627">
        <f t="shared" si="2"/>
        <v>14400</v>
      </c>
      <c r="K22" s="669"/>
      <c r="L22" s="898">
        <f t="shared" si="3"/>
        <v>0</v>
      </c>
      <c r="M22" s="170"/>
      <c r="N22" s="362"/>
      <c r="O22" s="349"/>
      <c r="P22" s="627"/>
      <c r="Q22" s="170"/>
      <c r="R22" s="382">
        <f t="shared" si="6"/>
        <v>14400</v>
      </c>
      <c r="S22" s="669">
        <f t="shared" si="4"/>
        <v>0</v>
      </c>
      <c r="T22" s="890">
        <f t="shared" si="5"/>
        <v>0</v>
      </c>
    </row>
    <row r="23" spans="2:20" ht="12.75">
      <c r="B23" s="30">
        <f t="shared" si="1"/>
        <v>15</v>
      </c>
      <c r="C23" s="28"/>
      <c r="D23" s="63" t="s">
        <v>7</v>
      </c>
      <c r="E23" s="821" t="s">
        <v>200</v>
      </c>
      <c r="F23" s="333"/>
      <c r="G23" s="334"/>
      <c r="H23" s="335">
        <f>H26+H27</f>
        <v>17031</v>
      </c>
      <c r="I23" s="334">
        <f>SUM(I24:I27)</f>
        <v>14669</v>
      </c>
      <c r="J23" s="633">
        <f t="shared" si="2"/>
        <v>31700</v>
      </c>
      <c r="K23" s="668">
        <f>SUM(K24:K27)</f>
        <v>19540</v>
      </c>
      <c r="L23" s="898">
        <f t="shared" si="3"/>
        <v>61.6403785488959</v>
      </c>
      <c r="M23" s="170"/>
      <c r="N23" s="342"/>
      <c r="O23" s="343"/>
      <c r="P23" s="633"/>
      <c r="Q23" s="170"/>
      <c r="R23" s="405">
        <f t="shared" si="6"/>
        <v>31700</v>
      </c>
      <c r="S23" s="668">
        <f t="shared" si="4"/>
        <v>19540</v>
      </c>
      <c r="T23" s="890">
        <f t="shared" si="5"/>
        <v>61.6403785488959</v>
      </c>
    </row>
    <row r="24" spans="2:20" ht="12.75">
      <c r="B24" s="30">
        <f t="shared" si="1"/>
        <v>16</v>
      </c>
      <c r="C24" s="28"/>
      <c r="D24" s="14"/>
      <c r="E24" s="822" t="s">
        <v>317</v>
      </c>
      <c r="F24" s="330"/>
      <c r="G24" s="331"/>
      <c r="H24" s="332"/>
      <c r="I24" s="331">
        <f>15000-5000</f>
        <v>10000</v>
      </c>
      <c r="J24" s="627">
        <f t="shared" si="2"/>
        <v>10000</v>
      </c>
      <c r="K24" s="669">
        <v>4669</v>
      </c>
      <c r="L24" s="898">
        <f t="shared" si="3"/>
        <v>46.69</v>
      </c>
      <c r="M24" s="170"/>
      <c r="N24" s="365"/>
      <c r="O24" s="328"/>
      <c r="P24" s="627"/>
      <c r="Q24" s="170"/>
      <c r="R24" s="382">
        <f t="shared" si="6"/>
        <v>10000</v>
      </c>
      <c r="S24" s="669">
        <f t="shared" si="4"/>
        <v>4669</v>
      </c>
      <c r="T24" s="890">
        <f t="shared" si="5"/>
        <v>46.69</v>
      </c>
    </row>
    <row r="25" spans="2:20" ht="12.75">
      <c r="B25" s="30">
        <f t="shared" si="1"/>
        <v>17</v>
      </c>
      <c r="C25" s="29"/>
      <c r="D25" s="14"/>
      <c r="E25" s="820" t="s">
        <v>344</v>
      </c>
      <c r="F25" s="330"/>
      <c r="G25" s="331"/>
      <c r="H25" s="332"/>
      <c r="I25" s="331">
        <v>4669</v>
      </c>
      <c r="J25" s="627">
        <f t="shared" si="2"/>
        <v>4669</v>
      </c>
      <c r="K25" s="669">
        <v>4669</v>
      </c>
      <c r="L25" s="898">
        <f t="shared" si="3"/>
        <v>100</v>
      </c>
      <c r="M25" s="170"/>
      <c r="N25" s="368"/>
      <c r="O25" s="331"/>
      <c r="P25" s="627"/>
      <c r="Q25" s="170"/>
      <c r="R25" s="382">
        <f t="shared" si="6"/>
        <v>4669</v>
      </c>
      <c r="S25" s="669">
        <f t="shared" si="4"/>
        <v>4669</v>
      </c>
      <c r="T25" s="890">
        <f t="shared" si="5"/>
        <v>100</v>
      </c>
    </row>
    <row r="26" spans="2:20" ht="12.75">
      <c r="B26" s="30">
        <f t="shared" si="1"/>
        <v>18</v>
      </c>
      <c r="C26" s="29"/>
      <c r="D26" s="14"/>
      <c r="E26" s="822" t="s">
        <v>327</v>
      </c>
      <c r="F26" s="330"/>
      <c r="G26" s="331"/>
      <c r="H26" s="332">
        <f>1000+31</f>
        <v>1031</v>
      </c>
      <c r="I26" s="331"/>
      <c r="J26" s="627">
        <f t="shared" si="2"/>
        <v>1031</v>
      </c>
      <c r="K26" s="669">
        <f>8773+961-4669-4669</f>
        <v>396</v>
      </c>
      <c r="L26" s="898">
        <f t="shared" si="3"/>
        <v>38.40931134820563</v>
      </c>
      <c r="M26" s="170"/>
      <c r="N26" s="368"/>
      <c r="O26" s="331"/>
      <c r="P26" s="627"/>
      <c r="Q26" s="170"/>
      <c r="R26" s="382">
        <f t="shared" si="6"/>
        <v>1031</v>
      </c>
      <c r="S26" s="669">
        <f t="shared" si="4"/>
        <v>396</v>
      </c>
      <c r="T26" s="890">
        <f t="shared" si="5"/>
        <v>38.40931134820563</v>
      </c>
    </row>
    <row r="27" spans="2:20" ht="12.75">
      <c r="B27" s="30">
        <f t="shared" si="1"/>
        <v>19</v>
      </c>
      <c r="C27" s="29"/>
      <c r="D27" s="14"/>
      <c r="E27" s="140" t="s">
        <v>224</v>
      </c>
      <c r="F27" s="330"/>
      <c r="G27" s="331"/>
      <c r="H27" s="332">
        <v>16000</v>
      </c>
      <c r="I27" s="331"/>
      <c r="J27" s="627">
        <f t="shared" si="2"/>
        <v>16000</v>
      </c>
      <c r="K27" s="669">
        <v>9806</v>
      </c>
      <c r="L27" s="898">
        <f t="shared" si="3"/>
        <v>61.287499999999994</v>
      </c>
      <c r="M27" s="170"/>
      <c r="N27" s="368"/>
      <c r="O27" s="331"/>
      <c r="P27" s="627"/>
      <c r="Q27" s="170"/>
      <c r="R27" s="382">
        <f t="shared" si="6"/>
        <v>16000</v>
      </c>
      <c r="S27" s="669">
        <f t="shared" si="4"/>
        <v>9806</v>
      </c>
      <c r="T27" s="890">
        <f t="shared" si="5"/>
        <v>61.287499999999994</v>
      </c>
    </row>
    <row r="28" spans="2:20" ht="15">
      <c r="B28" s="30">
        <f t="shared" si="1"/>
        <v>20</v>
      </c>
      <c r="C28" s="41">
        <v>6</v>
      </c>
      <c r="D28" s="42" t="s">
        <v>74</v>
      </c>
      <c r="E28" s="135"/>
      <c r="F28" s="157">
        <f>F29+F30</f>
        <v>245000</v>
      </c>
      <c r="G28" s="157">
        <f>G29+G30</f>
        <v>86000</v>
      </c>
      <c r="H28" s="157">
        <f>H29+H30</f>
        <v>213500</v>
      </c>
      <c r="I28" s="157">
        <f>I29+I30</f>
        <v>2000</v>
      </c>
      <c r="J28" s="852">
        <f>SUM(F28:I28)</f>
        <v>546500</v>
      </c>
      <c r="K28" s="672">
        <f>K29+K30</f>
        <v>268234</v>
      </c>
      <c r="L28" s="899">
        <f t="shared" si="3"/>
        <v>49.08215919487648</v>
      </c>
      <c r="M28" s="186"/>
      <c r="N28" s="259"/>
      <c r="O28" s="159"/>
      <c r="P28" s="881"/>
      <c r="Q28" s="186"/>
      <c r="R28" s="860">
        <f t="shared" si="6"/>
        <v>546500</v>
      </c>
      <c r="S28" s="672">
        <f t="shared" si="4"/>
        <v>268234</v>
      </c>
      <c r="T28" s="891">
        <f t="shared" si="5"/>
        <v>49.08215919487648</v>
      </c>
    </row>
    <row r="29" spans="2:20" ht="12.75">
      <c r="B29" s="30">
        <f t="shared" si="1"/>
        <v>21</v>
      </c>
      <c r="C29" s="28"/>
      <c r="D29" s="2"/>
      <c r="E29" s="144" t="s">
        <v>323</v>
      </c>
      <c r="F29" s="327">
        <v>245000</v>
      </c>
      <c r="G29" s="327">
        <v>86000</v>
      </c>
      <c r="H29" s="327">
        <v>209000</v>
      </c>
      <c r="I29" s="327">
        <v>2000</v>
      </c>
      <c r="J29" s="627">
        <f>SUM(F29:I29)</f>
        <v>542000</v>
      </c>
      <c r="K29" s="669">
        <v>266342</v>
      </c>
      <c r="L29" s="898">
        <f t="shared" si="3"/>
        <v>49.140590405904064</v>
      </c>
      <c r="M29" s="170"/>
      <c r="N29" s="365"/>
      <c r="O29" s="328"/>
      <c r="P29" s="627"/>
      <c r="Q29" s="170"/>
      <c r="R29" s="383">
        <f t="shared" si="6"/>
        <v>542000</v>
      </c>
      <c r="S29" s="669">
        <f t="shared" si="4"/>
        <v>266342</v>
      </c>
      <c r="T29" s="890">
        <f t="shared" si="5"/>
        <v>49.140590405904064</v>
      </c>
    </row>
    <row r="30" spans="2:20" ht="12.75">
      <c r="B30" s="30">
        <f t="shared" si="1"/>
        <v>22</v>
      </c>
      <c r="C30" s="29"/>
      <c r="D30" s="2"/>
      <c r="E30" s="273" t="s">
        <v>310</v>
      </c>
      <c r="F30" s="330"/>
      <c r="G30" s="331"/>
      <c r="H30" s="332">
        <v>4500</v>
      </c>
      <c r="I30" s="331"/>
      <c r="J30" s="627">
        <f>SUM(F30:I30)</f>
        <v>4500</v>
      </c>
      <c r="K30" s="669">
        <v>1892</v>
      </c>
      <c r="L30" s="898">
        <f t="shared" si="3"/>
        <v>42.044444444444444</v>
      </c>
      <c r="M30" s="170"/>
      <c r="N30" s="368"/>
      <c r="O30" s="331"/>
      <c r="P30" s="627"/>
      <c r="Q30" s="170"/>
      <c r="R30" s="383">
        <f t="shared" si="6"/>
        <v>4500</v>
      </c>
      <c r="S30" s="669">
        <f t="shared" si="4"/>
        <v>1892</v>
      </c>
      <c r="T30" s="890">
        <f t="shared" si="5"/>
        <v>42.044444444444444</v>
      </c>
    </row>
    <row r="31" spans="2:20" ht="15">
      <c r="B31" s="30">
        <f t="shared" si="1"/>
        <v>23</v>
      </c>
      <c r="C31" s="41">
        <v>7</v>
      </c>
      <c r="D31" s="42" t="s">
        <v>180</v>
      </c>
      <c r="E31" s="135"/>
      <c r="F31" s="153">
        <f>F32</f>
        <v>284400</v>
      </c>
      <c r="G31" s="157">
        <f>G32</f>
        <v>100000</v>
      </c>
      <c r="H31" s="157">
        <f>H32</f>
        <v>29000</v>
      </c>
      <c r="I31" s="157">
        <f>I32</f>
        <v>1100</v>
      </c>
      <c r="J31" s="852">
        <f>SUM(F31:I31)</f>
        <v>414500</v>
      </c>
      <c r="K31" s="672">
        <f>K32</f>
        <v>211180</v>
      </c>
      <c r="L31" s="899">
        <f t="shared" si="3"/>
        <v>50.94813027744271</v>
      </c>
      <c r="M31" s="186"/>
      <c r="N31" s="254"/>
      <c r="O31" s="157"/>
      <c r="P31" s="881"/>
      <c r="Q31" s="186"/>
      <c r="R31" s="860">
        <f t="shared" si="6"/>
        <v>414500</v>
      </c>
      <c r="S31" s="672">
        <f t="shared" si="4"/>
        <v>211180</v>
      </c>
      <c r="T31" s="891">
        <f t="shared" si="5"/>
        <v>50.94813027744271</v>
      </c>
    </row>
    <row r="32" spans="2:20" ht="12.75">
      <c r="B32" s="30">
        <f t="shared" si="1"/>
        <v>24</v>
      </c>
      <c r="C32" s="28"/>
      <c r="D32" s="2"/>
      <c r="E32" s="144" t="s">
        <v>222</v>
      </c>
      <c r="F32" s="327">
        <v>284400</v>
      </c>
      <c r="G32" s="327">
        <v>100000</v>
      </c>
      <c r="H32" s="327">
        <v>29000</v>
      </c>
      <c r="I32" s="327">
        <v>1100</v>
      </c>
      <c r="J32" s="627">
        <f>SUM(F32:I32)</f>
        <v>414500</v>
      </c>
      <c r="K32" s="669">
        <v>211180</v>
      </c>
      <c r="L32" s="898">
        <f t="shared" si="3"/>
        <v>50.94813027744271</v>
      </c>
      <c r="M32" s="170"/>
      <c r="N32" s="362"/>
      <c r="O32" s="349"/>
      <c r="P32" s="627"/>
      <c r="Q32" s="170"/>
      <c r="R32" s="383">
        <f t="shared" si="6"/>
        <v>414500</v>
      </c>
      <c r="S32" s="669">
        <f t="shared" si="4"/>
        <v>211180</v>
      </c>
      <c r="T32" s="890">
        <f t="shared" si="5"/>
        <v>50.94813027744271</v>
      </c>
    </row>
    <row r="33" spans="2:20" ht="15">
      <c r="B33" s="30">
        <f t="shared" si="1"/>
        <v>25</v>
      </c>
      <c r="C33" s="41">
        <v>8</v>
      </c>
      <c r="D33" s="42" t="s">
        <v>114</v>
      </c>
      <c r="E33" s="955"/>
      <c r="F33" s="259"/>
      <c r="G33" s="157"/>
      <c r="H33" s="157">
        <v>3000</v>
      </c>
      <c r="I33" s="157"/>
      <c r="J33" s="852">
        <f aca="true" t="shared" si="7" ref="J33:J39">SUM(F33:I33)</f>
        <v>3000</v>
      </c>
      <c r="K33" s="672">
        <v>0</v>
      </c>
      <c r="L33" s="899">
        <f t="shared" si="3"/>
        <v>0</v>
      </c>
      <c r="M33" s="186"/>
      <c r="N33" s="259"/>
      <c r="O33" s="159"/>
      <c r="P33" s="881"/>
      <c r="Q33" s="186"/>
      <c r="R33" s="860">
        <f t="shared" si="6"/>
        <v>3000</v>
      </c>
      <c r="S33" s="672">
        <f t="shared" si="4"/>
        <v>0</v>
      </c>
      <c r="T33" s="891">
        <f t="shared" si="5"/>
        <v>0</v>
      </c>
    </row>
    <row r="34" spans="2:20" ht="15">
      <c r="B34" s="30">
        <f t="shared" si="1"/>
        <v>26</v>
      </c>
      <c r="C34" s="41">
        <v>9</v>
      </c>
      <c r="D34" s="42" t="s">
        <v>181</v>
      </c>
      <c r="E34" s="955"/>
      <c r="F34" s="254"/>
      <c r="G34" s="157"/>
      <c r="H34" s="157">
        <v>12370</v>
      </c>
      <c r="I34" s="157"/>
      <c r="J34" s="852">
        <f t="shared" si="7"/>
        <v>12370</v>
      </c>
      <c r="K34" s="672">
        <f>K35+3698</f>
        <v>5854</v>
      </c>
      <c r="L34" s="899">
        <f t="shared" si="3"/>
        <v>47.32417138237672</v>
      </c>
      <c r="M34" s="186"/>
      <c r="N34" s="259"/>
      <c r="O34" s="159"/>
      <c r="P34" s="881"/>
      <c r="Q34" s="260"/>
      <c r="R34" s="860">
        <f t="shared" si="6"/>
        <v>12370</v>
      </c>
      <c r="S34" s="672">
        <f t="shared" si="4"/>
        <v>5854</v>
      </c>
      <c r="T34" s="891">
        <f t="shared" si="5"/>
        <v>47.32417138237672</v>
      </c>
    </row>
    <row r="35" spans="2:20" ht="12.75">
      <c r="B35" s="30">
        <f t="shared" si="1"/>
        <v>27</v>
      </c>
      <c r="C35" s="134"/>
      <c r="D35" s="884"/>
      <c r="E35" s="956" t="s">
        <v>463</v>
      </c>
      <c r="F35" s="958"/>
      <c r="G35" s="949"/>
      <c r="H35" s="949"/>
      <c r="I35" s="949"/>
      <c r="J35" s="949"/>
      <c r="K35" s="330">
        <v>2156</v>
      </c>
      <c r="L35" s="898"/>
      <c r="M35" s="186"/>
      <c r="N35" s="950"/>
      <c r="O35" s="951"/>
      <c r="P35" s="952"/>
      <c r="Q35" s="385"/>
      <c r="R35" s="953"/>
      <c r="S35" s="954">
        <f t="shared" si="4"/>
        <v>2156</v>
      </c>
      <c r="T35" s="891"/>
    </row>
    <row r="36" spans="2:20" ht="15">
      <c r="B36" s="30">
        <f t="shared" si="1"/>
        <v>28</v>
      </c>
      <c r="C36" s="41">
        <v>10</v>
      </c>
      <c r="D36" s="42" t="s">
        <v>146</v>
      </c>
      <c r="E36" s="955"/>
      <c r="F36" s="254">
        <f>F37</f>
        <v>4700</v>
      </c>
      <c r="G36" s="157">
        <f>G37</f>
        <v>1600</v>
      </c>
      <c r="H36" s="157">
        <f>H37</f>
        <v>2700</v>
      </c>
      <c r="I36" s="157"/>
      <c r="J36" s="852">
        <f t="shared" si="7"/>
        <v>9000</v>
      </c>
      <c r="K36" s="672">
        <f>K37</f>
        <v>5104</v>
      </c>
      <c r="L36" s="899">
        <f t="shared" si="3"/>
        <v>56.71111111111111</v>
      </c>
      <c r="M36" s="186"/>
      <c r="N36" s="259"/>
      <c r="O36" s="159"/>
      <c r="P36" s="881"/>
      <c r="Q36" s="260"/>
      <c r="R36" s="860">
        <f>J36+P36</f>
        <v>9000</v>
      </c>
      <c r="S36" s="672">
        <f t="shared" si="4"/>
        <v>5104</v>
      </c>
      <c r="T36" s="891">
        <f t="shared" si="5"/>
        <v>56.71111111111111</v>
      </c>
    </row>
    <row r="37" spans="2:20" ht="12.75">
      <c r="B37" s="30">
        <f t="shared" si="1"/>
        <v>29</v>
      </c>
      <c r="C37" s="28"/>
      <c r="D37" s="2"/>
      <c r="E37" s="957" t="s">
        <v>223</v>
      </c>
      <c r="F37" s="348">
        <v>4700</v>
      </c>
      <c r="G37" s="328">
        <v>1600</v>
      </c>
      <c r="H37" s="329">
        <v>2700</v>
      </c>
      <c r="I37" s="328"/>
      <c r="J37" s="627">
        <f t="shared" si="7"/>
        <v>9000</v>
      </c>
      <c r="K37" s="669">
        <v>5104</v>
      </c>
      <c r="L37" s="898">
        <f t="shared" si="3"/>
        <v>56.71111111111111</v>
      </c>
      <c r="M37" s="170"/>
      <c r="N37" s="365"/>
      <c r="O37" s="328"/>
      <c r="P37" s="627"/>
      <c r="Q37" s="170"/>
      <c r="R37" s="383">
        <f>J37+P37</f>
        <v>9000</v>
      </c>
      <c r="S37" s="669">
        <f t="shared" si="4"/>
        <v>5104</v>
      </c>
      <c r="T37" s="890">
        <f t="shared" si="5"/>
        <v>56.71111111111111</v>
      </c>
    </row>
    <row r="38" spans="2:20" ht="15">
      <c r="B38" s="30">
        <f t="shared" si="1"/>
        <v>30</v>
      </c>
      <c r="C38" s="41">
        <v>11</v>
      </c>
      <c r="D38" s="42" t="s">
        <v>197</v>
      </c>
      <c r="E38" s="135"/>
      <c r="F38" s="153">
        <v>52000</v>
      </c>
      <c r="G38" s="157">
        <v>18000</v>
      </c>
      <c r="H38" s="157">
        <v>11630</v>
      </c>
      <c r="I38" s="157">
        <v>6300</v>
      </c>
      <c r="J38" s="853">
        <f t="shared" si="7"/>
        <v>87930</v>
      </c>
      <c r="K38" s="672">
        <f>K39</f>
        <v>61141</v>
      </c>
      <c r="L38" s="899">
        <f t="shared" si="3"/>
        <v>69.53372000454907</v>
      </c>
      <c r="M38" s="186"/>
      <c r="N38" s="259"/>
      <c r="O38" s="159"/>
      <c r="P38" s="882"/>
      <c r="Q38" s="186"/>
      <c r="R38" s="860">
        <f>J38+P38</f>
        <v>87930</v>
      </c>
      <c r="S38" s="672">
        <f t="shared" si="4"/>
        <v>61141</v>
      </c>
      <c r="T38" s="891">
        <f t="shared" si="5"/>
        <v>69.53372000454907</v>
      </c>
    </row>
    <row r="39" spans="2:20" ht="13.5" thickBot="1">
      <c r="B39" s="31">
        <f t="shared" si="1"/>
        <v>31</v>
      </c>
      <c r="C39" s="34"/>
      <c r="D39" s="55"/>
      <c r="E39" s="150" t="s">
        <v>198</v>
      </c>
      <c r="F39" s="350">
        <v>52000</v>
      </c>
      <c r="G39" s="351">
        <v>18000</v>
      </c>
      <c r="H39" s="352">
        <v>11630</v>
      </c>
      <c r="I39" s="351">
        <v>6300</v>
      </c>
      <c r="J39" s="644">
        <f t="shared" si="7"/>
        <v>87930</v>
      </c>
      <c r="K39" s="736">
        <v>61141</v>
      </c>
      <c r="L39" s="900">
        <f t="shared" si="3"/>
        <v>69.53372000454907</v>
      </c>
      <c r="M39" s="660"/>
      <c r="N39" s="371"/>
      <c r="O39" s="351"/>
      <c r="P39" s="644"/>
      <c r="Q39" s="170"/>
      <c r="R39" s="406">
        <f>J39+P39</f>
        <v>87930</v>
      </c>
      <c r="S39" s="736">
        <f t="shared" si="4"/>
        <v>61141</v>
      </c>
      <c r="T39" s="1023">
        <f t="shared" si="5"/>
        <v>69.53372000454907</v>
      </c>
    </row>
    <row r="40" ht="24" customHeight="1"/>
    <row r="41" ht="12.75">
      <c r="K41" s="671"/>
    </row>
    <row r="43" ht="12.75">
      <c r="K43" s="671"/>
    </row>
  </sheetData>
  <sheetProtection/>
  <mergeCells count="20">
    <mergeCell ref="B4:P4"/>
    <mergeCell ref="K7:K8"/>
    <mergeCell ref="C6:C8"/>
    <mergeCell ref="E6:J6"/>
    <mergeCell ref="I7:I8"/>
    <mergeCell ref="B5:J5"/>
    <mergeCell ref="J7:J8"/>
    <mergeCell ref="F7:F8"/>
    <mergeCell ref="H7:H8"/>
    <mergeCell ref="L5:L8"/>
    <mergeCell ref="T4:T8"/>
    <mergeCell ref="S4:S8"/>
    <mergeCell ref="D6:D8"/>
    <mergeCell ref="G7:G8"/>
    <mergeCell ref="P7:P8"/>
    <mergeCell ref="N7:N8"/>
    <mergeCell ref="R4:R8"/>
    <mergeCell ref="N6:P6"/>
    <mergeCell ref="O7:O8"/>
    <mergeCell ref="N5:P5"/>
  </mergeCells>
  <printOptions/>
  <pageMargins left="0.35" right="0.1968503937007874" top="0.6299212598425197" bottom="0.1968503937007874" header="0.3937007874015748" footer="0.1968503937007874"/>
  <pageSetup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140625" style="6" customWidth="1"/>
    <col min="3" max="3" width="2.421875" style="5" customWidth="1"/>
    <col min="4" max="4" width="2.28125" style="0" customWidth="1"/>
    <col min="5" max="5" width="35.7109375" style="0" customWidth="1"/>
    <col min="6" max="6" width="7.28125" style="0" customWidth="1"/>
    <col min="7" max="7" width="6.00390625" style="0" customWidth="1"/>
    <col min="8" max="8" width="8.421875" style="0" customWidth="1"/>
    <col min="9" max="9" width="7.28125" style="0" customWidth="1"/>
    <col min="10" max="10" width="13.00390625" style="0" customWidth="1"/>
    <col min="11" max="11" width="13.00390625" style="487" customWidth="1"/>
    <col min="12" max="12" width="7.28125" style="487" customWidth="1"/>
    <col min="13" max="13" width="1.57421875" style="121" customWidth="1"/>
    <col min="14" max="14" width="7.140625" style="0" customWidth="1"/>
    <col min="15" max="15" width="9.8515625" style="0" customWidth="1"/>
    <col min="16" max="16" width="8.421875" style="0" customWidth="1"/>
    <col min="17" max="17" width="13.28125" style="0" customWidth="1"/>
    <col min="18" max="18" width="11.7109375" style="0" customWidth="1"/>
    <col min="19" max="19" width="6.8515625" style="0" customWidth="1"/>
    <col min="20" max="20" width="1.57421875" style="46" customWidth="1"/>
    <col min="21" max="21" width="10.57421875" style="0" customWidth="1"/>
    <col min="22" max="22" width="10.140625" style="0" customWidth="1"/>
    <col min="23" max="23" width="6.57421875" style="989" customWidth="1"/>
  </cols>
  <sheetData>
    <row r="1" spans="10:21" ht="15.75" customHeight="1">
      <c r="J1" s="196"/>
      <c r="K1" s="682"/>
      <c r="L1" s="682"/>
      <c r="M1" s="196"/>
      <c r="N1" s="44"/>
      <c r="O1" s="44"/>
      <c r="P1" s="44"/>
      <c r="Q1" s="50"/>
      <c r="R1" s="50"/>
      <c r="S1" s="50"/>
      <c r="T1" s="262"/>
      <c r="U1" s="263"/>
    </row>
    <row r="2" spans="2:23" s="33" customFormat="1" ht="27">
      <c r="B2" s="119"/>
      <c r="C2" s="389" t="s">
        <v>257</v>
      </c>
      <c r="J2" s="196"/>
      <c r="K2" s="682"/>
      <c r="L2" s="682"/>
      <c r="M2" s="196"/>
      <c r="N2" s="856"/>
      <c r="O2" s="856"/>
      <c r="Q2" s="248"/>
      <c r="R2" s="248"/>
      <c r="S2" s="248"/>
      <c r="T2" s="46"/>
      <c r="U2" s="248"/>
      <c r="W2" s="269"/>
    </row>
    <row r="3" spans="2:23" s="33" customFormat="1" ht="13.5" thickBot="1">
      <c r="B3" s="119"/>
      <c r="C3" s="118"/>
      <c r="K3" s="670"/>
      <c r="L3" s="670"/>
      <c r="M3" s="171"/>
      <c r="T3" s="46"/>
      <c r="W3" s="269"/>
    </row>
    <row r="4" spans="2:23" ht="12.75" customHeight="1" thickBot="1">
      <c r="B4" s="1184" t="s">
        <v>306</v>
      </c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6"/>
      <c r="O4" s="1186"/>
      <c r="P4" s="1186"/>
      <c r="Q4" s="1187"/>
      <c r="R4" s="733"/>
      <c r="S4" s="1131" t="s">
        <v>406</v>
      </c>
      <c r="T4" s="249"/>
      <c r="U4" s="1100" t="s">
        <v>405</v>
      </c>
      <c r="V4" s="1096" t="s">
        <v>465</v>
      </c>
      <c r="W4" s="1134" t="s">
        <v>406</v>
      </c>
    </row>
    <row r="5" spans="2:23" ht="18.75" customHeight="1" thickTop="1">
      <c r="B5" s="1143" t="s">
        <v>11</v>
      </c>
      <c r="C5" s="1144"/>
      <c r="D5" s="1144"/>
      <c r="E5" s="1144"/>
      <c r="F5" s="1144"/>
      <c r="G5" s="1144"/>
      <c r="H5" s="1144"/>
      <c r="I5" s="1144"/>
      <c r="J5" s="1145"/>
      <c r="K5" s="683"/>
      <c r="L5" s="1176" t="s">
        <v>406</v>
      </c>
      <c r="M5" s="407"/>
      <c r="N5" s="1181" t="s">
        <v>294</v>
      </c>
      <c r="O5" s="1205"/>
      <c r="P5" s="1179"/>
      <c r="Q5" s="1180"/>
      <c r="R5" s="739"/>
      <c r="S5" s="1132"/>
      <c r="T5" s="250"/>
      <c r="U5" s="1101"/>
      <c r="V5" s="1097"/>
      <c r="W5" s="1135"/>
    </row>
    <row r="6" spans="2:23" ht="12.75" customHeight="1">
      <c r="B6" s="40"/>
      <c r="C6" s="1106" t="s">
        <v>147</v>
      </c>
      <c r="D6" s="1106" t="s">
        <v>148</v>
      </c>
      <c r="E6" s="1088" t="s">
        <v>10</v>
      </c>
      <c r="F6" s="1191"/>
      <c r="G6" s="1191"/>
      <c r="H6" s="1191"/>
      <c r="I6" s="1191"/>
      <c r="J6" s="1192"/>
      <c r="K6" s="714"/>
      <c r="L6" s="1132"/>
      <c r="M6" s="392"/>
      <c r="N6" s="1201" t="s">
        <v>10</v>
      </c>
      <c r="O6" s="1202"/>
      <c r="P6" s="1203"/>
      <c r="Q6" s="1204"/>
      <c r="R6" s="740"/>
      <c r="S6" s="1132"/>
      <c r="T6" s="15"/>
      <c r="U6" s="1101"/>
      <c r="V6" s="1097"/>
      <c r="W6" s="1135"/>
    </row>
    <row r="7" spans="2:23" ht="31.5" customHeight="1">
      <c r="B7" s="40"/>
      <c r="C7" s="1107"/>
      <c r="D7" s="1107"/>
      <c r="E7" s="51" t="s">
        <v>4</v>
      </c>
      <c r="F7" s="1111">
        <v>610</v>
      </c>
      <c r="G7" s="1113">
        <v>620</v>
      </c>
      <c r="H7" s="1113">
        <v>630</v>
      </c>
      <c r="I7" s="1113">
        <v>640</v>
      </c>
      <c r="J7" s="1125" t="s">
        <v>492</v>
      </c>
      <c r="K7" s="1094" t="s">
        <v>465</v>
      </c>
      <c r="L7" s="1132"/>
      <c r="M7" s="168"/>
      <c r="N7" s="1146">
        <v>716</v>
      </c>
      <c r="O7" s="1113">
        <v>712.711</v>
      </c>
      <c r="P7" s="1113">
        <v>717</v>
      </c>
      <c r="Q7" s="1125" t="s">
        <v>492</v>
      </c>
      <c r="R7" s="1094" t="s">
        <v>465</v>
      </c>
      <c r="S7" s="1132"/>
      <c r="T7" s="251"/>
      <c r="U7" s="1101"/>
      <c r="V7" s="1097"/>
      <c r="W7" s="1135"/>
    </row>
    <row r="8" spans="2:23" ht="30" customHeight="1" thickBot="1">
      <c r="B8" s="45"/>
      <c r="C8" s="1108"/>
      <c r="D8" s="1108"/>
      <c r="E8" s="52"/>
      <c r="F8" s="1112"/>
      <c r="G8" s="1099"/>
      <c r="H8" s="1099"/>
      <c r="I8" s="1099"/>
      <c r="J8" s="1110"/>
      <c r="K8" s="1095"/>
      <c r="L8" s="1177"/>
      <c r="M8" s="412"/>
      <c r="N8" s="1122"/>
      <c r="O8" s="1099"/>
      <c r="P8" s="1099"/>
      <c r="Q8" s="1110"/>
      <c r="R8" s="1095"/>
      <c r="S8" s="1177"/>
      <c r="T8" s="195"/>
      <c r="U8" s="1102"/>
      <c r="V8" s="1097"/>
      <c r="W8" s="1135"/>
    </row>
    <row r="9" spans="2:23" ht="25.5" customHeight="1" thickBot="1" thickTop="1">
      <c r="B9" s="30">
        <v>1</v>
      </c>
      <c r="C9" s="198" t="s">
        <v>258</v>
      </c>
      <c r="D9" s="280"/>
      <c r="E9" s="281"/>
      <c r="F9" s="276">
        <f>F10+F12</f>
        <v>14620</v>
      </c>
      <c r="G9" s="276">
        <f>G10+G12</f>
        <v>5330</v>
      </c>
      <c r="H9" s="276">
        <f>H10+H12</f>
        <v>139050</v>
      </c>
      <c r="I9" s="276">
        <f>I10+I12</f>
        <v>40000</v>
      </c>
      <c r="J9" s="642">
        <f>SUM(F9:I9)</f>
        <v>199000</v>
      </c>
      <c r="K9" s="676">
        <f>K10+K12</f>
        <v>88552</v>
      </c>
      <c r="L9" s="901">
        <f>K9/J9*100</f>
        <v>44.49849246231155</v>
      </c>
      <c r="M9" s="408"/>
      <c r="N9" s="279">
        <f>N10+N12</f>
        <v>36100</v>
      </c>
      <c r="O9" s="277">
        <f>O10+O12</f>
        <v>1267590</v>
      </c>
      <c r="P9" s="277">
        <f>P10+P12</f>
        <v>487141</v>
      </c>
      <c r="Q9" s="642">
        <f>SUM(N9:P9)</f>
        <v>1790831</v>
      </c>
      <c r="R9" s="676">
        <f>R10+R12</f>
        <v>350115</v>
      </c>
      <c r="S9" s="901">
        <f>R9/Q9*100</f>
        <v>19.5504210056672</v>
      </c>
      <c r="T9" s="278"/>
      <c r="U9" s="857">
        <f aca="true" t="shared" si="0" ref="U9:U23">J9+Q9</f>
        <v>1989831</v>
      </c>
      <c r="V9" s="676">
        <f aca="true" t="shared" si="1" ref="V9:V23">K9+R9</f>
        <v>438667</v>
      </c>
      <c r="W9" s="901">
        <f>V9/U9*100</f>
        <v>22.045440039882784</v>
      </c>
    </row>
    <row r="10" spans="2:23" ht="15.75" thickTop="1">
      <c r="B10" s="30">
        <f aca="true" t="shared" si="2" ref="B10:B22">B9+1</f>
        <v>2</v>
      </c>
      <c r="C10" s="41">
        <v>1</v>
      </c>
      <c r="D10" s="42" t="s">
        <v>264</v>
      </c>
      <c r="E10" s="43"/>
      <c r="F10" s="153"/>
      <c r="G10" s="157"/>
      <c r="H10" s="157"/>
      <c r="I10" s="157"/>
      <c r="J10" s="858">
        <f aca="true" t="shared" si="3" ref="J10:J18">SUM(F10:H10)</f>
        <v>0</v>
      </c>
      <c r="K10" s="724"/>
      <c r="L10" s="891"/>
      <c r="M10" s="186"/>
      <c r="N10" s="299"/>
      <c r="O10" s="157">
        <f>1145650-200000</f>
        <v>945650</v>
      </c>
      <c r="P10" s="157"/>
      <c r="Q10" s="865">
        <f>O10</f>
        <v>945650</v>
      </c>
      <c r="R10" s="724">
        <f>R11</f>
        <v>23</v>
      </c>
      <c r="S10" s="891">
        <f aca="true" t="shared" si="4" ref="S10:S23">R10/Q10*100</f>
        <v>0.0024321894992862052</v>
      </c>
      <c r="T10" s="260"/>
      <c r="U10" s="860">
        <f t="shared" si="0"/>
        <v>945650</v>
      </c>
      <c r="V10" s="724">
        <f t="shared" si="1"/>
        <v>23</v>
      </c>
      <c r="W10" s="889">
        <f aca="true" t="shared" si="5" ref="W10:W23">V10/U10*100</f>
        <v>0.0024321894992862052</v>
      </c>
    </row>
    <row r="11" spans="1:24" ht="12.75">
      <c r="A11" s="171"/>
      <c r="B11" s="30">
        <f t="shared" si="2"/>
        <v>3</v>
      </c>
      <c r="C11" s="29"/>
      <c r="D11" s="14"/>
      <c r="E11" s="540" t="s">
        <v>344</v>
      </c>
      <c r="F11" s="330"/>
      <c r="G11" s="331"/>
      <c r="H11" s="332"/>
      <c r="I11" s="331"/>
      <c r="J11" s="628">
        <f>H11</f>
        <v>0</v>
      </c>
      <c r="K11" s="669"/>
      <c r="L11" s="890"/>
      <c r="M11" s="170"/>
      <c r="N11" s="348"/>
      <c r="O11" s="488">
        <v>15650</v>
      </c>
      <c r="P11" s="328"/>
      <c r="Q11" s="628">
        <f>SUM(N11:P11)</f>
        <v>15650</v>
      </c>
      <c r="R11" s="669">
        <v>23</v>
      </c>
      <c r="S11" s="890">
        <f t="shared" si="4"/>
        <v>0.14696485623003194</v>
      </c>
      <c r="T11" s="170"/>
      <c r="U11" s="516">
        <f t="shared" si="0"/>
        <v>15650</v>
      </c>
      <c r="V11" s="669">
        <f t="shared" si="1"/>
        <v>23</v>
      </c>
      <c r="W11" s="890">
        <f t="shared" si="5"/>
        <v>0.14696485623003194</v>
      </c>
      <c r="X11" s="171"/>
    </row>
    <row r="12" spans="2:23" ht="15">
      <c r="B12" s="30">
        <f t="shared" si="2"/>
        <v>4</v>
      </c>
      <c r="C12" s="41">
        <v>2</v>
      </c>
      <c r="D12" s="42" t="s">
        <v>217</v>
      </c>
      <c r="E12" s="43"/>
      <c r="F12" s="153">
        <f>F13+F16+F17+F18</f>
        <v>14620</v>
      </c>
      <c r="G12" s="153">
        <f>G13+G16+G17+G18</f>
        <v>5330</v>
      </c>
      <c r="H12" s="153">
        <f>H13+H16+H17+H18</f>
        <v>139050</v>
      </c>
      <c r="I12" s="153">
        <f>I13+I16+I17+I18</f>
        <v>40000</v>
      </c>
      <c r="J12" s="853">
        <f>SUM(F12:I12)</f>
        <v>199000</v>
      </c>
      <c r="K12" s="672">
        <f>K13+K16+K17+K18</f>
        <v>88552</v>
      </c>
      <c r="L12" s="891">
        <f aca="true" t="shared" si="6" ref="L12:L17">K12/J12*100</f>
        <v>44.49849246231155</v>
      </c>
      <c r="M12" s="186"/>
      <c r="N12" s="259">
        <f>N13+N16+N17+N18</f>
        <v>36100</v>
      </c>
      <c r="O12" s="159">
        <f>SUM(O13:O18)</f>
        <v>321940</v>
      </c>
      <c r="P12" s="159">
        <f>SUM(P13:P18)</f>
        <v>487141</v>
      </c>
      <c r="Q12" s="859">
        <f>Q13+Q16+Q17+Q18</f>
        <v>845181</v>
      </c>
      <c r="R12" s="672">
        <f>R13+R16+R17+R18</f>
        <v>350092</v>
      </c>
      <c r="S12" s="891">
        <f t="shared" si="4"/>
        <v>41.42213324719794</v>
      </c>
      <c r="T12" s="260"/>
      <c r="U12" s="861">
        <f t="shared" si="0"/>
        <v>1044181</v>
      </c>
      <c r="V12" s="672">
        <f t="shared" si="1"/>
        <v>438644</v>
      </c>
      <c r="W12" s="891">
        <f t="shared" si="5"/>
        <v>42.008425742280316</v>
      </c>
    </row>
    <row r="13" spans="2:23" ht="12.75">
      <c r="B13" s="30">
        <f t="shared" si="2"/>
        <v>5</v>
      </c>
      <c r="C13" s="39"/>
      <c r="D13" s="63" t="s">
        <v>5</v>
      </c>
      <c r="E13" s="321" t="s">
        <v>218</v>
      </c>
      <c r="F13" s="333"/>
      <c r="G13" s="334"/>
      <c r="H13" s="335">
        <f>SUM(H14:H15)</f>
        <v>134694</v>
      </c>
      <c r="I13" s="335">
        <f>40000</f>
        <v>40000</v>
      </c>
      <c r="J13" s="633">
        <f>SUM(F13:I13)</f>
        <v>174694</v>
      </c>
      <c r="K13" s="668">
        <f>K14</f>
        <v>79570</v>
      </c>
      <c r="L13" s="890">
        <f t="shared" si="6"/>
        <v>45.54821573723196</v>
      </c>
      <c r="M13" s="170"/>
      <c r="N13" s="347"/>
      <c r="O13" s="333"/>
      <c r="P13" s="334"/>
      <c r="Q13" s="620">
        <f aca="true" t="shared" si="7" ref="Q13:Q23">SUM(N13:P13)</f>
        <v>0</v>
      </c>
      <c r="R13" s="668"/>
      <c r="S13" s="890"/>
      <c r="T13" s="35"/>
      <c r="U13" s="388">
        <f t="shared" si="0"/>
        <v>174694</v>
      </c>
      <c r="V13" s="668">
        <f t="shared" si="1"/>
        <v>79570</v>
      </c>
      <c r="W13" s="890">
        <f t="shared" si="5"/>
        <v>45.54821573723196</v>
      </c>
    </row>
    <row r="14" spans="2:23" ht="12.75">
      <c r="B14" s="30">
        <f t="shared" si="2"/>
        <v>6</v>
      </c>
      <c r="C14" s="142"/>
      <c r="D14" s="142"/>
      <c r="E14" s="530" t="s">
        <v>383</v>
      </c>
      <c r="F14" s="330"/>
      <c r="G14" s="331"/>
      <c r="H14" s="332">
        <v>129170</v>
      </c>
      <c r="I14" s="593"/>
      <c r="J14" s="628">
        <f>SUM(F14:I14)</f>
        <v>129170</v>
      </c>
      <c r="K14" s="669">
        <f>1153+638+2270+18463+54355+1669+1022</f>
        <v>79570</v>
      </c>
      <c r="L14" s="890">
        <f t="shared" si="6"/>
        <v>61.60099094216923</v>
      </c>
      <c r="M14" s="169"/>
      <c r="N14" s="542"/>
      <c r="O14" s="531"/>
      <c r="P14" s="328">
        <f>SUM(N14:O14)</f>
        <v>0</v>
      </c>
      <c r="Q14" s="628">
        <f>SUM(N14:P14)</f>
        <v>0</v>
      </c>
      <c r="R14" s="669"/>
      <c r="S14" s="890"/>
      <c r="T14" s="738"/>
      <c r="U14" s="383">
        <f t="shared" si="0"/>
        <v>129170</v>
      </c>
      <c r="V14" s="669">
        <f t="shared" si="1"/>
        <v>79570</v>
      </c>
      <c r="W14" s="890">
        <f t="shared" si="5"/>
        <v>61.60099094216923</v>
      </c>
    </row>
    <row r="15" spans="1:24" ht="12.75">
      <c r="A15" s="171"/>
      <c r="B15" s="30">
        <f>B13+1</f>
        <v>6</v>
      </c>
      <c r="C15" s="29"/>
      <c r="D15" s="14"/>
      <c r="E15" s="540" t="s">
        <v>344</v>
      </c>
      <c r="F15" s="330"/>
      <c r="G15" s="331"/>
      <c r="H15" s="332">
        <v>5524</v>
      </c>
      <c r="I15" s="331"/>
      <c r="J15" s="628">
        <f>H15</f>
        <v>5524</v>
      </c>
      <c r="K15" s="669"/>
      <c r="L15" s="890">
        <f t="shared" si="6"/>
        <v>0</v>
      </c>
      <c r="M15" s="170"/>
      <c r="N15" s="348"/>
      <c r="O15" s="488"/>
      <c r="P15" s="328"/>
      <c r="Q15" s="628">
        <f>SUM(N15:P15)</f>
        <v>0</v>
      </c>
      <c r="R15" s="669"/>
      <c r="S15" s="890"/>
      <c r="T15" s="381"/>
      <c r="U15" s="516">
        <f t="shared" si="0"/>
        <v>5524</v>
      </c>
      <c r="V15" s="669">
        <f t="shared" si="1"/>
        <v>0</v>
      </c>
      <c r="W15" s="890">
        <f t="shared" si="5"/>
        <v>0</v>
      </c>
      <c r="X15" s="171"/>
    </row>
    <row r="16" spans="2:23" ht="12.75">
      <c r="B16" s="30">
        <f t="shared" si="2"/>
        <v>7</v>
      </c>
      <c r="C16" s="39"/>
      <c r="D16" s="63" t="s">
        <v>6</v>
      </c>
      <c r="E16" s="314" t="s">
        <v>188</v>
      </c>
      <c r="F16" s="333"/>
      <c r="G16" s="334"/>
      <c r="H16" s="335"/>
      <c r="I16" s="335"/>
      <c r="J16" s="633">
        <f t="shared" si="3"/>
        <v>0</v>
      </c>
      <c r="K16" s="668"/>
      <c r="L16" s="890"/>
      <c r="M16" s="170"/>
      <c r="N16" s="347"/>
      <c r="O16" s="333"/>
      <c r="P16" s="334"/>
      <c r="Q16" s="620">
        <f t="shared" si="7"/>
        <v>0</v>
      </c>
      <c r="R16" s="668"/>
      <c r="S16" s="890"/>
      <c r="T16" s="35"/>
      <c r="U16" s="388">
        <f t="shared" si="0"/>
        <v>0</v>
      </c>
      <c r="V16" s="668">
        <f t="shared" si="1"/>
        <v>0</v>
      </c>
      <c r="W16" s="890"/>
    </row>
    <row r="17" spans="1:23" ht="12.75">
      <c r="A17" s="33"/>
      <c r="B17" s="30">
        <f t="shared" si="2"/>
        <v>8</v>
      </c>
      <c r="C17" s="39"/>
      <c r="D17" s="63" t="s">
        <v>7</v>
      </c>
      <c r="E17" s="314" t="s">
        <v>219</v>
      </c>
      <c r="F17" s="333">
        <v>14620</v>
      </c>
      <c r="G17" s="334">
        <v>5330</v>
      </c>
      <c r="H17" s="335">
        <f>2550+1806</f>
        <v>4356</v>
      </c>
      <c r="I17" s="335"/>
      <c r="J17" s="633">
        <f t="shared" si="3"/>
        <v>24306</v>
      </c>
      <c r="K17" s="668">
        <v>8982</v>
      </c>
      <c r="L17" s="890">
        <f t="shared" si="6"/>
        <v>36.953838558380646</v>
      </c>
      <c r="M17" s="170"/>
      <c r="N17" s="347"/>
      <c r="O17" s="333"/>
      <c r="P17" s="334"/>
      <c r="Q17" s="620">
        <f t="shared" si="7"/>
        <v>0</v>
      </c>
      <c r="R17" s="668"/>
      <c r="S17" s="890"/>
      <c r="T17" s="35"/>
      <c r="U17" s="959">
        <f t="shared" si="0"/>
        <v>24306</v>
      </c>
      <c r="V17" s="668">
        <f t="shared" si="1"/>
        <v>8982</v>
      </c>
      <c r="W17" s="890">
        <f t="shared" si="5"/>
        <v>36.953838558380646</v>
      </c>
    </row>
    <row r="18" spans="1:23" ht="12.75">
      <c r="A18" s="515"/>
      <c r="B18" s="30">
        <f t="shared" si="2"/>
        <v>9</v>
      </c>
      <c r="C18" s="39"/>
      <c r="D18" s="63" t="s">
        <v>8</v>
      </c>
      <c r="E18" s="321" t="s">
        <v>220</v>
      </c>
      <c r="F18" s="356"/>
      <c r="G18" s="359"/>
      <c r="H18" s="360"/>
      <c r="I18" s="360"/>
      <c r="J18" s="633">
        <f t="shared" si="3"/>
        <v>0</v>
      </c>
      <c r="K18" s="668"/>
      <c r="L18" s="890"/>
      <c r="M18" s="170"/>
      <c r="N18" s="347">
        <f>SUM(N19:N23)</f>
        <v>36100</v>
      </c>
      <c r="O18" s="333">
        <f>SUM(O19:O23)</f>
        <v>321940</v>
      </c>
      <c r="P18" s="334">
        <f>SUM(P19:P23)</f>
        <v>487141</v>
      </c>
      <c r="Q18" s="620">
        <f t="shared" si="7"/>
        <v>845181</v>
      </c>
      <c r="R18" s="668">
        <v>350092</v>
      </c>
      <c r="S18" s="890">
        <f t="shared" si="4"/>
        <v>41.42213324719794</v>
      </c>
      <c r="T18" s="35"/>
      <c r="U18" s="388">
        <f t="shared" si="0"/>
        <v>845181</v>
      </c>
      <c r="V18" s="668">
        <f t="shared" si="1"/>
        <v>350092</v>
      </c>
      <c r="W18" s="890">
        <f t="shared" si="5"/>
        <v>41.42213324719794</v>
      </c>
    </row>
    <row r="19" spans="1:24" ht="12.75">
      <c r="A19" s="171"/>
      <c r="B19" s="30">
        <f t="shared" si="2"/>
        <v>10</v>
      </c>
      <c r="C19" s="28"/>
      <c r="D19" s="2"/>
      <c r="E19" s="273" t="s">
        <v>335</v>
      </c>
      <c r="F19" s="327"/>
      <c r="G19" s="328"/>
      <c r="H19" s="329"/>
      <c r="I19" s="328"/>
      <c r="J19" s="627">
        <f>SUM(F19:I19)</f>
        <v>0</v>
      </c>
      <c r="K19" s="669"/>
      <c r="L19" s="890"/>
      <c r="M19" s="170"/>
      <c r="N19" s="387"/>
      <c r="O19" s="489"/>
      <c r="P19" s="328"/>
      <c r="Q19" s="628">
        <f t="shared" si="7"/>
        <v>0</v>
      </c>
      <c r="R19" s="966"/>
      <c r="S19" s="890"/>
      <c r="T19" s="170"/>
      <c r="U19" s="383">
        <f t="shared" si="0"/>
        <v>0</v>
      </c>
      <c r="V19" s="669">
        <f t="shared" si="1"/>
        <v>0</v>
      </c>
      <c r="W19" s="890"/>
      <c r="X19" s="171"/>
    </row>
    <row r="20" spans="1:24" ht="12.75">
      <c r="A20" s="171"/>
      <c r="B20" s="30">
        <f t="shared" si="2"/>
        <v>11</v>
      </c>
      <c r="C20" s="28"/>
      <c r="D20" s="2"/>
      <c r="E20" s="273" t="s">
        <v>336</v>
      </c>
      <c r="F20" s="327"/>
      <c r="G20" s="328"/>
      <c r="H20" s="329"/>
      <c r="I20" s="328"/>
      <c r="J20" s="627">
        <f>SUM(F20:I20)</f>
        <v>0</v>
      </c>
      <c r="K20" s="669"/>
      <c r="L20" s="890"/>
      <c r="M20" s="170"/>
      <c r="N20" s="348"/>
      <c r="O20" s="488">
        <v>321940</v>
      </c>
      <c r="P20" s="328"/>
      <c r="Q20" s="967">
        <f t="shared" si="7"/>
        <v>321940</v>
      </c>
      <c r="R20" s="966">
        <f>76396+65396+65396+65396</f>
        <v>272584</v>
      </c>
      <c r="S20" s="890">
        <f t="shared" si="4"/>
        <v>84.66919301733242</v>
      </c>
      <c r="T20" s="170"/>
      <c r="U20" s="383">
        <f t="shared" si="0"/>
        <v>321940</v>
      </c>
      <c r="V20" s="669">
        <f t="shared" si="1"/>
        <v>272584</v>
      </c>
      <c r="W20" s="890">
        <f t="shared" si="5"/>
        <v>84.66919301733242</v>
      </c>
      <c r="X20" s="171"/>
    </row>
    <row r="21" spans="1:24" ht="12.75">
      <c r="A21" s="171"/>
      <c r="B21" s="30">
        <f t="shared" si="2"/>
        <v>12</v>
      </c>
      <c r="C21" s="29"/>
      <c r="D21" s="14"/>
      <c r="E21" s="141" t="s">
        <v>342</v>
      </c>
      <c r="F21" s="330"/>
      <c r="G21" s="331"/>
      <c r="H21" s="332"/>
      <c r="I21" s="331"/>
      <c r="J21" s="627">
        <f>SUM(F21:I21)</f>
        <v>0</v>
      </c>
      <c r="K21" s="669"/>
      <c r="L21" s="890"/>
      <c r="M21" s="170"/>
      <c r="N21" s="348"/>
      <c r="O21" s="488"/>
      <c r="P21" s="328">
        <v>95400</v>
      </c>
      <c r="Q21" s="628">
        <f t="shared" si="7"/>
        <v>95400</v>
      </c>
      <c r="R21" s="966">
        <f>743+1200</f>
        <v>1943</v>
      </c>
      <c r="S21" s="890">
        <f t="shared" si="4"/>
        <v>2.0366876310272537</v>
      </c>
      <c r="T21" s="170"/>
      <c r="U21" s="516">
        <f t="shared" si="0"/>
        <v>95400</v>
      </c>
      <c r="V21" s="669">
        <f t="shared" si="1"/>
        <v>1943</v>
      </c>
      <c r="W21" s="890">
        <f t="shared" si="5"/>
        <v>2.0366876310272537</v>
      </c>
      <c r="X21" s="171"/>
    </row>
    <row r="22" spans="1:24" ht="12.75">
      <c r="A22" s="171"/>
      <c r="B22" s="30">
        <f t="shared" si="2"/>
        <v>13</v>
      </c>
      <c r="C22" s="29"/>
      <c r="D22" s="14"/>
      <c r="E22" s="141" t="s">
        <v>349</v>
      </c>
      <c r="F22" s="330"/>
      <c r="G22" s="331"/>
      <c r="H22" s="332"/>
      <c r="I22" s="331"/>
      <c r="J22" s="627">
        <f>SUM(F22:I22)</f>
        <v>0</v>
      </c>
      <c r="K22" s="669"/>
      <c r="L22" s="890"/>
      <c r="M22" s="170"/>
      <c r="N22" s="348"/>
      <c r="O22" s="488"/>
      <c r="P22" s="328">
        <v>300000</v>
      </c>
      <c r="Q22" s="628">
        <f>SUM(N22:P22)</f>
        <v>300000</v>
      </c>
      <c r="R22" s="966"/>
      <c r="S22" s="890">
        <f t="shared" si="4"/>
        <v>0</v>
      </c>
      <c r="T22" s="170"/>
      <c r="U22" s="383">
        <f t="shared" si="0"/>
        <v>300000</v>
      </c>
      <c r="V22" s="669">
        <f t="shared" si="1"/>
        <v>0</v>
      </c>
      <c r="W22" s="890">
        <f t="shared" si="5"/>
        <v>0</v>
      </c>
      <c r="X22" s="171"/>
    </row>
    <row r="23" spans="1:24" ht="13.5" thickBot="1">
      <c r="A23" s="171"/>
      <c r="B23" s="30">
        <f>B22+1</f>
        <v>14</v>
      </c>
      <c r="C23" s="510"/>
      <c r="D23" s="511"/>
      <c r="E23" s="512" t="s">
        <v>334</v>
      </c>
      <c r="F23" s="513"/>
      <c r="G23" s="490"/>
      <c r="H23" s="514"/>
      <c r="I23" s="490"/>
      <c r="J23" s="637">
        <f>SUM(F23:I23)</f>
        <v>0</v>
      </c>
      <c r="K23" s="679"/>
      <c r="L23" s="892"/>
      <c r="M23" s="170"/>
      <c r="N23" s="520">
        <v>36100</v>
      </c>
      <c r="O23" s="518"/>
      <c r="P23" s="490">
        <f>157241+200-65700</f>
        <v>91741</v>
      </c>
      <c r="Q23" s="637">
        <f t="shared" si="7"/>
        <v>127841</v>
      </c>
      <c r="R23" s="968">
        <f>76765-1200</f>
        <v>75565</v>
      </c>
      <c r="S23" s="892">
        <f t="shared" si="4"/>
        <v>59.10858018945409</v>
      </c>
      <c r="T23" s="170"/>
      <c r="U23" s="406">
        <f t="shared" si="0"/>
        <v>127841</v>
      </c>
      <c r="V23" s="679">
        <f t="shared" si="1"/>
        <v>75565</v>
      </c>
      <c r="W23" s="892">
        <f t="shared" si="5"/>
        <v>59.10858018945409</v>
      </c>
      <c r="X23" s="171"/>
    </row>
    <row r="25" spans="10:19" ht="12.75">
      <c r="J25" s="19"/>
      <c r="K25" s="671"/>
      <c r="L25" s="671"/>
      <c r="R25" s="19"/>
      <c r="S25" s="19"/>
    </row>
    <row r="26" spans="13:20" ht="12.75">
      <c r="M26"/>
      <c r="T26"/>
    </row>
    <row r="27" spans="13:20" ht="12.75">
      <c r="M27"/>
      <c r="R27" s="19"/>
      <c r="T27"/>
    </row>
    <row r="28" spans="13:20" ht="12.75">
      <c r="M28"/>
      <c r="T28"/>
    </row>
    <row r="29" spans="13:20" ht="12.75">
      <c r="M29"/>
      <c r="T29"/>
    </row>
    <row r="30" spans="13:20" ht="12.75">
      <c r="M30"/>
      <c r="T30"/>
    </row>
    <row r="31" spans="13:20" ht="12.75">
      <c r="M31"/>
      <c r="T31"/>
    </row>
    <row r="32" spans="13:20" ht="12.75">
      <c r="M32"/>
      <c r="T32"/>
    </row>
    <row r="33" spans="13:20" ht="12.75">
      <c r="M33"/>
      <c r="T33"/>
    </row>
  </sheetData>
  <sheetProtection/>
  <mergeCells count="23">
    <mergeCell ref="N5:Q5"/>
    <mergeCell ref="P7:P8"/>
    <mergeCell ref="S4:S8"/>
    <mergeCell ref="F7:F8"/>
    <mergeCell ref="C6:C8"/>
    <mergeCell ref="I7:I8"/>
    <mergeCell ref="L5:L8"/>
    <mergeCell ref="E6:J6"/>
    <mergeCell ref="J7:J8"/>
    <mergeCell ref="K7:K8"/>
    <mergeCell ref="H7:H8"/>
    <mergeCell ref="D6:D8"/>
    <mergeCell ref="B5:J5"/>
    <mergeCell ref="W4:W8"/>
    <mergeCell ref="R7:R8"/>
    <mergeCell ref="G7:G8"/>
    <mergeCell ref="Q7:Q8"/>
    <mergeCell ref="N7:N8"/>
    <mergeCell ref="B4:Q4"/>
    <mergeCell ref="V4:V8"/>
    <mergeCell ref="U4:U8"/>
    <mergeCell ref="N6:Q6"/>
    <mergeCell ref="O7:O8"/>
  </mergeCells>
  <printOptions/>
  <pageMargins left="0.15748031496062992" right="0.2362204724409449" top="0.7480314960629921" bottom="0.984251968503937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4.140625" style="0" customWidth="1"/>
    <col min="3" max="3" width="50.7109375" style="0" customWidth="1"/>
    <col min="4" max="5" width="15.8515625" style="0" customWidth="1"/>
    <col min="6" max="6" width="7.421875" style="0" customWidth="1"/>
    <col min="7" max="7" width="16.140625" style="0" customWidth="1"/>
    <col min="8" max="8" width="15.421875" style="0" customWidth="1"/>
    <col min="9" max="9" width="7.57421875" style="0" customWidth="1"/>
    <col min="10" max="10" width="16.57421875" style="0" customWidth="1"/>
    <col min="11" max="11" width="16.28125" style="0" customWidth="1"/>
    <col min="12" max="12" width="8.140625" style="0" customWidth="1"/>
  </cols>
  <sheetData>
    <row r="1" ht="9.75" customHeight="1">
      <c r="B1" s="23"/>
    </row>
    <row r="2" spans="2:10" ht="31.5" customHeight="1">
      <c r="B2" s="1239" t="s">
        <v>308</v>
      </c>
      <c r="C2" s="1239"/>
      <c r="D2" s="1239"/>
      <c r="E2" s="1239"/>
      <c r="F2" s="1239"/>
      <c r="G2" s="1239"/>
      <c r="H2" s="1239"/>
      <c r="I2" s="1239"/>
      <c r="J2" s="1239"/>
    </row>
    <row r="3" ht="5.25" customHeight="1" thickBot="1">
      <c r="B3" s="151"/>
    </row>
    <row r="4" spans="2:12" ht="12.75" customHeight="1">
      <c r="B4" s="1240"/>
      <c r="C4" s="1241"/>
      <c r="D4" s="1208" t="s">
        <v>431</v>
      </c>
      <c r="E4" s="1209"/>
      <c r="F4" s="1209"/>
      <c r="G4" s="1209"/>
      <c r="H4" s="1209"/>
      <c r="I4" s="1209"/>
      <c r="J4" s="1209"/>
      <c r="K4" s="1209"/>
      <c r="L4" s="1210"/>
    </row>
    <row r="5" spans="2:12" ht="17.25" customHeight="1">
      <c r="B5" s="1242"/>
      <c r="C5" s="1243"/>
      <c r="D5" s="1211"/>
      <c r="E5" s="1212"/>
      <c r="F5" s="1212"/>
      <c r="G5" s="1212"/>
      <c r="H5" s="1212"/>
      <c r="I5" s="1212"/>
      <c r="J5" s="1212"/>
      <c r="K5" s="1212"/>
      <c r="L5" s="1213"/>
    </row>
    <row r="6" spans="2:12" ht="13.5" customHeight="1" thickBot="1">
      <c r="B6" s="1242"/>
      <c r="C6" s="1243"/>
      <c r="D6" s="1211"/>
      <c r="E6" s="1212"/>
      <c r="F6" s="1212"/>
      <c r="G6" s="1212"/>
      <c r="H6" s="1212"/>
      <c r="I6" s="1212"/>
      <c r="J6" s="1212"/>
      <c r="K6" s="1212"/>
      <c r="L6" s="1213"/>
    </row>
    <row r="7" spans="2:12" ht="63.75" customHeight="1" thickTop="1">
      <c r="B7" s="1244"/>
      <c r="C7" s="1245"/>
      <c r="D7" s="771" t="s">
        <v>320</v>
      </c>
      <c r="E7" s="1036" t="s">
        <v>466</v>
      </c>
      <c r="F7" s="1024" t="s">
        <v>464</v>
      </c>
      <c r="G7" s="749" t="s">
        <v>321</v>
      </c>
      <c r="H7" s="750" t="s">
        <v>467</v>
      </c>
      <c r="I7" s="1037" t="s">
        <v>464</v>
      </c>
      <c r="J7" s="1038" t="s">
        <v>351</v>
      </c>
      <c r="K7" s="1038" t="s">
        <v>468</v>
      </c>
      <c r="L7" s="1039" t="s">
        <v>406</v>
      </c>
    </row>
    <row r="8" spans="2:12" ht="15">
      <c r="B8" s="26">
        <v>1</v>
      </c>
      <c r="C8" s="765" t="s">
        <v>270</v>
      </c>
      <c r="D8" s="772">
        <f>'BP'!H180</f>
        <v>26642000</v>
      </c>
      <c r="E8" s="741">
        <f>'BP'!I180</f>
        <v>14436988.11</v>
      </c>
      <c r="F8" s="1025">
        <f>E8/D8*100</f>
        <v>54.1888300803243</v>
      </c>
      <c r="G8" s="751">
        <f>KP!G29</f>
        <v>12110145</v>
      </c>
      <c r="H8" s="752">
        <f>KP!H29</f>
        <v>917142.53</v>
      </c>
      <c r="I8" s="1029">
        <f>H8/G8*100</f>
        <v>7.573340616483122</v>
      </c>
      <c r="J8" s="472">
        <f>D8+G8</f>
        <v>38752145</v>
      </c>
      <c r="K8" s="472">
        <f>E8+H8</f>
        <v>15354130.639999999</v>
      </c>
      <c r="L8" s="1043">
        <f>K8/J8*100</f>
        <v>39.62136970740587</v>
      </c>
    </row>
    <row r="9" spans="2:12" ht="15">
      <c r="B9" s="27">
        <f>B8+1</f>
        <v>2</v>
      </c>
      <c r="C9" s="766" t="s">
        <v>271</v>
      </c>
      <c r="D9" s="773">
        <f>SUM(D11:D22)</f>
        <v>26567085</v>
      </c>
      <c r="E9" s="742">
        <f>SUM(E11:E22)</f>
        <v>9732544</v>
      </c>
      <c r="F9" s="1026">
        <f aca="true" t="shared" si="0" ref="F9:F22">E9/D9*100</f>
        <v>36.63384221490615</v>
      </c>
      <c r="G9" s="753">
        <f>SUM(G11:G22)</f>
        <v>6657660</v>
      </c>
      <c r="H9" s="754">
        <f>SUM(H11:H22)</f>
        <v>3154544</v>
      </c>
      <c r="I9" s="1030">
        <f aca="true" t="shared" si="1" ref="I9:I22">H9/G9*100</f>
        <v>47.382173316150116</v>
      </c>
      <c r="J9" s="473">
        <f aca="true" t="shared" si="2" ref="J9:J22">D9+G9</f>
        <v>33224745</v>
      </c>
      <c r="K9" s="473">
        <f aca="true" t="shared" si="3" ref="K9:K22">E9+H9</f>
        <v>12887088</v>
      </c>
      <c r="L9" s="1044">
        <f>K9/J9*100</f>
        <v>38.787620491895424</v>
      </c>
    </row>
    <row r="10" spans="2:12" ht="14.25">
      <c r="B10" s="1">
        <f>B9+1</f>
        <v>3</v>
      </c>
      <c r="C10" s="767" t="s">
        <v>104</v>
      </c>
      <c r="D10" s="774"/>
      <c r="E10" s="743"/>
      <c r="F10" s="1027"/>
      <c r="G10" s="755"/>
      <c r="H10" s="756"/>
      <c r="I10" s="1031"/>
      <c r="J10" s="474"/>
      <c r="K10" s="474"/>
      <c r="L10" s="1045"/>
    </row>
    <row r="11" spans="2:12" ht="15">
      <c r="B11" s="1">
        <f>B10+1</f>
        <v>4</v>
      </c>
      <c r="C11" s="768" t="s">
        <v>243</v>
      </c>
      <c r="D11" s="755">
        <f>'P1'!J9</f>
        <v>190500</v>
      </c>
      <c r="E11" s="744">
        <f>'P1'!K9</f>
        <v>149644</v>
      </c>
      <c r="F11" s="1027">
        <f t="shared" si="0"/>
        <v>78.55328083989501</v>
      </c>
      <c r="G11" s="755">
        <f>'P1'!P9</f>
        <v>35398</v>
      </c>
      <c r="H11" s="756">
        <f>'P1'!Q9</f>
        <v>17380</v>
      </c>
      <c r="I11" s="1031">
        <f t="shared" si="1"/>
        <v>49.09881914232442</v>
      </c>
      <c r="J11" s="475">
        <f t="shared" si="2"/>
        <v>225898</v>
      </c>
      <c r="K11" s="928">
        <f t="shared" si="3"/>
        <v>167024</v>
      </c>
      <c r="L11" s="1045">
        <f>K11/J11*100</f>
        <v>73.93779493399676</v>
      </c>
    </row>
    <row r="12" spans="2:12" ht="15">
      <c r="B12" s="1">
        <f aca="true" t="shared" si="4" ref="B12:B24">B11+1</f>
        <v>5</v>
      </c>
      <c r="C12" s="769" t="s">
        <v>244</v>
      </c>
      <c r="D12" s="755">
        <f>'P2'!J9</f>
        <v>80000</v>
      </c>
      <c r="E12" s="744">
        <f>'P2'!K9</f>
        <v>20865</v>
      </c>
      <c r="F12" s="1027">
        <f t="shared" si="0"/>
        <v>26.08125</v>
      </c>
      <c r="G12" s="755">
        <f>'P2'!Q9</f>
        <v>0</v>
      </c>
      <c r="H12" s="756">
        <f>'P2'!P9</f>
        <v>0</v>
      </c>
      <c r="I12" s="1031"/>
      <c r="J12" s="475">
        <f t="shared" si="2"/>
        <v>80000</v>
      </c>
      <c r="K12" s="928">
        <f t="shared" si="3"/>
        <v>20865</v>
      </c>
      <c r="L12" s="1045">
        <f aca="true" t="shared" si="5" ref="L12:L22">K12/J12*100</f>
        <v>26.08125</v>
      </c>
    </row>
    <row r="13" spans="2:12" ht="15">
      <c r="B13" s="1">
        <f t="shared" si="4"/>
        <v>6</v>
      </c>
      <c r="C13" s="769" t="s">
        <v>106</v>
      </c>
      <c r="D13" s="757">
        <f>'P3'!J9</f>
        <v>3205685</v>
      </c>
      <c r="E13" s="745">
        <f>'P3'!K9</f>
        <v>1809615</v>
      </c>
      <c r="F13" s="1028">
        <f t="shared" si="0"/>
        <v>56.450181474474256</v>
      </c>
      <c r="G13" s="755">
        <f>'P3'!P9</f>
        <v>19015</v>
      </c>
      <c r="H13" s="756">
        <f>'P3'!Q9</f>
        <v>19016</v>
      </c>
      <c r="I13" s="1031">
        <f t="shared" si="1"/>
        <v>100.00525900604787</v>
      </c>
      <c r="J13" s="475">
        <f t="shared" si="2"/>
        <v>3224700</v>
      </c>
      <c r="K13" s="475">
        <f t="shared" si="3"/>
        <v>1828631</v>
      </c>
      <c r="L13" s="1045">
        <f t="shared" si="5"/>
        <v>56.707011504946195</v>
      </c>
    </row>
    <row r="14" spans="2:12" ht="15">
      <c r="B14" s="1">
        <f t="shared" si="4"/>
        <v>7</v>
      </c>
      <c r="C14" s="769" t="s">
        <v>105</v>
      </c>
      <c r="D14" s="755">
        <f>'P4'!J9</f>
        <v>428400</v>
      </c>
      <c r="E14" s="744">
        <f>'P4'!K9</f>
        <v>221052</v>
      </c>
      <c r="F14" s="1027">
        <f t="shared" si="0"/>
        <v>51.59943977591036</v>
      </c>
      <c r="G14" s="755">
        <f>'P4'!P9</f>
        <v>9891</v>
      </c>
      <c r="H14" s="756">
        <f>'P4'!Q9</f>
        <v>391</v>
      </c>
      <c r="I14" s="1031">
        <f t="shared" si="1"/>
        <v>3.9530886664644624</v>
      </c>
      <c r="J14" s="475">
        <f t="shared" si="2"/>
        <v>438291</v>
      </c>
      <c r="K14" s="475">
        <f t="shared" si="3"/>
        <v>221443</v>
      </c>
      <c r="L14" s="1045">
        <f t="shared" si="5"/>
        <v>50.52419511237968</v>
      </c>
    </row>
    <row r="15" spans="2:12" ht="15">
      <c r="B15" s="1">
        <f t="shared" si="4"/>
        <v>8</v>
      </c>
      <c r="C15" s="769" t="s">
        <v>245</v>
      </c>
      <c r="D15" s="757">
        <f>'P5'!J9</f>
        <v>1506000</v>
      </c>
      <c r="E15" s="745">
        <f>'P5'!K9</f>
        <v>663540</v>
      </c>
      <c r="F15" s="1028">
        <f t="shared" si="0"/>
        <v>44.059760956175296</v>
      </c>
      <c r="G15" s="757">
        <f>'P5'!P9</f>
        <v>1195670</v>
      </c>
      <c r="H15" s="758">
        <f>'P5'!Q9</f>
        <v>593751</v>
      </c>
      <c r="I15" s="1032">
        <f t="shared" si="1"/>
        <v>49.6584341833449</v>
      </c>
      <c r="J15" s="475">
        <f t="shared" si="2"/>
        <v>2701670</v>
      </c>
      <c r="K15" s="475">
        <f t="shared" si="3"/>
        <v>1257291</v>
      </c>
      <c r="L15" s="1045">
        <f t="shared" si="5"/>
        <v>46.53754899747193</v>
      </c>
    </row>
    <row r="16" spans="2:12" ht="15">
      <c r="B16" s="1">
        <f t="shared" si="4"/>
        <v>9</v>
      </c>
      <c r="C16" s="769" t="s">
        <v>246</v>
      </c>
      <c r="D16" s="757">
        <f>'P6'!H9</f>
        <v>3721300</v>
      </c>
      <c r="E16" s="745">
        <f>'P6'!I9</f>
        <v>869752</v>
      </c>
      <c r="F16" s="1028">
        <f t="shared" si="0"/>
        <v>23.372262381425845</v>
      </c>
      <c r="G16" s="757">
        <f>'P6'!O9</f>
        <v>531615</v>
      </c>
      <c r="H16" s="758">
        <f>'P6'!P9</f>
        <v>43951</v>
      </c>
      <c r="I16" s="1032">
        <f t="shared" si="1"/>
        <v>8.26744918785211</v>
      </c>
      <c r="J16" s="475">
        <f t="shared" si="2"/>
        <v>4252915</v>
      </c>
      <c r="K16" s="475">
        <f t="shared" si="3"/>
        <v>913703</v>
      </c>
      <c r="L16" s="1045">
        <f t="shared" si="5"/>
        <v>21.484158512455576</v>
      </c>
    </row>
    <row r="17" spans="2:12" ht="15">
      <c r="B17" s="1">
        <f t="shared" si="4"/>
        <v>10</v>
      </c>
      <c r="C17" s="769" t="s">
        <v>247</v>
      </c>
      <c r="D17" s="757">
        <f>'P7'!J9</f>
        <v>9981500</v>
      </c>
      <c r="E17" s="745">
        <f>'P7'!K9</f>
        <v>4473258</v>
      </c>
      <c r="F17" s="1028">
        <f t="shared" si="0"/>
        <v>44.81548865400992</v>
      </c>
      <c r="G17" s="757">
        <f>'P7'!P9</f>
        <v>2383609</v>
      </c>
      <c r="H17" s="758">
        <f>'P7'!Q9</f>
        <v>1986791</v>
      </c>
      <c r="I17" s="1032">
        <f t="shared" si="1"/>
        <v>83.35221926079319</v>
      </c>
      <c r="J17" s="475">
        <f t="shared" si="2"/>
        <v>12365109</v>
      </c>
      <c r="K17" s="475">
        <f t="shared" si="3"/>
        <v>6460049</v>
      </c>
      <c r="L17" s="1045">
        <f t="shared" si="5"/>
        <v>52.24417350465734</v>
      </c>
    </row>
    <row r="18" spans="2:12" ht="15">
      <c r="B18" s="1">
        <f t="shared" si="4"/>
        <v>11</v>
      </c>
      <c r="C18" s="769" t="s">
        <v>248</v>
      </c>
      <c r="D18" s="757">
        <f>'P8'!J9</f>
        <v>519200</v>
      </c>
      <c r="E18" s="745">
        <f>'P8'!K9</f>
        <v>139584</v>
      </c>
      <c r="F18" s="1028">
        <f t="shared" si="0"/>
        <v>26.884437596302003</v>
      </c>
      <c r="G18" s="757">
        <f>'P8'!P9</f>
        <v>435022</v>
      </c>
      <c r="H18" s="758">
        <f>'P8'!Q9</f>
        <v>77139</v>
      </c>
      <c r="I18" s="1032">
        <f t="shared" si="1"/>
        <v>17.732206647020153</v>
      </c>
      <c r="J18" s="475">
        <f t="shared" si="2"/>
        <v>954222</v>
      </c>
      <c r="K18" s="475">
        <f t="shared" si="3"/>
        <v>216723</v>
      </c>
      <c r="L18" s="1045">
        <f t="shared" si="5"/>
        <v>22.712010412671265</v>
      </c>
    </row>
    <row r="19" spans="2:12" ht="15">
      <c r="B19" s="1">
        <f t="shared" si="4"/>
        <v>12</v>
      </c>
      <c r="C19" s="769" t="s">
        <v>249</v>
      </c>
      <c r="D19" s="757">
        <f>'P9'!J9</f>
        <v>215500</v>
      </c>
      <c r="E19" s="745">
        <f>'P9'!K9</f>
        <v>113266</v>
      </c>
      <c r="F19" s="1028">
        <f t="shared" si="0"/>
        <v>52.55962877030163</v>
      </c>
      <c r="G19" s="757">
        <f>'P9'!P9</f>
        <v>48352</v>
      </c>
      <c r="H19" s="758">
        <f>'P9'!Q9</f>
        <v>8820</v>
      </c>
      <c r="I19" s="1032">
        <f t="shared" si="1"/>
        <v>18.24123097286565</v>
      </c>
      <c r="J19" s="475">
        <f t="shared" si="2"/>
        <v>263852</v>
      </c>
      <c r="K19" s="475">
        <f t="shared" si="3"/>
        <v>122086</v>
      </c>
      <c r="L19" s="1045">
        <f t="shared" si="5"/>
        <v>46.270636568985644</v>
      </c>
    </row>
    <row r="20" spans="2:12" ht="15">
      <c r="B20" s="1">
        <f t="shared" si="4"/>
        <v>13</v>
      </c>
      <c r="C20" s="769" t="s">
        <v>253</v>
      </c>
      <c r="D20" s="757">
        <f>'P10'!J9</f>
        <v>4990000</v>
      </c>
      <c r="E20" s="745">
        <f>'P10'!K9</f>
        <v>383213</v>
      </c>
      <c r="F20" s="1028">
        <f t="shared" si="0"/>
        <v>7.6796192384769535</v>
      </c>
      <c r="G20" s="757">
        <f>'P10'!P9</f>
        <v>208257</v>
      </c>
      <c r="H20" s="758">
        <f>'P10'!Q9</f>
        <v>57190</v>
      </c>
      <c r="I20" s="1032">
        <f t="shared" si="1"/>
        <v>27.461261806325837</v>
      </c>
      <c r="J20" s="475">
        <f t="shared" si="2"/>
        <v>5198257</v>
      </c>
      <c r="K20" s="475">
        <f t="shared" si="3"/>
        <v>440403</v>
      </c>
      <c r="L20" s="1045">
        <f t="shared" si="5"/>
        <v>8.472128253758903</v>
      </c>
    </row>
    <row r="21" spans="2:12" ht="15">
      <c r="B21" s="1">
        <f t="shared" si="4"/>
        <v>14</v>
      </c>
      <c r="C21" s="769" t="s">
        <v>256</v>
      </c>
      <c r="D21" s="757">
        <f>'P11'!J9</f>
        <v>1530000</v>
      </c>
      <c r="E21" s="745">
        <f>'P11'!K9</f>
        <v>800203</v>
      </c>
      <c r="F21" s="1028">
        <f t="shared" si="0"/>
        <v>52.300849673202606</v>
      </c>
      <c r="G21" s="757">
        <f>'P11'!P9</f>
        <v>0</v>
      </c>
      <c r="H21" s="758">
        <v>0</v>
      </c>
      <c r="I21" s="1032"/>
      <c r="J21" s="475">
        <f t="shared" si="2"/>
        <v>1530000</v>
      </c>
      <c r="K21" s="475">
        <f t="shared" si="3"/>
        <v>800203</v>
      </c>
      <c r="L21" s="1045">
        <f t="shared" si="5"/>
        <v>52.300849673202606</v>
      </c>
    </row>
    <row r="22" spans="2:12" ht="15">
      <c r="B22" s="1">
        <f t="shared" si="4"/>
        <v>15</v>
      </c>
      <c r="C22" s="769" t="s">
        <v>259</v>
      </c>
      <c r="D22" s="757">
        <f>'P12'!J9</f>
        <v>199000</v>
      </c>
      <c r="E22" s="745">
        <f>'P12'!K9</f>
        <v>88552</v>
      </c>
      <c r="F22" s="1028">
        <f t="shared" si="0"/>
        <v>44.49849246231155</v>
      </c>
      <c r="G22" s="757">
        <f>'P12'!Q9</f>
        <v>1790831</v>
      </c>
      <c r="H22" s="758">
        <f>'P12'!R9</f>
        <v>350115</v>
      </c>
      <c r="I22" s="1032">
        <f t="shared" si="1"/>
        <v>19.5504210056672</v>
      </c>
      <c r="J22" s="475">
        <f t="shared" si="2"/>
        <v>1989831</v>
      </c>
      <c r="K22" s="475">
        <f t="shared" si="3"/>
        <v>438667</v>
      </c>
      <c r="L22" s="1045">
        <f t="shared" si="5"/>
        <v>22.045440039882784</v>
      </c>
    </row>
    <row r="23" spans="2:12" ht="12" customHeight="1">
      <c r="B23" s="1">
        <f t="shared" si="4"/>
        <v>16</v>
      </c>
      <c r="C23" s="1246" t="s">
        <v>373</v>
      </c>
      <c r="D23" s="1232">
        <f>D8-D9</f>
        <v>74915</v>
      </c>
      <c r="E23" s="1226">
        <f>E8-E9</f>
        <v>4704444.109999999</v>
      </c>
      <c r="F23" s="911"/>
      <c r="G23" s="759"/>
      <c r="H23" s="760"/>
      <c r="I23" s="912"/>
      <c r="J23" s="1230"/>
      <c r="K23" s="1230"/>
      <c r="L23" s="1214"/>
    </row>
    <row r="24" spans="2:12" ht="11.25" customHeight="1">
      <c r="B24" s="1">
        <f t="shared" si="4"/>
        <v>17</v>
      </c>
      <c r="C24" s="1247"/>
      <c r="D24" s="1233"/>
      <c r="E24" s="1227"/>
      <c r="F24" s="885"/>
      <c r="G24" s="761"/>
      <c r="H24" s="762"/>
      <c r="I24" s="913"/>
      <c r="J24" s="1231"/>
      <c r="K24" s="1231"/>
      <c r="L24" s="1215"/>
    </row>
    <row r="25" spans="2:12" ht="11.25" customHeight="1">
      <c r="B25" s="1">
        <f>B24+1</f>
        <v>18</v>
      </c>
      <c r="C25" s="1248" t="s">
        <v>374</v>
      </c>
      <c r="D25" s="775"/>
      <c r="E25" s="746"/>
      <c r="F25" s="908"/>
      <c r="G25" s="1250">
        <f>G8-G9</f>
        <v>5452485</v>
      </c>
      <c r="H25" s="1228">
        <f>H8-H9</f>
        <v>-2237401.4699999997</v>
      </c>
      <c r="I25" s="914"/>
      <c r="J25" s="1221"/>
      <c r="K25" s="1221"/>
      <c r="L25" s="1216"/>
    </row>
    <row r="26" spans="2:12" ht="11.25" customHeight="1">
      <c r="B26" s="1">
        <f>B25+1</f>
        <v>19</v>
      </c>
      <c r="C26" s="1249"/>
      <c r="D26" s="776"/>
      <c r="E26" s="747"/>
      <c r="F26" s="909"/>
      <c r="G26" s="1251"/>
      <c r="H26" s="1229"/>
      <c r="I26" s="915"/>
      <c r="J26" s="1222"/>
      <c r="K26" s="1222"/>
      <c r="L26" s="1217"/>
    </row>
    <row r="27" spans="1:12" ht="21" customHeight="1" thickBot="1">
      <c r="A27" s="33"/>
      <c r="B27" s="390">
        <f>B26+1</f>
        <v>20</v>
      </c>
      <c r="C27" s="770" t="s">
        <v>375</v>
      </c>
      <c r="D27" s="777"/>
      <c r="E27" s="748"/>
      <c r="F27" s="910"/>
      <c r="G27" s="763"/>
      <c r="H27" s="764"/>
      <c r="I27" s="916"/>
      <c r="J27" s="476">
        <f>J8-J9</f>
        <v>5527400</v>
      </c>
      <c r="K27" s="476">
        <f>K8-K9</f>
        <v>2467042.6399999987</v>
      </c>
      <c r="L27" s="1046">
        <f>K27/J27*100</f>
        <v>44.63296739877698</v>
      </c>
    </row>
    <row r="28" spans="1:11" s="33" customFormat="1" ht="10.5" customHeight="1" thickBot="1">
      <c r="A28" s="46"/>
      <c r="B28" s="15"/>
      <c r="C28" s="236"/>
      <c r="D28" s="391"/>
      <c r="E28" s="391"/>
      <c r="F28" s="391"/>
      <c r="G28" s="391"/>
      <c r="H28" s="391"/>
      <c r="I28" s="391"/>
      <c r="J28" s="391"/>
      <c r="K28" s="391"/>
    </row>
    <row r="29" spans="1:12" ht="16.5" customHeight="1">
      <c r="A29" s="33"/>
      <c r="B29" s="1218" t="s">
        <v>303</v>
      </c>
      <c r="C29" s="1219"/>
      <c r="D29" s="1219"/>
      <c r="E29" s="1219"/>
      <c r="F29" s="1219"/>
      <c r="G29" s="1219"/>
      <c r="H29" s="1219"/>
      <c r="I29" s="1219"/>
      <c r="J29" s="1219"/>
      <c r="K29" s="1219"/>
      <c r="L29" s="1220"/>
    </row>
    <row r="30" spans="1:12" ht="15.75" customHeight="1">
      <c r="A30" s="33"/>
      <c r="B30" s="1033">
        <f>B27+1</f>
        <v>21</v>
      </c>
      <c r="C30" s="1223" t="s">
        <v>398</v>
      </c>
      <c r="D30" s="1224"/>
      <c r="E30" s="1224"/>
      <c r="F30" s="1224"/>
      <c r="G30" s="1224"/>
      <c r="H30" s="1035"/>
      <c r="I30" s="1034"/>
      <c r="J30" s="754">
        <f>J31</f>
        <v>2000000</v>
      </c>
      <c r="K30" s="754">
        <f>SUM(K31:K34)</f>
        <v>1898813</v>
      </c>
      <c r="L30" s="1047">
        <f>K30/J30*100</f>
        <v>94.94065</v>
      </c>
    </row>
    <row r="31" spans="1:12" ht="14.25" customHeight="1">
      <c r="A31" s="33"/>
      <c r="B31" s="609">
        <v>22</v>
      </c>
      <c r="C31" s="610" t="s">
        <v>397</v>
      </c>
      <c r="D31" s="611"/>
      <c r="E31" s="611"/>
      <c r="F31" s="611"/>
      <c r="G31" s="611"/>
      <c r="H31" s="612"/>
      <c r="I31" s="611"/>
      <c r="J31" s="613">
        <v>2000000</v>
      </c>
      <c r="K31" s="613">
        <v>1656704</v>
      </c>
      <c r="L31" s="1048">
        <f>K31/J31*100</f>
        <v>82.8352</v>
      </c>
    </row>
    <row r="32" spans="1:12" ht="14.25" customHeight="1">
      <c r="A32" s="33"/>
      <c r="B32" s="609">
        <f>B31+1</f>
        <v>23</v>
      </c>
      <c r="C32" s="823" t="s">
        <v>443</v>
      </c>
      <c r="D32" s="611"/>
      <c r="E32" s="611"/>
      <c r="F32" s="611"/>
      <c r="G32" s="611"/>
      <c r="H32" s="612"/>
      <c r="I32" s="611"/>
      <c r="J32" s="613"/>
      <c r="K32" s="613">
        <v>40446</v>
      </c>
      <c r="L32" s="1048"/>
    </row>
    <row r="33" spans="1:12" ht="14.25" customHeight="1">
      <c r="A33" s="33"/>
      <c r="B33" s="609">
        <f>B32+1</f>
        <v>24</v>
      </c>
      <c r="C33" s="823" t="s">
        <v>476</v>
      </c>
      <c r="D33" s="611"/>
      <c r="E33" s="611"/>
      <c r="F33" s="611"/>
      <c r="G33" s="611"/>
      <c r="H33" s="612"/>
      <c r="I33" s="611"/>
      <c r="J33" s="613"/>
      <c r="K33" s="613">
        <v>201593</v>
      </c>
      <c r="L33" s="1040"/>
    </row>
    <row r="34" spans="1:12" ht="14.25" customHeight="1">
      <c r="A34" s="33"/>
      <c r="B34" s="609">
        <f>B33+1</f>
        <v>25</v>
      </c>
      <c r="C34" s="823" t="s">
        <v>444</v>
      </c>
      <c r="D34" s="611"/>
      <c r="E34" s="611"/>
      <c r="F34" s="611"/>
      <c r="G34" s="611"/>
      <c r="H34" s="612"/>
      <c r="I34" s="611"/>
      <c r="J34" s="613"/>
      <c r="K34" s="613">
        <v>70</v>
      </c>
      <c r="L34" s="1040"/>
    </row>
    <row r="35" spans="1:12" ht="15.75" customHeight="1">
      <c r="A35" s="33"/>
      <c r="B35" s="614">
        <f>B34+1</f>
        <v>26</v>
      </c>
      <c r="C35" s="1237" t="s">
        <v>399</v>
      </c>
      <c r="D35" s="1238"/>
      <c r="E35" s="1238"/>
      <c r="F35" s="1238"/>
      <c r="G35" s="1238"/>
      <c r="H35" s="706"/>
      <c r="I35" s="887"/>
      <c r="J35" s="615">
        <f>J36+J40+J41</f>
        <v>7527400</v>
      </c>
      <c r="K35" s="615">
        <f>K36+K40+K41</f>
        <v>4749889</v>
      </c>
      <c r="L35" s="1049">
        <f>K35/J35*100</f>
        <v>63.10132316603343</v>
      </c>
    </row>
    <row r="36" spans="1:12" ht="14.25" customHeight="1">
      <c r="A36" s="33"/>
      <c r="B36" s="609">
        <f aca="true" t="shared" si="6" ref="B36:B44">B35+1</f>
        <v>27</v>
      </c>
      <c r="C36" s="610" t="s">
        <v>393</v>
      </c>
      <c r="D36" s="611"/>
      <c r="E36" s="611"/>
      <c r="F36" s="611"/>
      <c r="G36" s="611"/>
      <c r="H36" s="612"/>
      <c r="I36" s="611"/>
      <c r="J36" s="613">
        <f>SUM(J37:J39)</f>
        <v>1532200</v>
      </c>
      <c r="K36" s="613">
        <f>SUM(K37:K39)</f>
        <v>766004</v>
      </c>
      <c r="L36" s="1048">
        <f>K36/J36*100</f>
        <v>49.99373449941261</v>
      </c>
    </row>
    <row r="37" spans="1:12" ht="13.5" customHeight="1">
      <c r="A37" s="33"/>
      <c r="B37" s="202">
        <f t="shared" si="6"/>
        <v>28</v>
      </c>
      <c r="C37" s="1235" t="s">
        <v>400</v>
      </c>
      <c r="D37" s="1236"/>
      <c r="E37" s="1236"/>
      <c r="F37" s="1236"/>
      <c r="G37" s="1236"/>
      <c r="H37" s="482"/>
      <c r="I37" s="481"/>
      <c r="J37" s="480">
        <v>266000</v>
      </c>
      <c r="K37" s="480">
        <v>132900</v>
      </c>
      <c r="L37" s="1050">
        <f aca="true" t="shared" si="7" ref="L37:L42">K37/J37*100</f>
        <v>49.962406015037594</v>
      </c>
    </row>
    <row r="38" spans="1:12" ht="13.5" customHeight="1">
      <c r="A38" s="33"/>
      <c r="B38" s="202">
        <f t="shared" si="6"/>
        <v>29</v>
      </c>
      <c r="C38" s="1235" t="s">
        <v>381</v>
      </c>
      <c r="D38" s="1236"/>
      <c r="E38" s="1236"/>
      <c r="F38" s="1236"/>
      <c r="G38" s="1236"/>
      <c r="H38" s="482"/>
      <c r="I38" s="481"/>
      <c r="J38" s="480">
        <v>731200</v>
      </c>
      <c r="K38" s="480">
        <v>365600</v>
      </c>
      <c r="L38" s="1050">
        <f t="shared" si="7"/>
        <v>50</v>
      </c>
    </row>
    <row r="39" spans="1:12" ht="13.5" customHeight="1">
      <c r="A39" s="33"/>
      <c r="B39" s="202">
        <f t="shared" si="6"/>
        <v>30</v>
      </c>
      <c r="C39" s="563" t="s">
        <v>382</v>
      </c>
      <c r="D39" s="481"/>
      <c r="E39" s="481"/>
      <c r="F39" s="481"/>
      <c r="G39" s="481"/>
      <c r="H39" s="482"/>
      <c r="I39" s="481"/>
      <c r="J39" s="480">
        <v>535000</v>
      </c>
      <c r="K39" s="480">
        <v>267504</v>
      </c>
      <c r="L39" s="1050">
        <f t="shared" si="7"/>
        <v>50.0007476635514</v>
      </c>
    </row>
    <row r="40" spans="1:12" ht="14.25" customHeight="1">
      <c r="A40" s="33"/>
      <c r="B40" s="609">
        <f t="shared" si="6"/>
        <v>31</v>
      </c>
      <c r="C40" s="610" t="s">
        <v>394</v>
      </c>
      <c r="D40" s="611"/>
      <c r="E40" s="611"/>
      <c r="F40" s="611"/>
      <c r="G40" s="611"/>
      <c r="H40" s="612"/>
      <c r="I40" s="611"/>
      <c r="J40" s="613">
        <v>21200</v>
      </c>
      <c r="K40" s="613">
        <v>10015</v>
      </c>
      <c r="L40" s="1048">
        <f t="shared" si="7"/>
        <v>47.240566037735846</v>
      </c>
    </row>
    <row r="41" spans="1:12" ht="14.25" customHeight="1">
      <c r="A41" s="33"/>
      <c r="B41" s="609">
        <f t="shared" si="6"/>
        <v>32</v>
      </c>
      <c r="C41" s="610" t="s">
        <v>395</v>
      </c>
      <c r="D41" s="611"/>
      <c r="E41" s="611"/>
      <c r="F41" s="611"/>
      <c r="G41" s="611"/>
      <c r="H41" s="612"/>
      <c r="I41" s="611"/>
      <c r="J41" s="613">
        <f>J42+J43</f>
        <v>5974000</v>
      </c>
      <c r="K41" s="613">
        <f>K42</f>
        <v>3973870</v>
      </c>
      <c r="L41" s="1048">
        <f t="shared" si="7"/>
        <v>66.51941747572816</v>
      </c>
    </row>
    <row r="42" spans="1:12" ht="15.75" customHeight="1">
      <c r="A42" s="33"/>
      <c r="B42" s="202">
        <f t="shared" si="6"/>
        <v>33</v>
      </c>
      <c r="C42" s="1235" t="s">
        <v>396</v>
      </c>
      <c r="D42" s="1236"/>
      <c r="E42" s="1236"/>
      <c r="F42" s="1236"/>
      <c r="G42" s="1236"/>
      <c r="H42" s="482"/>
      <c r="I42" s="481"/>
      <c r="J42" s="480">
        <v>3974000</v>
      </c>
      <c r="K42" s="480">
        <v>3973870</v>
      </c>
      <c r="L42" s="1050">
        <f t="shared" si="7"/>
        <v>99.99672873678914</v>
      </c>
    </row>
    <row r="43" spans="1:12" ht="14.25" customHeight="1" thickBot="1">
      <c r="A43" s="33"/>
      <c r="B43" s="202">
        <f t="shared" si="6"/>
        <v>34</v>
      </c>
      <c r="C43" s="496" t="s">
        <v>401</v>
      </c>
      <c r="D43" s="497"/>
      <c r="E43" s="497"/>
      <c r="F43" s="497"/>
      <c r="G43" s="497"/>
      <c r="H43" s="498"/>
      <c r="I43" s="497"/>
      <c r="J43" s="499">
        <v>2000000</v>
      </c>
      <c r="K43" s="499"/>
      <c r="L43" s="1041"/>
    </row>
    <row r="44" spans="1:12" ht="20.25" customHeight="1" thickBot="1" thickTop="1">
      <c r="A44" s="33"/>
      <c r="B44" s="393">
        <f t="shared" si="6"/>
        <v>35</v>
      </c>
      <c r="C44" s="1206" t="s">
        <v>304</v>
      </c>
      <c r="D44" s="1207"/>
      <c r="E44" s="1207"/>
      <c r="F44" s="1207"/>
      <c r="G44" s="1207"/>
      <c r="H44" s="705"/>
      <c r="I44" s="886"/>
      <c r="J44" s="477">
        <f>J27+J30-J35</f>
        <v>0</v>
      </c>
      <c r="K44" s="477">
        <f>K27+K30-K35</f>
        <v>-384033.36000000127</v>
      </c>
      <c r="L44" s="1042"/>
    </row>
    <row r="45" spans="1:3" ht="8.25" customHeight="1">
      <c r="A45" s="33"/>
      <c r="B45" s="394"/>
      <c r="C45" s="395"/>
    </row>
    <row r="46" spans="1:10" ht="33" customHeight="1">
      <c r="A46" s="33"/>
      <c r="B46" s="1234" t="s">
        <v>318</v>
      </c>
      <c r="C46" s="1234"/>
      <c r="D46" s="1234"/>
      <c r="E46" s="1234"/>
      <c r="F46" s="1234"/>
      <c r="G46" s="1234"/>
      <c r="H46" s="1234"/>
      <c r="I46" s="1234"/>
      <c r="J46" s="1234"/>
    </row>
    <row r="47" spans="1:11" ht="33.75" customHeight="1">
      <c r="A47" s="33"/>
      <c r="B47" s="1225" t="s">
        <v>477</v>
      </c>
      <c r="C47" s="1225"/>
      <c r="D47" s="1225"/>
      <c r="E47" s="1225"/>
      <c r="F47" s="1225"/>
      <c r="G47" s="1225"/>
      <c r="H47" s="1225"/>
      <c r="I47" s="1225"/>
      <c r="J47" s="1225"/>
      <c r="K47" s="1225"/>
    </row>
    <row r="48" spans="2:3" ht="15">
      <c r="B48" s="24"/>
      <c r="C48" s="25"/>
    </row>
    <row r="49" spans="2:3" ht="15">
      <c r="B49" s="24"/>
      <c r="C49" s="25"/>
    </row>
    <row r="50" spans="2:3" ht="15">
      <c r="B50" s="24"/>
      <c r="C50" s="25"/>
    </row>
    <row r="51" spans="2:3" ht="15">
      <c r="B51" s="24"/>
      <c r="C51" s="25"/>
    </row>
    <row r="52" spans="2:3" ht="15">
      <c r="B52" s="24"/>
      <c r="C52" s="25"/>
    </row>
    <row r="53" spans="2:3" ht="15">
      <c r="B53" s="24"/>
      <c r="C53" s="25"/>
    </row>
    <row r="54" spans="2:3" ht="15">
      <c r="B54" s="24"/>
      <c r="C54" s="25"/>
    </row>
    <row r="55" spans="2:3" ht="15">
      <c r="B55" s="24"/>
      <c r="C55" s="25"/>
    </row>
    <row r="56" spans="2:3" ht="15">
      <c r="B56" s="24"/>
      <c r="C56" s="25"/>
    </row>
  </sheetData>
  <sheetProtection/>
  <mergeCells count="24">
    <mergeCell ref="B2:J2"/>
    <mergeCell ref="B4:C7"/>
    <mergeCell ref="C23:C24"/>
    <mergeCell ref="C25:C26"/>
    <mergeCell ref="G25:G26"/>
    <mergeCell ref="J23:J24"/>
    <mergeCell ref="B47:K47"/>
    <mergeCell ref="E23:E24"/>
    <mergeCell ref="H25:H26"/>
    <mergeCell ref="K23:K24"/>
    <mergeCell ref="K25:K26"/>
    <mergeCell ref="D23:D24"/>
    <mergeCell ref="B46:J46"/>
    <mergeCell ref="C42:G42"/>
    <mergeCell ref="C38:G38"/>
    <mergeCell ref="C35:G35"/>
    <mergeCell ref="C44:G44"/>
    <mergeCell ref="D4:L6"/>
    <mergeCell ref="L23:L24"/>
    <mergeCell ref="L25:L26"/>
    <mergeCell ref="B29:L29"/>
    <mergeCell ref="J25:J26"/>
    <mergeCell ref="C30:G30"/>
    <mergeCell ref="C37:G37"/>
  </mergeCells>
  <printOptions/>
  <pageMargins left="0.4330708661417323" right="0.1968503937007874" top="0.17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3.140625" style="17" customWidth="1"/>
    <col min="3" max="3" width="5.140625" style="18" customWidth="1"/>
    <col min="4" max="4" width="4.28125" style="18" customWidth="1"/>
    <col min="5" max="5" width="3.421875" style="18" customWidth="1"/>
    <col min="6" max="6" width="41.57421875" style="17" customWidth="1"/>
    <col min="7" max="7" width="13.7109375" style="17" customWidth="1"/>
    <col min="8" max="8" width="14.140625" style="0" customWidth="1"/>
    <col min="9" max="9" width="6.8515625" style="977" customWidth="1"/>
    <col min="11" max="11" width="10.140625" style="0" bestFit="1" customWidth="1"/>
  </cols>
  <sheetData>
    <row r="1" ht="12.75">
      <c r="A1" s="487"/>
    </row>
    <row r="2" ht="13.5" thickBot="1"/>
    <row r="3" spans="2:9" ht="14.25" customHeight="1">
      <c r="B3" s="1062" t="s">
        <v>280</v>
      </c>
      <c r="C3" s="1053"/>
      <c r="D3" s="1053"/>
      <c r="E3" s="1053"/>
      <c r="F3" s="1054"/>
      <c r="G3" s="1071" t="s">
        <v>459</v>
      </c>
      <c r="H3" s="1056" t="s">
        <v>465</v>
      </c>
      <c r="I3" s="1068" t="s">
        <v>406</v>
      </c>
    </row>
    <row r="4" spans="2:9" ht="14.25" customHeight="1">
      <c r="B4" s="1082"/>
      <c r="C4" s="1083"/>
      <c r="D4" s="1083"/>
      <c r="E4" s="1083"/>
      <c r="F4" s="1084"/>
      <c r="G4" s="1072"/>
      <c r="H4" s="1057"/>
      <c r="I4" s="1069"/>
    </row>
    <row r="5" spans="2:9" ht="14.25" customHeight="1">
      <c r="B5" s="176"/>
      <c r="C5" s="177" t="s">
        <v>13</v>
      </c>
      <c r="D5" s="177" t="s">
        <v>14</v>
      </c>
      <c r="E5" s="177" t="s">
        <v>15</v>
      </c>
      <c r="F5" s="179"/>
      <c r="G5" s="1072"/>
      <c r="H5" s="1057"/>
      <c r="I5" s="1069"/>
    </row>
    <row r="6" spans="2:9" ht="24" customHeight="1" thickBot="1">
      <c r="B6" s="180"/>
      <c r="C6" s="181"/>
      <c r="D6" s="182"/>
      <c r="E6" s="181" t="s">
        <v>16</v>
      </c>
      <c r="F6" s="184" t="s">
        <v>17</v>
      </c>
      <c r="G6" s="1073"/>
      <c r="H6" s="1058"/>
      <c r="I6" s="1070"/>
    </row>
    <row r="7" spans="2:9" ht="16.5" customHeight="1" thickTop="1">
      <c r="B7" s="202">
        <v>1</v>
      </c>
      <c r="C7" s="203" t="s">
        <v>40</v>
      </c>
      <c r="D7" s="204"/>
      <c r="E7" s="205"/>
      <c r="F7" s="206" t="s">
        <v>41</v>
      </c>
      <c r="G7" s="571">
        <f>G9</f>
        <v>9965145</v>
      </c>
      <c r="H7" s="795">
        <f>H9</f>
        <v>917142.53</v>
      </c>
      <c r="I7" s="978">
        <f>H7/G7*100</f>
        <v>9.203504113587911</v>
      </c>
    </row>
    <row r="8" spans="2:9" ht="12.75" customHeight="1">
      <c r="B8" s="207">
        <f>B7+1</f>
        <v>2</v>
      </c>
      <c r="C8" s="16"/>
      <c r="D8" s="9"/>
      <c r="E8" s="11"/>
      <c r="F8" s="208"/>
      <c r="G8" s="209"/>
      <c r="H8" s="663"/>
      <c r="I8" s="800"/>
    </row>
    <row r="9" spans="2:9" ht="12.75" customHeight="1">
      <c r="B9" s="207">
        <f aca="true" t="shared" si="0" ref="B9:B27">B8+1</f>
        <v>3</v>
      </c>
      <c r="C9" s="9" t="s">
        <v>281</v>
      </c>
      <c r="D9" s="9"/>
      <c r="E9" s="11"/>
      <c r="F9" s="208" t="s">
        <v>280</v>
      </c>
      <c r="G9" s="173">
        <f>G10+G15</f>
        <v>9965145</v>
      </c>
      <c r="H9" s="664">
        <f>H10+H15+H22</f>
        <v>917142.53</v>
      </c>
      <c r="I9" s="806">
        <f aca="true" t="shared" si="1" ref="I9:I20">H9/G9*100</f>
        <v>9.203504113587911</v>
      </c>
    </row>
    <row r="10" spans="2:9" ht="13.5" customHeight="1">
      <c r="B10" s="207">
        <f t="shared" si="0"/>
        <v>4</v>
      </c>
      <c r="C10" s="10"/>
      <c r="D10" s="10" t="s">
        <v>282</v>
      </c>
      <c r="E10" s="13"/>
      <c r="F10" s="210" t="s">
        <v>283</v>
      </c>
      <c r="G10" s="174">
        <f>SUM(G11:G13)</f>
        <v>2812850</v>
      </c>
      <c r="H10" s="778">
        <f>SUM(H11:H13)</f>
        <v>146575</v>
      </c>
      <c r="I10" s="800">
        <f t="shared" si="1"/>
        <v>5.210907087118048</v>
      </c>
    </row>
    <row r="11" spans="2:9" ht="12.75">
      <c r="B11" s="207">
        <f t="shared" si="0"/>
        <v>5</v>
      </c>
      <c r="C11" s="10"/>
      <c r="D11" s="47"/>
      <c r="E11" s="8"/>
      <c r="F11" s="20" t="s">
        <v>284</v>
      </c>
      <c r="G11" s="174">
        <v>460000</v>
      </c>
      <c r="H11" s="665"/>
      <c r="I11" s="800">
        <f t="shared" si="1"/>
        <v>0</v>
      </c>
    </row>
    <row r="12" spans="2:9" ht="12.75">
      <c r="B12" s="207">
        <f t="shared" si="0"/>
        <v>6</v>
      </c>
      <c r="C12" s="9"/>
      <c r="D12" s="10"/>
      <c r="E12" s="12"/>
      <c r="F12" s="22" t="s">
        <v>285</v>
      </c>
      <c r="G12" s="174">
        <v>20000</v>
      </c>
      <c r="H12" s="665">
        <f>5104+7021</f>
        <v>12125</v>
      </c>
      <c r="I12" s="800">
        <f t="shared" si="1"/>
        <v>60.62499999999999</v>
      </c>
    </row>
    <row r="13" spans="2:9" ht="12.75">
      <c r="B13" s="207">
        <f t="shared" si="0"/>
        <v>7</v>
      </c>
      <c r="C13" s="9"/>
      <c r="D13" s="10"/>
      <c r="E13" s="12"/>
      <c r="F13" s="22" t="s">
        <v>391</v>
      </c>
      <c r="G13" s="175">
        <v>2332850</v>
      </c>
      <c r="H13" s="665">
        <v>134450</v>
      </c>
      <c r="I13" s="800">
        <f t="shared" si="1"/>
        <v>5.763336691171743</v>
      </c>
    </row>
    <row r="14" spans="2:9" ht="12.75">
      <c r="B14" s="207">
        <f t="shared" si="0"/>
        <v>8</v>
      </c>
      <c r="C14" s="9"/>
      <c r="D14" s="10"/>
      <c r="E14" s="12"/>
      <c r="F14" s="22"/>
      <c r="G14" s="175"/>
      <c r="H14" s="665"/>
      <c r="I14" s="800"/>
    </row>
    <row r="15" spans="2:9" ht="12.75">
      <c r="B15" s="207">
        <f t="shared" si="0"/>
        <v>9</v>
      </c>
      <c r="C15" s="9"/>
      <c r="D15" s="10" t="s">
        <v>286</v>
      </c>
      <c r="E15" s="12" t="s">
        <v>29</v>
      </c>
      <c r="F15" s="22" t="s">
        <v>287</v>
      </c>
      <c r="G15" s="174">
        <f>SUM(G16:G20)</f>
        <v>7152295</v>
      </c>
      <c r="H15" s="664">
        <f>H16+H18</f>
        <v>770537.53</v>
      </c>
      <c r="I15" s="800">
        <f t="shared" si="1"/>
        <v>10.77329067103636</v>
      </c>
    </row>
    <row r="16" spans="2:9" ht="12.75">
      <c r="B16" s="207">
        <f t="shared" si="0"/>
        <v>10</v>
      </c>
      <c r="C16" s="10"/>
      <c r="D16" s="10"/>
      <c r="E16" s="12"/>
      <c r="F16" s="22" t="s">
        <v>288</v>
      </c>
      <c r="G16" s="174">
        <v>276150</v>
      </c>
      <c r="H16" s="665">
        <f>770537.53-H18</f>
        <v>84900.53000000003</v>
      </c>
      <c r="I16" s="800">
        <f t="shared" si="1"/>
        <v>30.744352706862223</v>
      </c>
    </row>
    <row r="17" spans="2:9" ht="12.75">
      <c r="B17" s="207">
        <f t="shared" si="0"/>
        <v>11</v>
      </c>
      <c r="C17" s="10"/>
      <c r="D17" s="13"/>
      <c r="E17" s="12"/>
      <c r="F17" s="22" t="s">
        <v>289</v>
      </c>
      <c r="G17" s="174">
        <v>3800000</v>
      </c>
      <c r="H17" s="665">
        <v>0</v>
      </c>
      <c r="I17" s="800">
        <f t="shared" si="1"/>
        <v>0</v>
      </c>
    </row>
    <row r="18" spans="2:9" ht="12.75">
      <c r="B18" s="207">
        <f t="shared" si="0"/>
        <v>12</v>
      </c>
      <c r="C18" s="10"/>
      <c r="D18" s="13"/>
      <c r="E18" s="12"/>
      <c r="F18" s="22" t="s">
        <v>376</v>
      </c>
      <c r="G18" s="174">
        <v>685000</v>
      </c>
      <c r="H18" s="665">
        <v>685637</v>
      </c>
      <c r="I18" s="800">
        <f t="shared" si="1"/>
        <v>100.09299270072994</v>
      </c>
    </row>
    <row r="19" spans="2:9" ht="12.75">
      <c r="B19" s="207">
        <f t="shared" si="0"/>
        <v>13</v>
      </c>
      <c r="C19" s="10"/>
      <c r="D19" s="13"/>
      <c r="E19" s="12"/>
      <c r="F19" s="22" t="s">
        <v>377</v>
      </c>
      <c r="G19" s="174">
        <v>274145</v>
      </c>
      <c r="H19" s="665">
        <v>0</v>
      </c>
      <c r="I19" s="800">
        <f t="shared" si="1"/>
        <v>0</v>
      </c>
    </row>
    <row r="20" spans="2:9" ht="12.75">
      <c r="B20" s="207">
        <f t="shared" si="0"/>
        <v>14</v>
      </c>
      <c r="C20" s="10"/>
      <c r="D20" s="13"/>
      <c r="E20" s="12"/>
      <c r="F20" s="22" t="s">
        <v>378</v>
      </c>
      <c r="G20" s="174">
        <v>2117000</v>
      </c>
      <c r="H20" s="665">
        <v>0</v>
      </c>
      <c r="I20" s="800">
        <f t="shared" si="1"/>
        <v>0</v>
      </c>
    </row>
    <row r="21" spans="2:9" ht="12.75">
      <c r="B21" s="207">
        <f t="shared" si="0"/>
        <v>15</v>
      </c>
      <c r="C21" s="10"/>
      <c r="D21" s="13"/>
      <c r="E21" s="12"/>
      <c r="F21" s="22"/>
      <c r="G21" s="174"/>
      <c r="H21" s="665"/>
      <c r="I21" s="800"/>
    </row>
    <row r="22" spans="2:9" ht="12.75">
      <c r="B22" s="207">
        <f t="shared" si="0"/>
        <v>16</v>
      </c>
      <c r="C22" s="10"/>
      <c r="D22" s="13"/>
      <c r="E22" s="12"/>
      <c r="F22" s="22" t="s">
        <v>460</v>
      </c>
      <c r="G22" s="174"/>
      <c r="H22" s="665">
        <v>30</v>
      </c>
      <c r="I22" s="800"/>
    </row>
    <row r="23" spans="2:9" ht="12.75">
      <c r="B23" s="207">
        <f t="shared" si="0"/>
        <v>17</v>
      </c>
      <c r="C23" s="10"/>
      <c r="D23" s="13"/>
      <c r="E23" s="12"/>
      <c r="F23" s="211" t="s">
        <v>290</v>
      </c>
      <c r="G23" s="174"/>
      <c r="H23" s="665"/>
      <c r="I23" s="800"/>
    </row>
    <row r="24" spans="2:9" ht="12.75">
      <c r="B24" s="207">
        <f t="shared" si="0"/>
        <v>18</v>
      </c>
      <c r="C24" s="212" t="s">
        <v>88</v>
      </c>
      <c r="D24" s="213"/>
      <c r="E24" s="213"/>
      <c r="F24" s="206" t="s">
        <v>291</v>
      </c>
      <c r="G24" s="464">
        <f>G26</f>
        <v>2145000</v>
      </c>
      <c r="H24" s="796">
        <v>0</v>
      </c>
      <c r="I24" s="979"/>
    </row>
    <row r="25" spans="2:9" ht="12.75">
      <c r="B25" s="207">
        <f t="shared" si="0"/>
        <v>19</v>
      </c>
      <c r="C25" s="214"/>
      <c r="D25" s="215"/>
      <c r="E25" s="215"/>
      <c r="F25" s="216"/>
      <c r="G25" s="172"/>
      <c r="H25" s="665"/>
      <c r="I25" s="800"/>
    </row>
    <row r="26" spans="2:9" ht="12.75">
      <c r="B26" s="207">
        <f t="shared" si="0"/>
        <v>20</v>
      </c>
      <c r="C26" s="214"/>
      <c r="D26" s="215"/>
      <c r="E26" s="215"/>
      <c r="F26" s="22" t="s">
        <v>379</v>
      </c>
      <c r="G26" s="172">
        <v>2145000</v>
      </c>
      <c r="H26" s="665">
        <v>0</v>
      </c>
      <c r="I26" s="800"/>
    </row>
    <row r="27" spans="2:9" ht="12.75">
      <c r="B27" s="207">
        <f t="shared" si="0"/>
        <v>21</v>
      </c>
      <c r="C27" s="214"/>
      <c r="D27" s="215"/>
      <c r="E27" s="215"/>
      <c r="F27" s="216"/>
      <c r="G27" s="172"/>
      <c r="H27" s="665"/>
      <c r="I27" s="800"/>
    </row>
    <row r="28" spans="2:9" ht="12.75">
      <c r="B28" s="207">
        <f>B27+1</f>
        <v>22</v>
      </c>
      <c r="C28" s="214"/>
      <c r="D28" s="215"/>
      <c r="E28" s="215"/>
      <c r="F28" s="216"/>
      <c r="G28" s="172"/>
      <c r="H28" s="665"/>
      <c r="I28" s="800"/>
    </row>
    <row r="29" spans="2:9" ht="21" thickBot="1">
      <c r="B29" s="217">
        <f>B28+1</f>
        <v>23</v>
      </c>
      <c r="C29" s="465"/>
      <c r="D29" s="466"/>
      <c r="E29" s="467"/>
      <c r="F29" s="468" t="s">
        <v>292</v>
      </c>
      <c r="G29" s="572">
        <f>G7+G24</f>
        <v>12110145</v>
      </c>
      <c r="H29" s="797">
        <f>H7+H24</f>
        <v>917142.53</v>
      </c>
      <c r="I29" s="980">
        <f>H29/G29*100</f>
        <v>7.573340616483122</v>
      </c>
    </row>
    <row r="30" spans="2:7" ht="12.75">
      <c r="B30" s="15"/>
      <c r="C30" s="218"/>
      <c r="D30" s="218"/>
      <c r="E30" s="218"/>
      <c r="F30" s="219"/>
      <c r="G30"/>
    </row>
    <row r="31" spans="2:7" ht="12.75">
      <c r="B31" s="15"/>
      <c r="C31" s="220"/>
      <c r="D31" s="218"/>
      <c r="E31" s="218"/>
      <c r="F31" s="221"/>
      <c r="G31"/>
    </row>
    <row r="32" spans="2:7" ht="13.5" thickBot="1">
      <c r="B32" s="15"/>
      <c r="C32" s="218"/>
      <c r="D32" s="218"/>
      <c r="E32" s="218"/>
      <c r="F32" s="219"/>
      <c r="G32"/>
    </row>
    <row r="33" spans="2:9" ht="14.25" customHeight="1">
      <c r="B33" s="1062" t="s">
        <v>322</v>
      </c>
      <c r="C33" s="1053"/>
      <c r="D33" s="1053"/>
      <c r="E33" s="1053"/>
      <c r="F33" s="1054"/>
      <c r="G33" s="1071" t="s">
        <v>459</v>
      </c>
      <c r="H33" s="1056" t="s">
        <v>465</v>
      </c>
      <c r="I33" s="1068" t="s">
        <v>406</v>
      </c>
    </row>
    <row r="34" spans="2:9" ht="14.25" customHeight="1">
      <c r="B34" s="1082"/>
      <c r="C34" s="1083"/>
      <c r="D34" s="1083"/>
      <c r="E34" s="1083"/>
      <c r="F34" s="1084"/>
      <c r="G34" s="1072"/>
      <c r="H34" s="1057"/>
      <c r="I34" s="1069"/>
    </row>
    <row r="35" spans="2:9" ht="14.25" customHeight="1">
      <c r="B35" s="176"/>
      <c r="C35" s="177" t="s">
        <v>13</v>
      </c>
      <c r="D35" s="177" t="s">
        <v>14</v>
      </c>
      <c r="E35" s="177" t="s">
        <v>15</v>
      </c>
      <c r="F35" s="179"/>
      <c r="G35" s="1072"/>
      <c r="H35" s="1057"/>
      <c r="I35" s="1069"/>
    </row>
    <row r="36" spans="2:9" ht="21.75" customHeight="1" thickBot="1">
      <c r="B36" s="180"/>
      <c r="C36" s="181"/>
      <c r="D36" s="182"/>
      <c r="E36" s="181" t="s">
        <v>16</v>
      </c>
      <c r="F36" s="184" t="s">
        <v>17</v>
      </c>
      <c r="G36" s="1073"/>
      <c r="H36" s="1058"/>
      <c r="I36" s="1070"/>
    </row>
    <row r="37" spans="2:9" ht="16.5" thickTop="1">
      <c r="B37" s="207">
        <v>1</v>
      </c>
      <c r="C37" s="222"/>
      <c r="D37" s="222"/>
      <c r="E37" s="223"/>
      <c r="F37" s="224" t="s">
        <v>97</v>
      </c>
      <c r="G37" s="573">
        <f>'BP'!H180</f>
        <v>26642000</v>
      </c>
      <c r="H37" s="795">
        <f>'BP'!I180</f>
        <v>14436988.11</v>
      </c>
      <c r="I37" s="978">
        <f>H37/G37*100</f>
        <v>54.1888300803243</v>
      </c>
    </row>
    <row r="38" spans="2:9" ht="16.5" thickBot="1">
      <c r="B38" s="225">
        <f>B37+1</f>
        <v>2</v>
      </c>
      <c r="C38" s="226"/>
      <c r="D38" s="226"/>
      <c r="E38" s="227"/>
      <c r="F38" s="228" t="s">
        <v>292</v>
      </c>
      <c r="G38" s="574">
        <f>G29</f>
        <v>12110145</v>
      </c>
      <c r="H38" s="798">
        <f>H29</f>
        <v>917142.53</v>
      </c>
      <c r="I38" s="978">
        <f>H38/G38*100</f>
        <v>7.573340616483122</v>
      </c>
    </row>
    <row r="39" spans="2:9" ht="17.25" thickBot="1" thickTop="1">
      <c r="B39" s="229">
        <f>B38+1</f>
        <v>3</v>
      </c>
      <c r="C39" s="230"/>
      <c r="D39" s="231"/>
      <c r="E39" s="232"/>
      <c r="F39" s="233" t="s">
        <v>293</v>
      </c>
      <c r="G39" s="575">
        <f>G37+G38</f>
        <v>38752145</v>
      </c>
      <c r="H39" s="799">
        <f>H37+H38</f>
        <v>15354130.639999999</v>
      </c>
      <c r="I39" s="980">
        <f>H39/G39*100</f>
        <v>39.62136970740587</v>
      </c>
    </row>
    <row r="40" spans="2:9" ht="12.75">
      <c r="B40" s="15"/>
      <c r="C40" s="234"/>
      <c r="D40" s="234"/>
      <c r="E40" s="218"/>
      <c r="F40" s="7"/>
      <c r="G40" s="7"/>
      <c r="H40" s="19"/>
      <c r="I40" s="981"/>
    </row>
    <row r="41" spans="2:7" ht="12.75">
      <c r="B41" s="15"/>
      <c r="C41" s="220"/>
      <c r="D41" s="218"/>
      <c r="E41" s="235"/>
      <c r="F41" s="219"/>
      <c r="G41" s="219"/>
    </row>
    <row r="42" spans="2:7" ht="12.75">
      <c r="B42" s="15"/>
      <c r="C42" s="220"/>
      <c r="D42" s="234"/>
      <c r="E42" s="218"/>
      <c r="F42" s="7"/>
      <c r="G42" s="7"/>
    </row>
    <row r="43" spans="2:7" ht="12.75">
      <c r="B43" s="15"/>
      <c r="C43" s="220"/>
      <c r="D43" s="234"/>
      <c r="E43" s="235"/>
      <c r="F43" s="7"/>
      <c r="G43" s="7"/>
    </row>
    <row r="44" spans="2:7" ht="12.75">
      <c r="B44" s="15"/>
      <c r="C44" s="220"/>
      <c r="D44" s="234"/>
      <c r="E44" s="235"/>
      <c r="F44" s="7"/>
      <c r="G44" s="7"/>
    </row>
    <row r="45" spans="2:7" ht="12.75">
      <c r="B45" s="15"/>
      <c r="C45" s="220"/>
      <c r="D45" s="234"/>
      <c r="E45" s="235"/>
      <c r="F45" s="7"/>
      <c r="G45" s="7"/>
    </row>
    <row r="46" spans="2:7" ht="12.75">
      <c r="B46" s="15"/>
      <c r="C46" s="220"/>
      <c r="D46" s="234"/>
      <c r="E46" s="235"/>
      <c r="F46" s="7"/>
      <c r="G46" s="7"/>
    </row>
    <row r="47" spans="2:7" ht="12.75">
      <c r="B47" s="15"/>
      <c r="C47" s="220"/>
      <c r="D47" s="234"/>
      <c r="E47" s="235"/>
      <c r="F47" s="7"/>
      <c r="G47" s="7"/>
    </row>
    <row r="48" spans="2:7" ht="12.75">
      <c r="B48" s="15"/>
      <c r="C48" s="220"/>
      <c r="D48" s="234"/>
      <c r="E48" s="218"/>
      <c r="F48" s="7"/>
      <c r="G48" s="7"/>
    </row>
    <row r="49" spans="2:7" ht="12.75">
      <c r="B49" s="15"/>
      <c r="C49" s="220"/>
      <c r="D49" s="234"/>
      <c r="E49" s="218"/>
      <c r="F49" s="7"/>
      <c r="G49" s="7"/>
    </row>
    <row r="50" spans="2:7" ht="12.75">
      <c r="B50" s="15"/>
      <c r="C50" s="220"/>
      <c r="D50" s="234"/>
      <c r="E50" s="218"/>
      <c r="F50" s="7"/>
      <c r="G50" s="7"/>
    </row>
    <row r="51" spans="2:7" ht="12.75">
      <c r="B51" s="15"/>
      <c r="C51" s="220"/>
      <c r="D51" s="220"/>
      <c r="E51" s="218"/>
      <c r="F51" s="221"/>
      <c r="G51" s="221"/>
    </row>
    <row r="52" spans="2:7" ht="12.75">
      <c r="B52" s="15"/>
      <c r="C52" s="220"/>
      <c r="D52" s="218"/>
      <c r="E52" s="218"/>
      <c r="F52" s="7"/>
      <c r="G52" s="7"/>
    </row>
    <row r="53" spans="2:7" ht="12.75">
      <c r="B53" s="15"/>
      <c r="C53" s="220"/>
      <c r="D53" s="218"/>
      <c r="E53" s="218"/>
      <c r="F53" s="7"/>
      <c r="G53" s="7"/>
    </row>
    <row r="54" spans="2:7" ht="12.75">
      <c r="B54" s="15"/>
      <c r="C54" s="220"/>
      <c r="D54" s="234"/>
      <c r="E54" s="218"/>
      <c r="F54" s="7"/>
      <c r="G54" s="7"/>
    </row>
    <row r="55" spans="2:7" ht="12.75">
      <c r="B55" s="15"/>
      <c r="C55" s="220"/>
      <c r="D55" s="234"/>
      <c r="E55" s="218"/>
      <c r="F55" s="7"/>
      <c r="G55" s="7"/>
    </row>
    <row r="56" spans="2:7" ht="12.75">
      <c r="B56" s="15"/>
      <c r="C56" s="220"/>
      <c r="D56" s="218"/>
      <c r="E56" s="218"/>
      <c r="F56" s="7"/>
      <c r="G56" s="7"/>
    </row>
    <row r="57" spans="2:7" ht="12.75">
      <c r="B57" s="15"/>
      <c r="C57" s="220"/>
      <c r="D57" s="234"/>
      <c r="E57" s="218"/>
      <c r="F57" s="7"/>
      <c r="G57" s="7"/>
    </row>
    <row r="58" spans="2:7" ht="12.75">
      <c r="B58" s="15"/>
      <c r="C58" s="220"/>
      <c r="D58" s="234"/>
      <c r="E58" s="218"/>
      <c r="F58" s="221"/>
      <c r="G58" s="221"/>
    </row>
    <row r="59" spans="2:7" ht="12.75">
      <c r="B59" s="15"/>
      <c r="C59" s="220"/>
      <c r="D59" s="234"/>
      <c r="E59" s="218"/>
      <c r="F59" s="7"/>
      <c r="G59" s="7"/>
    </row>
    <row r="60" spans="2:7" ht="12.75">
      <c r="B60" s="15"/>
      <c r="C60" s="220"/>
      <c r="D60" s="234"/>
      <c r="E60" s="218"/>
      <c r="F60" s="7"/>
      <c r="G60" s="7"/>
    </row>
    <row r="61" spans="2:7" ht="12.75">
      <c r="B61" s="15"/>
      <c r="C61" s="220"/>
      <c r="D61" s="234"/>
      <c r="E61" s="218"/>
      <c r="F61" s="236"/>
      <c r="G61" s="236"/>
    </row>
    <row r="62" spans="2:7" ht="12.75">
      <c r="B62" s="7"/>
      <c r="C62" s="218"/>
      <c r="D62" s="218"/>
      <c r="E62" s="218"/>
      <c r="F62" s="7"/>
      <c r="G62" s="7"/>
    </row>
    <row r="63" spans="2:7" ht="12.75">
      <c r="B63" s="7"/>
      <c r="C63" s="218"/>
      <c r="D63" s="218"/>
      <c r="E63" s="218"/>
      <c r="F63" s="7"/>
      <c r="G63" s="7"/>
    </row>
    <row r="64" spans="2:7" ht="12.75">
      <c r="B64" s="7"/>
      <c r="C64" s="218"/>
      <c r="D64" s="218"/>
      <c r="E64" s="218"/>
      <c r="F64" s="7"/>
      <c r="G64" s="7"/>
    </row>
    <row r="65" spans="2:7" ht="12.75">
      <c r="B65" s="7"/>
      <c r="C65" s="218"/>
      <c r="D65" s="218"/>
      <c r="E65" s="218"/>
      <c r="F65" s="7"/>
      <c r="G65" s="7"/>
    </row>
    <row r="66" spans="2:7" ht="12.75">
      <c r="B66" s="7"/>
      <c r="C66" s="218"/>
      <c r="D66" s="218"/>
      <c r="E66" s="218"/>
      <c r="F66" s="7"/>
      <c r="G66" s="7"/>
    </row>
    <row r="67" spans="2:7" ht="12.75">
      <c r="B67" s="7"/>
      <c r="C67" s="218"/>
      <c r="D67" s="218"/>
      <c r="E67" s="218"/>
      <c r="F67" s="7"/>
      <c r="G67" s="7"/>
    </row>
    <row r="68" spans="2:7" ht="12.75">
      <c r="B68" s="7"/>
      <c r="C68" s="218"/>
      <c r="D68" s="218"/>
      <c r="E68" s="218"/>
      <c r="F68" s="7"/>
      <c r="G68" s="7"/>
    </row>
    <row r="69" spans="2:7" ht="12.75">
      <c r="B69" s="7"/>
      <c r="C69" s="218"/>
      <c r="D69" s="218"/>
      <c r="E69" s="218"/>
      <c r="F69" s="7"/>
      <c r="G69" s="7"/>
    </row>
    <row r="70" spans="2:7" ht="12.75">
      <c r="B70" s="7"/>
      <c r="C70" s="218"/>
      <c r="D70" s="218"/>
      <c r="E70" s="218"/>
      <c r="F70" s="7"/>
      <c r="G70" s="7"/>
    </row>
    <row r="71" spans="2:7" ht="12.75">
      <c r="B71" s="7"/>
      <c r="C71" s="218"/>
      <c r="D71" s="218"/>
      <c r="E71" s="218"/>
      <c r="F71" s="7"/>
      <c r="G71" s="7"/>
    </row>
    <row r="72" spans="2:7" ht="12.75">
      <c r="B72" s="7"/>
      <c r="C72" s="218"/>
      <c r="D72" s="218"/>
      <c r="E72" s="218"/>
      <c r="F72" s="7"/>
      <c r="G72" s="7"/>
    </row>
    <row r="73" spans="2:7" ht="12.75">
      <c r="B73" s="7"/>
      <c r="C73" s="218"/>
      <c r="D73" s="218"/>
      <c r="E73" s="218"/>
      <c r="F73" s="7"/>
      <c r="G73" s="7"/>
    </row>
    <row r="74" spans="2:7" ht="12.75">
      <c r="B74" s="7"/>
      <c r="C74" s="218"/>
      <c r="D74" s="218"/>
      <c r="E74" s="218"/>
      <c r="F74" s="7"/>
      <c r="G74" s="7"/>
    </row>
    <row r="75" spans="2:7" ht="12.75">
      <c r="B75" s="7"/>
      <c r="C75" s="218"/>
      <c r="D75" s="218"/>
      <c r="E75" s="218"/>
      <c r="F75" s="7"/>
      <c r="G75" s="7"/>
    </row>
    <row r="76" spans="2:7" ht="12.75">
      <c r="B76" s="7"/>
      <c r="C76" s="218"/>
      <c r="D76" s="218"/>
      <c r="E76" s="218"/>
      <c r="F76" s="7"/>
      <c r="G76" s="7"/>
    </row>
    <row r="77" spans="2:7" ht="12.75">
      <c r="B77" s="7"/>
      <c r="C77" s="218"/>
      <c r="D77" s="218"/>
      <c r="E77" s="218"/>
      <c r="F77" s="7"/>
      <c r="G77" s="7"/>
    </row>
    <row r="78" spans="2:7" ht="12.75">
      <c r="B78" s="7"/>
      <c r="C78" s="218"/>
      <c r="D78" s="218"/>
      <c r="E78" s="218"/>
      <c r="F78" s="7"/>
      <c r="G78" s="7"/>
    </row>
    <row r="79" spans="2:7" ht="12.75">
      <c r="B79" s="7"/>
      <c r="C79" s="218"/>
      <c r="D79" s="218"/>
      <c r="E79" s="218"/>
      <c r="F79" s="7"/>
      <c r="G79" s="7"/>
    </row>
    <row r="80" spans="2:7" ht="12.75">
      <c r="B80" s="7"/>
      <c r="C80" s="218"/>
      <c r="D80" s="218"/>
      <c r="E80" s="218"/>
      <c r="F80" s="7"/>
      <c r="G80" s="7"/>
    </row>
    <row r="81" spans="2:7" ht="12.75">
      <c r="B81" s="7"/>
      <c r="C81" s="218"/>
      <c r="D81" s="218"/>
      <c r="E81" s="218"/>
      <c r="F81" s="7"/>
      <c r="G81" s="7"/>
    </row>
    <row r="82" spans="2:7" ht="12.75">
      <c r="B82" s="7"/>
      <c r="C82" s="218"/>
      <c r="D82" s="218"/>
      <c r="E82" s="218"/>
      <c r="F82" s="7"/>
      <c r="G82" s="7"/>
    </row>
    <row r="83" spans="2:7" ht="12.75">
      <c r="B83" s="7"/>
      <c r="C83" s="218"/>
      <c r="D83" s="218"/>
      <c r="E83" s="218"/>
      <c r="F83" s="7"/>
      <c r="G83" s="7"/>
    </row>
    <row r="84" spans="2:7" ht="12.75">
      <c r="B84" s="7"/>
      <c r="C84" s="218"/>
      <c r="D84" s="218"/>
      <c r="E84" s="218"/>
      <c r="F84" s="7"/>
      <c r="G84" s="7"/>
    </row>
    <row r="85" spans="2:7" ht="12.75">
      <c r="B85" s="7"/>
      <c r="C85" s="218"/>
      <c r="D85" s="218"/>
      <c r="E85" s="218"/>
      <c r="F85" s="7"/>
      <c r="G85" s="7"/>
    </row>
    <row r="86" spans="2:7" ht="12.75">
      <c r="B86" s="7"/>
      <c r="C86" s="218"/>
      <c r="D86" s="218"/>
      <c r="E86" s="218"/>
      <c r="F86" s="7"/>
      <c r="G86" s="7"/>
    </row>
    <row r="87" spans="2:7" ht="12.75">
      <c r="B87" s="7"/>
      <c r="C87" s="218"/>
      <c r="D87" s="218"/>
      <c r="E87" s="218"/>
      <c r="F87" s="7"/>
      <c r="G87" s="7"/>
    </row>
    <row r="88" spans="2:7" ht="12.75">
      <c r="B88" s="7"/>
      <c r="C88" s="218"/>
      <c r="D88" s="218"/>
      <c r="E88" s="218"/>
      <c r="F88" s="7"/>
      <c r="G88" s="7"/>
    </row>
    <row r="89" spans="2:7" ht="12.75">
      <c r="B89" s="7"/>
      <c r="C89" s="218"/>
      <c r="D89" s="218"/>
      <c r="E89" s="218"/>
      <c r="F89" s="7"/>
      <c r="G89" s="7"/>
    </row>
    <row r="90" spans="2:7" ht="12.75">
      <c r="B90" s="7"/>
      <c r="C90" s="218"/>
      <c r="D90" s="218"/>
      <c r="E90" s="218"/>
      <c r="F90" s="7"/>
      <c r="G90" s="7"/>
    </row>
    <row r="91" spans="2:7" ht="12.75">
      <c r="B91" s="7"/>
      <c r="C91" s="218"/>
      <c r="D91" s="218"/>
      <c r="E91" s="218"/>
      <c r="F91" s="7"/>
      <c r="G91" s="7"/>
    </row>
    <row r="92" spans="2:7" ht="12.75">
      <c r="B92" s="7"/>
      <c r="C92" s="218"/>
      <c r="D92" s="218"/>
      <c r="E92" s="218"/>
      <c r="F92" s="7"/>
      <c r="G92" s="7"/>
    </row>
    <row r="93" spans="2:7" ht="12.75">
      <c r="B93" s="7"/>
      <c r="C93" s="218"/>
      <c r="D93" s="218"/>
      <c r="E93" s="218"/>
      <c r="F93" s="7"/>
      <c r="G93" s="7"/>
    </row>
    <row r="94" spans="2:7" ht="12.75">
      <c r="B94" s="7"/>
      <c r="C94" s="218"/>
      <c r="D94" s="218"/>
      <c r="E94" s="218"/>
      <c r="F94" s="7"/>
      <c r="G94" s="7"/>
    </row>
    <row r="95" spans="2:7" ht="12.75">
      <c r="B95" s="7"/>
      <c r="C95" s="218"/>
      <c r="D95" s="218"/>
      <c r="E95" s="218"/>
      <c r="F95" s="7"/>
      <c r="G95" s="7"/>
    </row>
    <row r="96" spans="2:7" ht="12.75">
      <c r="B96" s="7"/>
      <c r="C96" s="218"/>
      <c r="D96" s="218"/>
      <c r="E96" s="218"/>
      <c r="F96" s="7"/>
      <c r="G96" s="7"/>
    </row>
    <row r="97" spans="2:7" ht="12.75">
      <c r="B97" s="7"/>
      <c r="C97" s="218"/>
      <c r="D97" s="218"/>
      <c r="E97" s="218"/>
      <c r="F97" s="7"/>
      <c r="G97" s="7"/>
    </row>
    <row r="98" spans="2:7" ht="12.75">
      <c r="B98" s="7"/>
      <c r="C98" s="218"/>
      <c r="D98" s="218"/>
      <c r="E98" s="218"/>
      <c r="F98" s="7"/>
      <c r="G98" s="7"/>
    </row>
    <row r="99" spans="2:7" ht="12.75">
      <c r="B99" s="7"/>
      <c r="C99" s="218"/>
      <c r="D99" s="218"/>
      <c r="E99" s="218"/>
      <c r="F99" s="7"/>
      <c r="G99" s="7"/>
    </row>
    <row r="100" spans="2:7" ht="12.75">
      <c r="B100" s="7"/>
      <c r="C100" s="218"/>
      <c r="D100" s="218"/>
      <c r="E100" s="218"/>
      <c r="F100" s="7"/>
      <c r="G100" s="7"/>
    </row>
    <row r="101" spans="2:7" ht="12.75">
      <c r="B101" s="7"/>
      <c r="C101" s="218"/>
      <c r="D101" s="218"/>
      <c r="E101" s="218"/>
      <c r="F101" s="7"/>
      <c r="G101" s="7"/>
    </row>
    <row r="102" spans="2:7" ht="12.75">
      <c r="B102" s="7"/>
      <c r="C102" s="218"/>
      <c r="D102" s="218"/>
      <c r="E102" s="218"/>
      <c r="F102" s="7"/>
      <c r="G102" s="7"/>
    </row>
    <row r="103" spans="2:7" ht="12.75">
      <c r="B103" s="7"/>
      <c r="C103" s="218"/>
      <c r="D103" s="218"/>
      <c r="E103" s="218"/>
      <c r="F103" s="7"/>
      <c r="G103" s="7"/>
    </row>
    <row r="104" spans="2:7" ht="12.75">
      <c r="B104" s="7"/>
      <c r="C104" s="218"/>
      <c r="D104" s="218"/>
      <c r="E104" s="218"/>
      <c r="F104" s="7"/>
      <c r="G104" s="7"/>
    </row>
    <row r="105" spans="2:7" ht="12.75">
      <c r="B105" s="7"/>
      <c r="C105" s="218"/>
      <c r="D105" s="218"/>
      <c r="E105" s="218"/>
      <c r="F105" s="7"/>
      <c r="G105" s="7"/>
    </row>
    <row r="106" spans="2:7" ht="12.75">
      <c r="B106" s="7"/>
      <c r="C106" s="218"/>
      <c r="D106" s="218"/>
      <c r="E106" s="218"/>
      <c r="F106" s="7"/>
      <c r="G106" s="7"/>
    </row>
    <row r="107" spans="2:7" ht="12.75">
      <c r="B107" s="7"/>
      <c r="C107" s="218"/>
      <c r="D107" s="218"/>
      <c r="E107" s="218"/>
      <c r="F107" s="7"/>
      <c r="G107" s="7"/>
    </row>
    <row r="108" spans="2:7" ht="12.75">
      <c r="B108" s="7"/>
      <c r="C108" s="218"/>
      <c r="D108" s="218"/>
      <c r="E108" s="218"/>
      <c r="F108" s="7"/>
      <c r="G108" s="7"/>
    </row>
    <row r="109" spans="2:7" ht="12.75">
      <c r="B109" s="7"/>
      <c r="C109" s="218"/>
      <c r="D109" s="218"/>
      <c r="E109" s="218"/>
      <c r="F109" s="7"/>
      <c r="G109" s="7"/>
    </row>
    <row r="110" spans="2:7" ht="12.75">
      <c r="B110" s="7"/>
      <c r="C110" s="218"/>
      <c r="D110" s="218"/>
      <c r="E110" s="218"/>
      <c r="F110" s="7"/>
      <c r="G110" s="7"/>
    </row>
    <row r="111" spans="2:7" ht="12.75">
      <c r="B111" s="7"/>
      <c r="C111" s="218"/>
      <c r="D111" s="218"/>
      <c r="E111" s="218"/>
      <c r="F111" s="7"/>
      <c r="G111" s="7"/>
    </row>
    <row r="112" spans="2:7" ht="12.75">
      <c r="B112" s="7"/>
      <c r="C112" s="218"/>
      <c r="D112" s="218"/>
      <c r="E112" s="218"/>
      <c r="F112" s="7"/>
      <c r="G112" s="7"/>
    </row>
  </sheetData>
  <sheetProtection/>
  <mergeCells count="8">
    <mergeCell ref="B33:F34"/>
    <mergeCell ref="B3:F4"/>
    <mergeCell ref="G3:G6"/>
    <mergeCell ref="G33:G36"/>
    <mergeCell ref="H3:H6"/>
    <mergeCell ref="I3:I6"/>
    <mergeCell ref="H33:H36"/>
    <mergeCell ref="I33:I36"/>
  </mergeCells>
  <printOptions/>
  <pageMargins left="0.84" right="0.42" top="0.93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3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421875" style="6" customWidth="1"/>
    <col min="3" max="3" width="2.7109375" style="5" customWidth="1"/>
    <col min="4" max="4" width="2.00390625" style="0" customWidth="1"/>
    <col min="5" max="5" width="52.140625" style="0" customWidth="1"/>
    <col min="6" max="6" width="5.7109375" style="0" customWidth="1"/>
    <col min="7" max="7" width="5.57421875" style="0" customWidth="1"/>
    <col min="8" max="8" width="9.7109375" style="0" customWidth="1"/>
    <col min="9" max="9" width="8.421875" style="0" customWidth="1"/>
    <col min="10" max="10" width="10.421875" style="0" customWidth="1"/>
    <col min="11" max="11" width="10.57421875" style="487" customWidth="1"/>
    <col min="12" max="12" width="6.28125" style="997" customWidth="1"/>
    <col min="13" max="13" width="1.28515625" style="171" customWidth="1"/>
    <col min="14" max="14" width="5.7109375" style="171" customWidth="1"/>
    <col min="15" max="15" width="8.8515625" style="171" customWidth="1"/>
    <col min="16" max="16" width="9.57421875" style="171" customWidth="1"/>
    <col min="17" max="17" width="10.57421875" style="171" customWidth="1"/>
    <col min="18" max="18" width="5.7109375" style="998" customWidth="1"/>
    <col min="19" max="19" width="1.7109375" style="171" customWidth="1"/>
    <col min="20" max="20" width="11.140625" style="171" customWidth="1"/>
    <col min="21" max="21" width="11.140625" style="0" customWidth="1"/>
    <col min="22" max="22" width="6.7109375" style="1003" customWidth="1"/>
  </cols>
  <sheetData>
    <row r="1" spans="10:12" ht="15.75" customHeight="1">
      <c r="J1" s="50"/>
      <c r="K1" s="50"/>
      <c r="L1" s="990"/>
    </row>
    <row r="2" spans="2:12" ht="27">
      <c r="B2" s="119"/>
      <c r="C2" s="389" t="s">
        <v>212</v>
      </c>
      <c r="D2" s="33"/>
      <c r="E2" s="33"/>
      <c r="F2" s="33"/>
      <c r="G2" s="33"/>
      <c r="H2" s="33"/>
      <c r="I2" s="33"/>
      <c r="J2" s="33"/>
      <c r="K2" s="670"/>
      <c r="L2" s="991"/>
    </row>
    <row r="3" spans="2:12" ht="13.5" customHeight="1" thickBot="1">
      <c r="B3" s="119"/>
      <c r="C3" s="118"/>
      <c r="D3" s="33"/>
      <c r="E3" s="33"/>
      <c r="F3" s="33"/>
      <c r="G3" s="33"/>
      <c r="H3" s="33"/>
      <c r="I3" s="33"/>
      <c r="J3" s="33"/>
      <c r="K3" s="670"/>
      <c r="L3" s="991"/>
    </row>
    <row r="4" spans="2:22" ht="12.75" customHeight="1" thickBot="1">
      <c r="B4" s="1103" t="s">
        <v>306</v>
      </c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5"/>
      <c r="Q4" s="1009"/>
      <c r="R4" s="1010"/>
      <c r="S4" s="681"/>
      <c r="T4" s="1100" t="s">
        <v>462</v>
      </c>
      <c r="U4" s="1096" t="s">
        <v>465</v>
      </c>
      <c r="V4" s="1086" t="s">
        <v>406</v>
      </c>
    </row>
    <row r="5" spans="2:22" ht="18.75" customHeight="1">
      <c r="B5" s="1091" t="s">
        <v>11</v>
      </c>
      <c r="C5" s="1092"/>
      <c r="D5" s="1092"/>
      <c r="E5" s="1092"/>
      <c r="F5" s="1092"/>
      <c r="G5" s="1092"/>
      <c r="H5" s="1092"/>
      <c r="I5" s="1092"/>
      <c r="J5" s="1092"/>
      <c r="K5" s="1092"/>
      <c r="L5" s="1093"/>
      <c r="N5" s="1091" t="s">
        <v>325</v>
      </c>
      <c r="O5" s="1116"/>
      <c r="P5" s="1117"/>
      <c r="Q5" s="1011"/>
      <c r="R5" s="1012"/>
      <c r="T5" s="1101"/>
      <c r="U5" s="1097"/>
      <c r="V5" s="1087"/>
    </row>
    <row r="6" spans="2:22" ht="12.75" customHeight="1">
      <c r="B6" s="40"/>
      <c r="C6" s="1106" t="s">
        <v>147</v>
      </c>
      <c r="D6" s="1106" t="s">
        <v>148</v>
      </c>
      <c r="E6" s="1088" t="s">
        <v>10</v>
      </c>
      <c r="F6" s="1089"/>
      <c r="G6" s="1089"/>
      <c r="H6" s="1089"/>
      <c r="I6" s="1089"/>
      <c r="J6" s="1089"/>
      <c r="K6" s="1089"/>
      <c r="L6" s="1090"/>
      <c r="N6" s="1118" t="s">
        <v>10</v>
      </c>
      <c r="O6" s="1119"/>
      <c r="P6" s="1120"/>
      <c r="Q6" s="1013"/>
      <c r="R6" s="1014"/>
      <c r="T6" s="1101"/>
      <c r="U6" s="1097"/>
      <c r="V6" s="1087"/>
    </row>
    <row r="7" spans="2:22" ht="48" customHeight="1">
      <c r="B7" s="40"/>
      <c r="C7" s="1107"/>
      <c r="D7" s="1107"/>
      <c r="E7" s="51" t="s">
        <v>4</v>
      </c>
      <c r="F7" s="1111">
        <v>610</v>
      </c>
      <c r="G7" s="1113">
        <v>620</v>
      </c>
      <c r="H7" s="1113">
        <v>630</v>
      </c>
      <c r="I7" s="1113">
        <v>640</v>
      </c>
      <c r="J7" s="1109" t="s">
        <v>462</v>
      </c>
      <c r="K7" s="1094" t="s">
        <v>465</v>
      </c>
      <c r="L7" s="1114" t="s">
        <v>406</v>
      </c>
      <c r="N7" s="1121">
        <v>713</v>
      </c>
      <c r="O7" s="1098">
        <v>716</v>
      </c>
      <c r="P7" s="1109" t="s">
        <v>462</v>
      </c>
      <c r="Q7" s="1094" t="s">
        <v>465</v>
      </c>
      <c r="R7" s="1085" t="s">
        <v>406</v>
      </c>
      <c r="T7" s="1101"/>
      <c r="U7" s="1097"/>
      <c r="V7" s="1087"/>
    </row>
    <row r="8" spans="2:22" ht="41.25" customHeight="1" thickBot="1">
      <c r="B8" s="45"/>
      <c r="C8" s="1108"/>
      <c r="D8" s="1108"/>
      <c r="E8" s="52"/>
      <c r="F8" s="1112"/>
      <c r="G8" s="1099"/>
      <c r="H8" s="1099"/>
      <c r="I8" s="1099"/>
      <c r="J8" s="1110"/>
      <c r="K8" s="1095"/>
      <c r="L8" s="1115"/>
      <c r="N8" s="1122"/>
      <c r="O8" s="1099"/>
      <c r="P8" s="1110"/>
      <c r="Q8" s="1095"/>
      <c r="R8" s="1085"/>
      <c r="T8" s="1102"/>
      <c r="U8" s="1097"/>
      <c r="V8" s="1087"/>
    </row>
    <row r="9" spans="2:22" ht="26.25" customHeight="1" thickBot="1" thickTop="1">
      <c r="B9" s="30">
        <v>1</v>
      </c>
      <c r="C9" s="576" t="s">
        <v>213</v>
      </c>
      <c r="D9" s="252"/>
      <c r="E9" s="253"/>
      <c r="F9" s="577">
        <f>F10+F20+F24+F27+F28+F29+F30+F33+F34</f>
        <v>0</v>
      </c>
      <c r="G9" s="577">
        <f>G10+G20+G24+G27+G28+G29+G30+G33+G34</f>
        <v>0</v>
      </c>
      <c r="H9" s="578">
        <f>H10+H20+H24+H27+H28+H29+H30+H33+H34</f>
        <v>180500</v>
      </c>
      <c r="I9" s="578">
        <f>I10+I20+I24+I27+I28+I29+I30+I33+I34</f>
        <v>10000</v>
      </c>
      <c r="J9" s="618">
        <f>SUM(F9:I9)</f>
        <v>190500</v>
      </c>
      <c r="K9" s="676">
        <f>K10+K20+K24+K27+K28+K29+K30+K33+K34</f>
        <v>149644</v>
      </c>
      <c r="L9" s="992">
        <f>K9/J9*100</f>
        <v>78.55328083989501</v>
      </c>
      <c r="M9" s="278"/>
      <c r="N9" s="579">
        <f>N10+N20+N24+N27+N28+N29+N30+N33+N34</f>
        <v>0</v>
      </c>
      <c r="O9" s="578">
        <f>O10+O20+O24+O27+O28+O29+O30+O33+O34</f>
        <v>35398</v>
      </c>
      <c r="P9" s="618">
        <f aca="true" t="shared" si="0" ref="P9:P25">SUM(N9:O9)</f>
        <v>35398</v>
      </c>
      <c r="Q9" s="676">
        <f>Q10+Q20+Q24+Q27+Q28+Q29+Q30+Q33+Q34</f>
        <v>17380</v>
      </c>
      <c r="R9" s="999">
        <f>Q9/P9*100</f>
        <v>49.09881914232442</v>
      </c>
      <c r="S9" s="278"/>
      <c r="T9" s="580">
        <f aca="true" t="shared" si="1" ref="T9:T30">J9+P9</f>
        <v>225898</v>
      </c>
      <c r="U9" s="676">
        <f>U10+U20+U24+U27+U28+U29+U30+U33+U34</f>
        <v>167024</v>
      </c>
      <c r="V9" s="1004">
        <f>U9/T9*100</f>
        <v>73.93779493399676</v>
      </c>
    </row>
    <row r="10" spans="2:22" ht="15.75" thickTop="1">
      <c r="B10" s="30">
        <f>B9+1</f>
        <v>2</v>
      </c>
      <c r="C10" s="41">
        <v>1</v>
      </c>
      <c r="D10" s="42" t="s">
        <v>149</v>
      </c>
      <c r="E10" s="43"/>
      <c r="F10" s="401"/>
      <c r="G10" s="402"/>
      <c r="H10" s="402">
        <f>H11+H13+H14+H16+H17+H18+H19</f>
        <v>108860</v>
      </c>
      <c r="I10" s="401"/>
      <c r="J10" s="619">
        <f>SUM(F10:H10)</f>
        <v>108860</v>
      </c>
      <c r="K10" s="675">
        <f>K11+K16+K17+K18</f>
        <v>76775</v>
      </c>
      <c r="L10" s="993">
        <f aca="true" t="shared" si="2" ref="L10:L33">K10/J10*100</f>
        <v>70.52636413742421</v>
      </c>
      <c r="M10" s="194"/>
      <c r="N10" s="254"/>
      <c r="O10" s="157"/>
      <c r="P10" s="624">
        <f t="shared" si="0"/>
        <v>0</v>
      </c>
      <c r="Q10" s="675"/>
      <c r="R10" s="1000"/>
      <c r="S10" s="194"/>
      <c r="T10" s="452">
        <f t="shared" si="1"/>
        <v>108860</v>
      </c>
      <c r="U10" s="675">
        <f aca="true" t="shared" si="3" ref="U10:U34">K10+Q10</f>
        <v>76775</v>
      </c>
      <c r="V10" s="1005">
        <f aca="true" t="shared" si="4" ref="V10:V33">U10/T10*100</f>
        <v>70.52636413742421</v>
      </c>
    </row>
    <row r="11" spans="2:22" ht="12.75">
      <c r="B11" s="30">
        <f aca="true" t="shared" si="5" ref="B11:B33">B10+1</f>
        <v>3</v>
      </c>
      <c r="C11" s="142"/>
      <c r="D11" s="59" t="s">
        <v>5</v>
      </c>
      <c r="E11" s="321" t="s">
        <v>107</v>
      </c>
      <c r="F11" s="336"/>
      <c r="G11" s="337"/>
      <c r="H11" s="337">
        <v>17000</v>
      </c>
      <c r="I11" s="410"/>
      <c r="J11" s="620">
        <f aca="true" t="shared" si="6" ref="J11:J30">SUM(F11:H11)</f>
        <v>17000</v>
      </c>
      <c r="K11" s="668">
        <v>6263</v>
      </c>
      <c r="L11" s="994">
        <f t="shared" si="2"/>
        <v>36.84117647058823</v>
      </c>
      <c r="M11" s="35"/>
      <c r="N11" s="342"/>
      <c r="O11" s="343"/>
      <c r="P11" s="625">
        <f t="shared" si="0"/>
        <v>0</v>
      </c>
      <c r="Q11" s="668"/>
      <c r="R11" s="1001"/>
      <c r="S11" s="35"/>
      <c r="T11" s="492">
        <f t="shared" si="1"/>
        <v>17000</v>
      </c>
      <c r="U11" s="668">
        <f t="shared" si="3"/>
        <v>6263</v>
      </c>
      <c r="V11" s="1006">
        <f t="shared" si="4"/>
        <v>36.84117647058823</v>
      </c>
    </row>
    <row r="12" spans="2:22" ht="12.75">
      <c r="B12" s="30">
        <f t="shared" si="5"/>
        <v>4</v>
      </c>
      <c r="C12" s="142"/>
      <c r="D12" s="142"/>
      <c r="E12" s="535" t="s">
        <v>353</v>
      </c>
      <c r="F12" s="330"/>
      <c r="G12" s="331"/>
      <c r="H12" s="331">
        <v>2031</v>
      </c>
      <c r="I12" s="357"/>
      <c r="J12" s="621">
        <f t="shared" si="6"/>
        <v>2031</v>
      </c>
      <c r="K12" s="669">
        <v>1198</v>
      </c>
      <c r="L12" s="994">
        <f t="shared" si="2"/>
        <v>58.985721319547025</v>
      </c>
      <c r="M12" s="35"/>
      <c r="N12" s="362"/>
      <c r="O12" s="349"/>
      <c r="P12" s="626">
        <f t="shared" si="0"/>
        <v>0</v>
      </c>
      <c r="Q12" s="669"/>
      <c r="R12" s="1001"/>
      <c r="S12" s="35"/>
      <c r="T12" s="537">
        <f t="shared" si="1"/>
        <v>2031</v>
      </c>
      <c r="U12" s="669">
        <f t="shared" si="3"/>
        <v>1198</v>
      </c>
      <c r="V12" s="1006">
        <f t="shared" si="4"/>
        <v>58.985721319547025</v>
      </c>
    </row>
    <row r="13" spans="2:22" ht="12.75">
      <c r="B13" s="30">
        <f t="shared" si="5"/>
        <v>5</v>
      </c>
      <c r="C13" s="142"/>
      <c r="D13" s="59" t="s">
        <v>6</v>
      </c>
      <c r="E13" s="321" t="s">
        <v>319</v>
      </c>
      <c r="F13" s="336"/>
      <c r="G13" s="337"/>
      <c r="H13" s="338">
        <v>0</v>
      </c>
      <c r="I13" s="410"/>
      <c r="J13" s="620">
        <f t="shared" si="6"/>
        <v>0</v>
      </c>
      <c r="K13" s="668">
        <v>0</v>
      </c>
      <c r="L13" s="994"/>
      <c r="M13" s="35"/>
      <c r="N13" s="342"/>
      <c r="O13" s="343"/>
      <c r="P13" s="625">
        <f t="shared" si="0"/>
        <v>0</v>
      </c>
      <c r="Q13" s="668"/>
      <c r="R13" s="1001"/>
      <c r="S13" s="35"/>
      <c r="T13" s="492">
        <f t="shared" si="1"/>
        <v>0</v>
      </c>
      <c r="U13" s="668">
        <f t="shared" si="3"/>
        <v>0</v>
      </c>
      <c r="V13" s="1006"/>
    </row>
    <row r="14" spans="2:22" ht="12.75">
      <c r="B14" s="30">
        <f t="shared" si="5"/>
        <v>6</v>
      </c>
      <c r="C14" s="143"/>
      <c r="D14" s="59" t="s">
        <v>7</v>
      </c>
      <c r="E14" s="321" t="s">
        <v>136</v>
      </c>
      <c r="F14" s="336"/>
      <c r="G14" s="337"/>
      <c r="H14" s="338">
        <f>H15</f>
        <v>260</v>
      </c>
      <c r="I14" s="410"/>
      <c r="J14" s="620">
        <f t="shared" si="6"/>
        <v>260</v>
      </c>
      <c r="K14" s="668">
        <v>0</v>
      </c>
      <c r="L14" s="994">
        <f t="shared" si="2"/>
        <v>0</v>
      </c>
      <c r="M14" s="35"/>
      <c r="N14" s="342"/>
      <c r="O14" s="343"/>
      <c r="P14" s="625">
        <f t="shared" si="0"/>
        <v>0</v>
      </c>
      <c r="Q14" s="668"/>
      <c r="R14" s="1001"/>
      <c r="S14" s="35"/>
      <c r="T14" s="492">
        <f t="shared" si="1"/>
        <v>260</v>
      </c>
      <c r="U14" s="668">
        <f t="shared" si="3"/>
        <v>0</v>
      </c>
      <c r="V14" s="1006">
        <f t="shared" si="4"/>
        <v>0</v>
      </c>
    </row>
    <row r="15" spans="2:22" ht="12.75">
      <c r="B15" s="30">
        <f t="shared" si="5"/>
        <v>7</v>
      </c>
      <c r="C15" s="142"/>
      <c r="D15" s="142"/>
      <c r="E15" s="535" t="s">
        <v>353</v>
      </c>
      <c r="F15" s="330"/>
      <c r="G15" s="331"/>
      <c r="H15" s="331">
        <v>260</v>
      </c>
      <c r="I15" s="357"/>
      <c r="J15" s="621">
        <f>SUM(F15:H15)</f>
        <v>260</v>
      </c>
      <c r="K15" s="669">
        <v>0</v>
      </c>
      <c r="L15" s="994">
        <f t="shared" si="2"/>
        <v>0</v>
      </c>
      <c r="M15" s="35"/>
      <c r="N15" s="362"/>
      <c r="O15" s="349"/>
      <c r="P15" s="626">
        <f t="shared" si="0"/>
        <v>0</v>
      </c>
      <c r="Q15" s="669"/>
      <c r="R15" s="1001"/>
      <c r="S15" s="35"/>
      <c r="T15" s="537">
        <f t="shared" si="1"/>
        <v>260</v>
      </c>
      <c r="U15" s="669">
        <f t="shared" si="3"/>
        <v>0</v>
      </c>
      <c r="V15" s="1006">
        <f t="shared" si="4"/>
        <v>0</v>
      </c>
    </row>
    <row r="16" spans="2:22" ht="12.75">
      <c r="B16" s="30">
        <f t="shared" si="5"/>
        <v>8</v>
      </c>
      <c r="C16" s="143"/>
      <c r="D16" s="59" t="s">
        <v>8</v>
      </c>
      <c r="E16" s="321" t="s">
        <v>262</v>
      </c>
      <c r="F16" s="336"/>
      <c r="G16" s="337"/>
      <c r="H16" s="338">
        <v>10600</v>
      </c>
      <c r="I16" s="410"/>
      <c r="J16" s="620">
        <f t="shared" si="6"/>
        <v>10600</v>
      </c>
      <c r="K16" s="668">
        <v>10589</v>
      </c>
      <c r="L16" s="994">
        <f t="shared" si="2"/>
        <v>99.89622641509433</v>
      </c>
      <c r="M16" s="35"/>
      <c r="N16" s="342"/>
      <c r="O16" s="343"/>
      <c r="P16" s="625">
        <f t="shared" si="0"/>
        <v>0</v>
      </c>
      <c r="Q16" s="668"/>
      <c r="R16" s="1001"/>
      <c r="S16" s="35"/>
      <c r="T16" s="492">
        <f t="shared" si="1"/>
        <v>10600</v>
      </c>
      <c r="U16" s="668">
        <f t="shared" si="3"/>
        <v>10589</v>
      </c>
      <c r="V16" s="1006">
        <f t="shared" si="4"/>
        <v>99.89622641509433</v>
      </c>
    </row>
    <row r="17" spans="2:22" ht="12.75">
      <c r="B17" s="30">
        <f t="shared" si="5"/>
        <v>9</v>
      </c>
      <c r="C17" s="143"/>
      <c r="D17" s="59" t="s">
        <v>9</v>
      </c>
      <c r="E17" s="321" t="s">
        <v>261</v>
      </c>
      <c r="F17" s="336"/>
      <c r="G17" s="337"/>
      <c r="H17" s="338">
        <v>1000</v>
      </c>
      <c r="I17" s="410"/>
      <c r="J17" s="620">
        <f t="shared" si="6"/>
        <v>1000</v>
      </c>
      <c r="K17" s="668">
        <v>4997</v>
      </c>
      <c r="L17" s="994">
        <f t="shared" si="2"/>
        <v>499.7</v>
      </c>
      <c r="M17" s="35"/>
      <c r="N17" s="342"/>
      <c r="O17" s="343"/>
      <c r="P17" s="625">
        <f t="shared" si="0"/>
        <v>0</v>
      </c>
      <c r="Q17" s="668"/>
      <c r="R17" s="1001"/>
      <c r="S17" s="35"/>
      <c r="T17" s="492">
        <f t="shared" si="1"/>
        <v>1000</v>
      </c>
      <c r="U17" s="668">
        <f t="shared" si="3"/>
        <v>4997</v>
      </c>
      <c r="V17" s="1006">
        <f t="shared" si="4"/>
        <v>499.7</v>
      </c>
    </row>
    <row r="18" spans="2:22" ht="13.5" customHeight="1">
      <c r="B18" s="30">
        <f t="shared" si="5"/>
        <v>10</v>
      </c>
      <c r="C18" s="143"/>
      <c r="D18" s="59" t="s">
        <v>267</v>
      </c>
      <c r="E18" s="321" t="s">
        <v>108</v>
      </c>
      <c r="F18" s="336"/>
      <c r="G18" s="337"/>
      <c r="H18" s="338">
        <v>80000</v>
      </c>
      <c r="I18" s="410"/>
      <c r="J18" s="620">
        <f t="shared" si="6"/>
        <v>80000</v>
      </c>
      <c r="K18" s="668">
        <f>90446-35520</f>
        <v>54926</v>
      </c>
      <c r="L18" s="994">
        <f t="shared" si="2"/>
        <v>68.6575</v>
      </c>
      <c r="M18" s="35"/>
      <c r="N18" s="493"/>
      <c r="O18" s="334"/>
      <c r="P18" s="625">
        <f t="shared" si="0"/>
        <v>0</v>
      </c>
      <c r="Q18" s="668"/>
      <c r="R18" s="1001"/>
      <c r="S18" s="35"/>
      <c r="T18" s="492">
        <f t="shared" si="1"/>
        <v>80000</v>
      </c>
      <c r="U18" s="668">
        <f t="shared" si="3"/>
        <v>54926</v>
      </c>
      <c r="V18" s="1006">
        <f t="shared" si="4"/>
        <v>68.6575</v>
      </c>
    </row>
    <row r="19" spans="2:22" ht="13.5" customHeight="1">
      <c r="B19" s="30">
        <f t="shared" si="5"/>
        <v>11</v>
      </c>
      <c r="C19" s="142"/>
      <c r="D19" s="59" t="s">
        <v>272</v>
      </c>
      <c r="E19" s="321" t="s">
        <v>312</v>
      </c>
      <c r="F19" s="336"/>
      <c r="G19" s="337"/>
      <c r="H19" s="338">
        <v>0</v>
      </c>
      <c r="I19" s="410"/>
      <c r="J19" s="620">
        <f t="shared" si="6"/>
        <v>0</v>
      </c>
      <c r="K19" s="668">
        <v>0</v>
      </c>
      <c r="L19" s="994"/>
      <c r="M19" s="35"/>
      <c r="N19" s="494"/>
      <c r="O19" s="337"/>
      <c r="P19" s="625">
        <f t="shared" si="0"/>
        <v>0</v>
      </c>
      <c r="Q19" s="668"/>
      <c r="R19" s="1001"/>
      <c r="S19" s="35"/>
      <c r="T19" s="492">
        <f t="shared" si="1"/>
        <v>0</v>
      </c>
      <c r="U19" s="668">
        <f t="shared" si="3"/>
        <v>0</v>
      </c>
      <c r="V19" s="1006"/>
    </row>
    <row r="20" spans="2:22" ht="15">
      <c r="B20" s="30">
        <f t="shared" si="5"/>
        <v>12</v>
      </c>
      <c r="C20" s="41">
        <v>2</v>
      </c>
      <c r="D20" s="42" t="s">
        <v>273</v>
      </c>
      <c r="E20" s="43"/>
      <c r="F20" s="401"/>
      <c r="G20" s="402"/>
      <c r="H20" s="402">
        <v>5000</v>
      </c>
      <c r="I20" s="401"/>
      <c r="J20" s="622">
        <f t="shared" si="6"/>
        <v>5000</v>
      </c>
      <c r="K20" s="672">
        <f>K21+K22</f>
        <v>1096</v>
      </c>
      <c r="L20" s="995">
        <f t="shared" si="2"/>
        <v>21.92</v>
      </c>
      <c r="M20" s="194"/>
      <c r="N20" s="254"/>
      <c r="O20" s="157">
        <f>O21+O23</f>
        <v>35398</v>
      </c>
      <c r="P20" s="624">
        <f aca="true" t="shared" si="7" ref="P20:P34">SUM(N20:O20)</f>
        <v>35398</v>
      </c>
      <c r="Q20" s="672">
        <f>SUM(Q21:Q23)</f>
        <v>17380</v>
      </c>
      <c r="R20" s="1000">
        <f>Q20/P20*100</f>
        <v>49.09881914232442</v>
      </c>
      <c r="S20" s="194"/>
      <c r="T20" s="452">
        <f t="shared" si="1"/>
        <v>40398</v>
      </c>
      <c r="U20" s="672">
        <f t="shared" si="3"/>
        <v>18476</v>
      </c>
      <c r="V20" s="1007">
        <f t="shared" si="4"/>
        <v>45.734937373137285</v>
      </c>
    </row>
    <row r="21" spans="2:22" ht="12.75">
      <c r="B21" s="30">
        <f t="shared" si="5"/>
        <v>13</v>
      </c>
      <c r="C21" s="142"/>
      <c r="D21" s="142"/>
      <c r="E21" s="535" t="s">
        <v>353</v>
      </c>
      <c r="F21" s="330"/>
      <c r="G21" s="331"/>
      <c r="H21" s="331">
        <v>702</v>
      </c>
      <c r="I21" s="357"/>
      <c r="J21" s="621">
        <f>SUM(F21:H21)</f>
        <v>702</v>
      </c>
      <c r="K21" s="669">
        <v>702</v>
      </c>
      <c r="L21" s="994">
        <f t="shared" si="2"/>
        <v>100</v>
      </c>
      <c r="M21" s="35"/>
      <c r="N21" s="365"/>
      <c r="O21" s="328">
        <v>8298</v>
      </c>
      <c r="P21" s="627">
        <f t="shared" si="0"/>
        <v>8298</v>
      </c>
      <c r="Q21" s="669"/>
      <c r="R21" s="1000">
        <f>Q21/P21*100</f>
        <v>0</v>
      </c>
      <c r="S21" s="35"/>
      <c r="T21" s="537">
        <f t="shared" si="1"/>
        <v>9000</v>
      </c>
      <c r="U21" s="669">
        <f t="shared" si="3"/>
        <v>702</v>
      </c>
      <c r="V21" s="1006">
        <f t="shared" si="4"/>
        <v>7.8</v>
      </c>
    </row>
    <row r="22" spans="2:22" ht="12.75">
      <c r="B22" s="30">
        <f t="shared" si="5"/>
        <v>14</v>
      </c>
      <c r="C22" s="142"/>
      <c r="D22" s="142"/>
      <c r="E22" s="535" t="s">
        <v>383</v>
      </c>
      <c r="F22" s="330"/>
      <c r="G22" s="331"/>
      <c r="H22" s="331">
        <f>H20-H21</f>
        <v>4298</v>
      </c>
      <c r="I22" s="357"/>
      <c r="J22" s="621">
        <f>SUM(F22:H22)</f>
        <v>4298</v>
      </c>
      <c r="K22" s="669">
        <v>394</v>
      </c>
      <c r="L22" s="994">
        <f t="shared" si="2"/>
        <v>9.167054443927409</v>
      </c>
      <c r="M22" s="35"/>
      <c r="N22" s="365"/>
      <c r="O22" s="328"/>
      <c r="P22" s="627">
        <f t="shared" si="0"/>
        <v>0</v>
      </c>
      <c r="Q22" s="669"/>
      <c r="R22" s="1000"/>
      <c r="S22" s="35"/>
      <c r="T22" s="564">
        <f t="shared" si="1"/>
        <v>4298</v>
      </c>
      <c r="U22" s="669">
        <f t="shared" si="3"/>
        <v>394</v>
      </c>
      <c r="V22" s="1006">
        <f t="shared" si="4"/>
        <v>9.167054443927409</v>
      </c>
    </row>
    <row r="23" spans="2:22" ht="12.75">
      <c r="B23" s="30">
        <f t="shared" si="5"/>
        <v>15</v>
      </c>
      <c r="C23" s="142"/>
      <c r="D23" s="142"/>
      <c r="E23" s="535" t="s">
        <v>371</v>
      </c>
      <c r="F23" s="330"/>
      <c r="G23" s="331"/>
      <c r="H23" s="331"/>
      <c r="I23" s="357"/>
      <c r="J23" s="621">
        <v>0</v>
      </c>
      <c r="K23" s="669"/>
      <c r="L23" s="994"/>
      <c r="M23" s="35"/>
      <c r="N23" s="368"/>
      <c r="O23" s="331">
        <v>27100</v>
      </c>
      <c r="P23" s="628">
        <f t="shared" si="0"/>
        <v>27100</v>
      </c>
      <c r="Q23" s="669">
        <v>17380</v>
      </c>
      <c r="R23" s="1000">
        <f>Q23/P23*100</f>
        <v>64.13284132841328</v>
      </c>
      <c r="S23" s="35"/>
      <c r="T23" s="537">
        <f t="shared" si="1"/>
        <v>27100</v>
      </c>
      <c r="U23" s="669">
        <f t="shared" si="3"/>
        <v>17380</v>
      </c>
      <c r="V23" s="1006">
        <f t="shared" si="4"/>
        <v>64.13284132841328</v>
      </c>
    </row>
    <row r="24" spans="2:22" ht="15">
      <c r="B24" s="30">
        <f t="shared" si="5"/>
        <v>16</v>
      </c>
      <c r="C24" s="36">
        <v>3</v>
      </c>
      <c r="D24" s="37" t="s">
        <v>214</v>
      </c>
      <c r="E24" s="38"/>
      <c r="F24" s="436"/>
      <c r="G24" s="437"/>
      <c r="H24" s="437">
        <f>15000+H25-45</f>
        <v>16640</v>
      </c>
      <c r="I24" s="436"/>
      <c r="J24" s="622">
        <f>SUM(F24:H24)</f>
        <v>16640</v>
      </c>
      <c r="K24" s="672">
        <v>2694</v>
      </c>
      <c r="L24" s="995">
        <f t="shared" si="2"/>
        <v>16.189903846153847</v>
      </c>
      <c r="M24" s="194"/>
      <c r="N24" s="254"/>
      <c r="O24" s="157"/>
      <c r="P24" s="624">
        <f t="shared" si="7"/>
        <v>0</v>
      </c>
      <c r="Q24" s="672"/>
      <c r="R24" s="1000"/>
      <c r="S24" s="260"/>
      <c r="T24" s="452">
        <f t="shared" si="1"/>
        <v>16640</v>
      </c>
      <c r="U24" s="672">
        <f t="shared" si="3"/>
        <v>2694</v>
      </c>
      <c r="V24" s="1007">
        <f t="shared" si="4"/>
        <v>16.189903846153847</v>
      </c>
    </row>
    <row r="25" spans="2:22" ht="12.75">
      <c r="B25" s="30">
        <f t="shared" si="5"/>
        <v>17</v>
      </c>
      <c r="C25" s="142"/>
      <c r="D25" s="142"/>
      <c r="E25" s="535" t="s">
        <v>353</v>
      </c>
      <c r="F25" s="330"/>
      <c r="G25" s="331"/>
      <c r="H25" s="331">
        <v>1685</v>
      </c>
      <c r="I25" s="357"/>
      <c r="J25" s="621">
        <f t="shared" si="6"/>
        <v>1685</v>
      </c>
      <c r="K25" s="669">
        <v>1685</v>
      </c>
      <c r="L25" s="994">
        <f t="shared" si="2"/>
        <v>100</v>
      </c>
      <c r="M25" s="35"/>
      <c r="N25" s="362"/>
      <c r="O25" s="349"/>
      <c r="P25" s="627">
        <f t="shared" si="0"/>
        <v>0</v>
      </c>
      <c r="Q25" s="669"/>
      <c r="R25" s="1001"/>
      <c r="S25" s="35"/>
      <c r="T25" s="564">
        <f t="shared" si="1"/>
        <v>1685</v>
      </c>
      <c r="U25" s="669">
        <f t="shared" si="3"/>
        <v>1685</v>
      </c>
      <c r="V25" s="1006">
        <f t="shared" si="4"/>
        <v>100</v>
      </c>
    </row>
    <row r="26" spans="2:22" ht="12.75">
      <c r="B26" s="30">
        <f t="shared" si="5"/>
        <v>18</v>
      </c>
      <c r="C26" s="142"/>
      <c r="D26" s="142"/>
      <c r="E26" s="535" t="s">
        <v>383</v>
      </c>
      <c r="F26" s="330"/>
      <c r="G26" s="331"/>
      <c r="H26" s="331">
        <f>H24-H25</f>
        <v>14955</v>
      </c>
      <c r="I26" s="357"/>
      <c r="J26" s="621">
        <f>SUM(F26:H26)</f>
        <v>14955</v>
      </c>
      <c r="K26" s="669">
        <f>K24-K25</f>
        <v>1009</v>
      </c>
      <c r="L26" s="994">
        <f t="shared" si="2"/>
        <v>6.746907388833166</v>
      </c>
      <c r="M26" s="35"/>
      <c r="N26" s="362"/>
      <c r="O26" s="349"/>
      <c r="P26" s="627">
        <f>SUM(N26:O26)</f>
        <v>0</v>
      </c>
      <c r="Q26" s="669"/>
      <c r="R26" s="1001"/>
      <c r="S26" s="35"/>
      <c r="T26" s="564">
        <f t="shared" si="1"/>
        <v>14955</v>
      </c>
      <c r="U26" s="669">
        <f t="shared" si="3"/>
        <v>1009</v>
      </c>
      <c r="V26" s="1006">
        <f t="shared" si="4"/>
        <v>6.746907388833166</v>
      </c>
    </row>
    <row r="27" spans="2:22" ht="13.5" customHeight="1">
      <c r="B27" s="30">
        <f t="shared" si="5"/>
        <v>19</v>
      </c>
      <c r="C27" s="36">
        <v>4</v>
      </c>
      <c r="D27" s="37" t="s">
        <v>150</v>
      </c>
      <c r="E27" s="38"/>
      <c r="F27" s="436"/>
      <c r="G27" s="437"/>
      <c r="H27" s="437"/>
      <c r="I27" s="436"/>
      <c r="J27" s="622">
        <f t="shared" si="6"/>
        <v>0</v>
      </c>
      <c r="K27" s="672">
        <v>0</v>
      </c>
      <c r="L27" s="995"/>
      <c r="M27" s="194"/>
      <c r="N27" s="259"/>
      <c r="O27" s="159"/>
      <c r="P27" s="624">
        <f t="shared" si="7"/>
        <v>0</v>
      </c>
      <c r="Q27" s="672"/>
      <c r="R27" s="1000"/>
      <c r="S27" s="260"/>
      <c r="T27" s="452">
        <f t="shared" si="1"/>
        <v>0</v>
      </c>
      <c r="U27" s="672">
        <f t="shared" si="3"/>
        <v>0</v>
      </c>
      <c r="V27" s="1007"/>
    </row>
    <row r="28" spans="2:22" ht="15">
      <c r="B28" s="30">
        <f t="shared" si="5"/>
        <v>20</v>
      </c>
      <c r="C28" s="36">
        <v>5</v>
      </c>
      <c r="D28" s="37" t="s">
        <v>192</v>
      </c>
      <c r="E28" s="38"/>
      <c r="F28" s="436"/>
      <c r="G28" s="437"/>
      <c r="H28" s="437"/>
      <c r="I28" s="436"/>
      <c r="J28" s="622">
        <f t="shared" si="6"/>
        <v>0</v>
      </c>
      <c r="K28" s="672">
        <v>0</v>
      </c>
      <c r="L28" s="995"/>
      <c r="M28" s="194"/>
      <c r="N28" s="259"/>
      <c r="O28" s="159"/>
      <c r="P28" s="624">
        <f t="shared" si="7"/>
        <v>0</v>
      </c>
      <c r="Q28" s="672"/>
      <c r="R28" s="1000"/>
      <c r="S28" s="260"/>
      <c r="T28" s="454">
        <f t="shared" si="1"/>
        <v>0</v>
      </c>
      <c r="U28" s="672">
        <f t="shared" si="3"/>
        <v>0</v>
      </c>
      <c r="V28" s="1007"/>
    </row>
    <row r="29" spans="2:22" ht="15">
      <c r="B29" s="30">
        <f t="shared" si="5"/>
        <v>21</v>
      </c>
      <c r="C29" s="36">
        <v>6</v>
      </c>
      <c r="D29" s="37" t="s">
        <v>151</v>
      </c>
      <c r="E29" s="38"/>
      <c r="F29" s="436"/>
      <c r="G29" s="437"/>
      <c r="H29" s="437"/>
      <c r="I29" s="436"/>
      <c r="J29" s="622">
        <f t="shared" si="6"/>
        <v>0</v>
      </c>
      <c r="K29" s="672">
        <v>0</v>
      </c>
      <c r="L29" s="995"/>
      <c r="M29" s="194"/>
      <c r="N29" s="259"/>
      <c r="O29" s="159"/>
      <c r="P29" s="624">
        <f t="shared" si="7"/>
        <v>0</v>
      </c>
      <c r="Q29" s="672"/>
      <c r="R29" s="1000"/>
      <c r="S29" s="260"/>
      <c r="T29" s="454">
        <f t="shared" si="1"/>
        <v>0</v>
      </c>
      <c r="U29" s="672">
        <f t="shared" si="3"/>
        <v>0</v>
      </c>
      <c r="V29" s="1007"/>
    </row>
    <row r="30" spans="2:22" ht="15.75" customHeight="1">
      <c r="B30" s="30">
        <f t="shared" si="5"/>
        <v>22</v>
      </c>
      <c r="C30" s="36">
        <v>7</v>
      </c>
      <c r="D30" s="37" t="s">
        <v>260</v>
      </c>
      <c r="E30" s="38"/>
      <c r="F30" s="436"/>
      <c r="G30" s="437"/>
      <c r="H30" s="437">
        <f>H31+H32</f>
        <v>50000</v>
      </c>
      <c r="I30" s="436"/>
      <c r="J30" s="622">
        <f t="shared" si="6"/>
        <v>50000</v>
      </c>
      <c r="K30" s="672">
        <f>35520+26878</f>
        <v>62398</v>
      </c>
      <c r="L30" s="995">
        <f t="shared" si="2"/>
        <v>124.79599999999999</v>
      </c>
      <c r="M30" s="194"/>
      <c r="N30" s="259"/>
      <c r="O30" s="159"/>
      <c r="P30" s="624">
        <f t="shared" si="7"/>
        <v>0</v>
      </c>
      <c r="Q30" s="672"/>
      <c r="R30" s="1000"/>
      <c r="S30" s="260"/>
      <c r="T30" s="454">
        <f t="shared" si="1"/>
        <v>50000</v>
      </c>
      <c r="U30" s="672">
        <f t="shared" si="3"/>
        <v>62398</v>
      </c>
      <c r="V30" s="1007">
        <f t="shared" si="4"/>
        <v>124.79599999999999</v>
      </c>
    </row>
    <row r="31" spans="2:22" ht="12.75">
      <c r="B31" s="30">
        <f t="shared" si="5"/>
        <v>23</v>
      </c>
      <c r="C31" s="142"/>
      <c r="D31" s="142"/>
      <c r="E31" s="535" t="s">
        <v>353</v>
      </c>
      <c r="F31" s="330"/>
      <c r="G31" s="331"/>
      <c r="H31" s="331">
        <v>3101</v>
      </c>
      <c r="I31" s="357"/>
      <c r="J31" s="621">
        <f>SUM(F31:H31)</f>
        <v>3101</v>
      </c>
      <c r="K31" s="669"/>
      <c r="L31" s="994">
        <f t="shared" si="2"/>
        <v>0</v>
      </c>
      <c r="M31" s="35"/>
      <c r="N31" s="362"/>
      <c r="O31" s="349"/>
      <c r="P31" s="626">
        <f>SUM(N31:O31)</f>
        <v>0</v>
      </c>
      <c r="Q31" s="669"/>
      <c r="R31" s="1001"/>
      <c r="S31" s="35"/>
      <c r="T31" s="564">
        <f>J31</f>
        <v>3101</v>
      </c>
      <c r="U31" s="669">
        <f t="shared" si="3"/>
        <v>0</v>
      </c>
      <c r="V31" s="1006">
        <f t="shared" si="4"/>
        <v>0</v>
      </c>
    </row>
    <row r="32" spans="2:22" ht="12.75">
      <c r="B32" s="30">
        <f t="shared" si="5"/>
        <v>24</v>
      </c>
      <c r="C32" s="142"/>
      <c r="D32" s="142"/>
      <c r="E32" s="535" t="s">
        <v>383</v>
      </c>
      <c r="F32" s="330"/>
      <c r="G32" s="331"/>
      <c r="H32" s="331">
        <f>66899-20000</f>
        <v>46899</v>
      </c>
      <c r="I32" s="357"/>
      <c r="J32" s="621">
        <f>SUM(F32:H32)</f>
        <v>46899</v>
      </c>
      <c r="K32" s="669">
        <v>62398</v>
      </c>
      <c r="L32" s="994">
        <f t="shared" si="2"/>
        <v>133.0476129555001</v>
      </c>
      <c r="M32" s="35"/>
      <c r="N32" s="362"/>
      <c r="O32" s="349"/>
      <c r="P32" s="627">
        <f>SUM(N32:O32)</f>
        <v>0</v>
      </c>
      <c r="Q32" s="669"/>
      <c r="R32" s="1001"/>
      <c r="S32" s="35"/>
      <c r="T32" s="564">
        <f>J32+P32</f>
        <v>46899</v>
      </c>
      <c r="U32" s="669">
        <f t="shared" si="3"/>
        <v>62398</v>
      </c>
      <c r="V32" s="1006">
        <f t="shared" si="4"/>
        <v>133.0476129555001</v>
      </c>
    </row>
    <row r="33" spans="2:22" ht="13.5" customHeight="1">
      <c r="B33" s="30">
        <f t="shared" si="5"/>
        <v>25</v>
      </c>
      <c r="C33" s="36">
        <v>8</v>
      </c>
      <c r="D33" s="37" t="s">
        <v>152</v>
      </c>
      <c r="E33" s="38"/>
      <c r="F33" s="436"/>
      <c r="G33" s="437"/>
      <c r="H33" s="437"/>
      <c r="I33" s="436">
        <v>10000</v>
      </c>
      <c r="J33" s="622">
        <f>SUM(F33:I33)</f>
        <v>10000</v>
      </c>
      <c r="K33" s="672">
        <v>6479</v>
      </c>
      <c r="L33" s="995">
        <f t="shared" si="2"/>
        <v>64.79</v>
      </c>
      <c r="M33" s="194"/>
      <c r="N33" s="259"/>
      <c r="O33" s="159"/>
      <c r="P33" s="629">
        <f t="shared" si="7"/>
        <v>0</v>
      </c>
      <c r="Q33" s="672"/>
      <c r="R33" s="1000"/>
      <c r="S33" s="260"/>
      <c r="T33" s="454">
        <f>J33+P33</f>
        <v>10000</v>
      </c>
      <c r="U33" s="672">
        <f t="shared" si="3"/>
        <v>6479</v>
      </c>
      <c r="V33" s="1007">
        <f t="shared" si="4"/>
        <v>64.79</v>
      </c>
    </row>
    <row r="34" spans="2:22" ht="15.75" thickBot="1">
      <c r="B34" s="31">
        <f>B33+1</f>
        <v>26</v>
      </c>
      <c r="C34" s="56">
        <v>9</v>
      </c>
      <c r="D34" s="57" t="s">
        <v>153</v>
      </c>
      <c r="E34" s="58"/>
      <c r="F34" s="403"/>
      <c r="G34" s="404"/>
      <c r="H34" s="404"/>
      <c r="I34" s="403"/>
      <c r="J34" s="623">
        <v>0</v>
      </c>
      <c r="K34" s="673">
        <f>168+34</f>
        <v>202</v>
      </c>
      <c r="L34" s="996"/>
      <c r="M34" s="545"/>
      <c r="N34" s="261"/>
      <c r="O34" s="163"/>
      <c r="P34" s="630">
        <f t="shared" si="7"/>
        <v>0</v>
      </c>
      <c r="Q34" s="673"/>
      <c r="R34" s="1002"/>
      <c r="S34" s="546"/>
      <c r="T34" s="453">
        <f>J34+P34</f>
        <v>0</v>
      </c>
      <c r="U34" s="673">
        <f t="shared" si="3"/>
        <v>202</v>
      </c>
      <c r="V34" s="1008"/>
    </row>
    <row r="36" spans="11:17" ht="12.75">
      <c r="K36" s="1051"/>
      <c r="L36" s="1003"/>
      <c r="M36" s="46"/>
      <c r="N36" s="46"/>
      <c r="O36" s="46"/>
      <c r="P36" s="46"/>
      <c r="Q36" s="46"/>
    </row>
    <row r="37" spans="11:17" ht="12.75">
      <c r="K37" s="814"/>
      <c r="L37" s="1003"/>
      <c r="M37" s="46"/>
      <c r="N37" s="46"/>
      <c r="O37" s="46"/>
      <c r="P37" s="46"/>
      <c r="Q37" s="46"/>
    </row>
    <row r="38" spans="11:17" ht="12.75">
      <c r="K38" s="1051"/>
      <c r="L38" s="1003"/>
      <c r="M38" s="46"/>
      <c r="N38" s="46"/>
      <c r="O38" s="46"/>
      <c r="P38" s="46"/>
      <c r="Q38" s="46"/>
    </row>
    <row r="39" spans="11:17" ht="12.75">
      <c r="K39" s="1051"/>
      <c r="L39" s="1003"/>
      <c r="M39" s="46"/>
      <c r="N39" s="46"/>
      <c r="O39" s="46"/>
      <c r="P39" s="46"/>
      <c r="Q39" s="46"/>
    </row>
  </sheetData>
  <sheetProtection/>
  <mergeCells count="22">
    <mergeCell ref="K7:K8"/>
    <mergeCell ref="L7:L8"/>
    <mergeCell ref="N5:P5"/>
    <mergeCell ref="N6:P6"/>
    <mergeCell ref="N7:N8"/>
    <mergeCell ref="P7:P8"/>
    <mergeCell ref="D6:D8"/>
    <mergeCell ref="J7:J8"/>
    <mergeCell ref="F7:F8"/>
    <mergeCell ref="G7:G8"/>
    <mergeCell ref="I7:I8"/>
    <mergeCell ref="H7:H8"/>
    <mergeCell ref="R7:R8"/>
    <mergeCell ref="V4:V8"/>
    <mergeCell ref="E6:L6"/>
    <mergeCell ref="B5:L5"/>
    <mergeCell ref="Q7:Q8"/>
    <mergeCell ref="U4:U8"/>
    <mergeCell ref="O7:O8"/>
    <mergeCell ref="T4:T8"/>
    <mergeCell ref="B4:P4"/>
    <mergeCell ref="C6:C8"/>
  </mergeCells>
  <printOptions/>
  <pageMargins left="0.36" right="0.1968503937007874" top="0.73" bottom="0.708661417322834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.57421875" style="6" customWidth="1"/>
    <col min="3" max="3" width="3.00390625" style="5" customWidth="1"/>
    <col min="4" max="4" width="2.28125" style="0" customWidth="1"/>
    <col min="5" max="5" width="52.421875" style="0" customWidth="1"/>
    <col min="6" max="6" width="4.28125" style="0" customWidth="1"/>
    <col min="7" max="7" width="5.140625" style="0" customWidth="1"/>
    <col min="8" max="8" width="10.00390625" style="0" customWidth="1"/>
    <col min="9" max="9" width="4.421875" style="0" customWidth="1"/>
    <col min="10" max="10" width="11.421875" style="0" customWidth="1"/>
    <col min="11" max="11" width="11.421875" style="487" customWidth="1"/>
    <col min="12" max="12" width="6.00390625" style="976" customWidth="1"/>
    <col min="13" max="13" width="1.421875" style="0" customWidth="1"/>
    <col min="14" max="14" width="4.7109375" style="0" customWidth="1"/>
    <col min="15" max="15" width="7.421875" style="0" customWidth="1"/>
    <col min="16" max="16" width="13.00390625" style="0" customWidth="1"/>
    <col min="17" max="17" width="0.9921875" style="0" customWidth="1"/>
    <col min="18" max="18" width="10.421875" style="0" bestFit="1" customWidth="1"/>
    <col min="19" max="19" width="11.28125" style="0" customWidth="1"/>
    <col min="20" max="20" width="6.421875" style="1015" customWidth="1"/>
  </cols>
  <sheetData>
    <row r="1" spans="10:13" ht="15.75" customHeight="1">
      <c r="J1" s="50"/>
      <c r="K1" s="50"/>
      <c r="L1" s="975"/>
      <c r="M1" s="50"/>
    </row>
    <row r="2" ht="27">
      <c r="C2" s="264" t="s">
        <v>231</v>
      </c>
    </row>
    <row r="3" ht="13.5" customHeight="1" thickBot="1"/>
    <row r="4" spans="2:20" ht="12.75" customHeight="1" thickBot="1">
      <c r="B4" s="1103" t="s">
        <v>306</v>
      </c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5"/>
      <c r="R4" s="1100" t="s">
        <v>405</v>
      </c>
      <c r="S4" s="1096" t="s">
        <v>465</v>
      </c>
      <c r="T4" s="1123" t="s">
        <v>406</v>
      </c>
    </row>
    <row r="5" spans="2:20" ht="18.75" customHeight="1">
      <c r="B5" s="1091" t="s">
        <v>11</v>
      </c>
      <c r="C5" s="1092"/>
      <c r="D5" s="1092"/>
      <c r="E5" s="1092"/>
      <c r="F5" s="1092"/>
      <c r="G5" s="1092"/>
      <c r="H5" s="1092"/>
      <c r="I5" s="1092"/>
      <c r="J5" s="1092"/>
      <c r="K5" s="1092"/>
      <c r="L5" s="1130"/>
      <c r="M5" s="451"/>
      <c r="N5" s="1091" t="s">
        <v>325</v>
      </c>
      <c r="O5" s="1092"/>
      <c r="P5" s="1093"/>
      <c r="R5" s="1101"/>
      <c r="S5" s="1097"/>
      <c r="T5" s="1124"/>
    </row>
    <row r="6" spans="2:20" ht="12.75" customHeight="1">
      <c r="B6" s="40"/>
      <c r="C6" s="1106" t="s">
        <v>147</v>
      </c>
      <c r="D6" s="1106" t="s">
        <v>148</v>
      </c>
      <c r="E6" s="1088" t="s">
        <v>10</v>
      </c>
      <c r="F6" s="1089"/>
      <c r="G6" s="1089"/>
      <c r="H6" s="1089"/>
      <c r="I6" s="1089"/>
      <c r="J6" s="1089"/>
      <c r="K6" s="1089"/>
      <c r="L6" s="1126"/>
      <c r="M6" s="292"/>
      <c r="N6" s="1118" t="s">
        <v>10</v>
      </c>
      <c r="O6" s="1089"/>
      <c r="P6" s="1090"/>
      <c r="R6" s="1101"/>
      <c r="S6" s="1097"/>
      <c r="T6" s="1124"/>
    </row>
    <row r="7" spans="2:20" ht="36.75" customHeight="1">
      <c r="B7" s="40"/>
      <c r="C7" s="1106"/>
      <c r="D7" s="1106"/>
      <c r="E7" s="883" t="s">
        <v>4</v>
      </c>
      <c r="F7" s="1113">
        <v>610</v>
      </c>
      <c r="G7" s="1111">
        <v>620</v>
      </c>
      <c r="H7" s="1113">
        <v>630</v>
      </c>
      <c r="I7" s="1113">
        <v>640</v>
      </c>
      <c r="J7" s="1125" t="s">
        <v>492</v>
      </c>
      <c r="K7" s="1094" t="s">
        <v>465</v>
      </c>
      <c r="L7" s="1127" t="s">
        <v>406</v>
      </c>
      <c r="M7" s="168"/>
      <c r="N7" s="1121">
        <v>716</v>
      </c>
      <c r="O7" s="1098">
        <v>717</v>
      </c>
      <c r="P7" s="1125" t="s">
        <v>492</v>
      </c>
      <c r="R7" s="1101"/>
      <c r="S7" s="1097"/>
      <c r="T7" s="1124"/>
    </row>
    <row r="8" spans="2:21" ht="39.75" customHeight="1" thickBot="1">
      <c r="B8" s="45"/>
      <c r="C8" s="1129"/>
      <c r="D8" s="1129"/>
      <c r="E8" s="123"/>
      <c r="F8" s="1099"/>
      <c r="G8" s="1112"/>
      <c r="H8" s="1099"/>
      <c r="I8" s="1099"/>
      <c r="J8" s="1110"/>
      <c r="K8" s="1095"/>
      <c r="L8" s="1128"/>
      <c r="M8" s="168"/>
      <c r="N8" s="1122"/>
      <c r="O8" s="1099"/>
      <c r="P8" s="1110"/>
      <c r="R8" s="1102"/>
      <c r="S8" s="1097"/>
      <c r="T8" s="1124"/>
      <c r="U8" s="487"/>
    </row>
    <row r="9" spans="2:21" ht="26.25" customHeight="1" thickBot="1" thickTop="1">
      <c r="B9" s="30">
        <v>1</v>
      </c>
      <c r="C9" s="576" t="s">
        <v>295</v>
      </c>
      <c r="D9" s="280"/>
      <c r="E9" s="298"/>
      <c r="F9" s="578">
        <f>SUM(F10:F14)</f>
        <v>0</v>
      </c>
      <c r="G9" s="577">
        <f>SUM(G10:G14)</f>
        <v>0</v>
      </c>
      <c r="H9" s="578">
        <f>H10+H11+H14</f>
        <v>80000</v>
      </c>
      <c r="I9" s="578">
        <f>I10+I11+I14</f>
        <v>0</v>
      </c>
      <c r="J9" s="631">
        <f aca="true" t="shared" si="0" ref="J9:J16">SUM(F9:I9)</f>
        <v>80000</v>
      </c>
      <c r="K9" s="676">
        <f>K10+K11+K14</f>
        <v>20865</v>
      </c>
      <c r="L9" s="888">
        <f>K9/J9*100</f>
        <v>26.08125</v>
      </c>
      <c r="M9" s="408"/>
      <c r="N9" s="579">
        <f>SUM(N10:N14)</f>
        <v>0</v>
      </c>
      <c r="O9" s="578">
        <f>SUM(O10:O14)</f>
        <v>0</v>
      </c>
      <c r="P9" s="631">
        <f aca="true" t="shared" si="1" ref="P9:P16">SUM(N9:O9)</f>
        <v>0</v>
      </c>
      <c r="R9" s="851">
        <f aca="true" t="shared" si="2" ref="R9:R16">J9+P9</f>
        <v>80000</v>
      </c>
      <c r="S9" s="676">
        <f>K9</f>
        <v>20865</v>
      </c>
      <c r="T9" s="888">
        <f>S9/R9*100</f>
        <v>26.08125</v>
      </c>
      <c r="U9" s="19"/>
    </row>
    <row r="10" spans="2:21" ht="15.75" thickTop="1">
      <c r="B10" s="187">
        <f aca="true" t="shared" si="3" ref="B10:B16">B9+1</f>
        <v>2</v>
      </c>
      <c r="C10" s="41">
        <v>1</v>
      </c>
      <c r="D10" s="42" t="s">
        <v>268</v>
      </c>
      <c r="E10" s="136"/>
      <c r="F10" s="157"/>
      <c r="G10" s="153"/>
      <c r="H10" s="153">
        <v>10000</v>
      </c>
      <c r="I10" s="157"/>
      <c r="J10" s="852">
        <f t="shared" si="0"/>
        <v>10000</v>
      </c>
      <c r="K10" s="675">
        <v>1771</v>
      </c>
      <c r="L10" s="889">
        <f aca="true" t="shared" si="4" ref="L10:L16">K10/J10*100</f>
        <v>17.71</v>
      </c>
      <c r="M10" s="186"/>
      <c r="N10" s="254"/>
      <c r="O10" s="157"/>
      <c r="P10" s="853">
        <f t="shared" si="1"/>
        <v>0</v>
      </c>
      <c r="R10" s="854">
        <f t="shared" si="2"/>
        <v>10000</v>
      </c>
      <c r="S10" s="675">
        <f aca="true" t="shared" si="5" ref="S10:S16">K10</f>
        <v>1771</v>
      </c>
      <c r="T10" s="889">
        <f aca="true" t="shared" si="6" ref="T10:T16">S10/R10*100</f>
        <v>17.71</v>
      </c>
      <c r="U10" s="19"/>
    </row>
    <row r="11" spans="2:21" ht="15" customHeight="1">
      <c r="B11" s="187">
        <f t="shared" si="3"/>
        <v>3</v>
      </c>
      <c r="C11" s="41">
        <v>2</v>
      </c>
      <c r="D11" s="42" t="s">
        <v>269</v>
      </c>
      <c r="E11" s="136"/>
      <c r="F11" s="157"/>
      <c r="G11" s="153"/>
      <c r="H11" s="153">
        <f>SUM(H12:H13)</f>
        <v>20000</v>
      </c>
      <c r="I11" s="157"/>
      <c r="J11" s="852">
        <f t="shared" si="0"/>
        <v>20000</v>
      </c>
      <c r="K11" s="672">
        <f>K12+K13</f>
        <v>1094</v>
      </c>
      <c r="L11" s="891">
        <f t="shared" si="4"/>
        <v>5.47</v>
      </c>
      <c r="M11" s="186"/>
      <c r="N11" s="254"/>
      <c r="O11" s="157"/>
      <c r="P11" s="853">
        <f t="shared" si="1"/>
        <v>0</v>
      </c>
      <c r="R11" s="854">
        <f t="shared" si="2"/>
        <v>20000</v>
      </c>
      <c r="S11" s="855">
        <f t="shared" si="5"/>
        <v>1094</v>
      </c>
      <c r="T11" s="891">
        <f t="shared" si="6"/>
        <v>5.47</v>
      </c>
      <c r="U11" s="19"/>
    </row>
    <row r="12" spans="2:21" ht="14.25">
      <c r="B12" s="187">
        <f t="shared" si="3"/>
        <v>4</v>
      </c>
      <c r="C12" s="39"/>
      <c r="D12" s="39"/>
      <c r="E12" s="581" t="s">
        <v>345</v>
      </c>
      <c r="F12" s="330"/>
      <c r="G12" s="330"/>
      <c r="H12" s="330">
        <v>15000</v>
      </c>
      <c r="I12" s="330"/>
      <c r="J12" s="632">
        <f>H12</f>
        <v>15000</v>
      </c>
      <c r="K12" s="669">
        <v>0</v>
      </c>
      <c r="L12" s="890">
        <f t="shared" si="4"/>
        <v>0</v>
      </c>
      <c r="M12" s="186"/>
      <c r="N12" s="254"/>
      <c r="O12" s="157"/>
      <c r="P12" s="677">
        <f t="shared" si="1"/>
        <v>0</v>
      </c>
      <c r="Q12" s="487"/>
      <c r="R12" s="678">
        <f t="shared" si="2"/>
        <v>15000</v>
      </c>
      <c r="S12" s="669">
        <f t="shared" si="5"/>
        <v>0</v>
      </c>
      <c r="T12" s="890">
        <f t="shared" si="6"/>
        <v>0</v>
      </c>
      <c r="U12" s="19"/>
    </row>
    <row r="13" spans="2:21" ht="14.25">
      <c r="B13" s="187">
        <f t="shared" si="3"/>
        <v>5</v>
      </c>
      <c r="C13" s="32"/>
      <c r="D13" s="39"/>
      <c r="E13" s="539" t="s">
        <v>380</v>
      </c>
      <c r="F13" s="330"/>
      <c r="G13" s="330"/>
      <c r="H13" s="330">
        <v>5000</v>
      </c>
      <c r="I13" s="331"/>
      <c r="J13" s="632">
        <f>H13</f>
        <v>5000</v>
      </c>
      <c r="K13" s="669">
        <v>1094</v>
      </c>
      <c r="L13" s="890">
        <f t="shared" si="4"/>
        <v>21.88</v>
      </c>
      <c r="M13" s="186"/>
      <c r="N13" s="254"/>
      <c r="O13" s="157"/>
      <c r="P13" s="677">
        <v>0</v>
      </c>
      <c r="Q13" s="487"/>
      <c r="R13" s="678">
        <f t="shared" si="2"/>
        <v>5000</v>
      </c>
      <c r="S13" s="669">
        <f t="shared" si="5"/>
        <v>1094</v>
      </c>
      <c r="T13" s="890">
        <f t="shared" si="6"/>
        <v>21.88</v>
      </c>
      <c r="U13" s="19"/>
    </row>
    <row r="14" spans="2:21" ht="15">
      <c r="B14" s="187">
        <f t="shared" si="3"/>
        <v>6</v>
      </c>
      <c r="C14" s="41">
        <v>3</v>
      </c>
      <c r="D14" s="42" t="s">
        <v>215</v>
      </c>
      <c r="E14" s="136"/>
      <c r="F14" s="157"/>
      <c r="G14" s="153"/>
      <c r="H14" s="157">
        <f>H16</f>
        <v>50000</v>
      </c>
      <c r="I14" s="157"/>
      <c r="J14" s="852">
        <f t="shared" si="0"/>
        <v>50000</v>
      </c>
      <c r="K14" s="672">
        <f>K16</f>
        <v>18000</v>
      </c>
      <c r="L14" s="891">
        <f t="shared" si="4"/>
        <v>36</v>
      </c>
      <c r="M14" s="186"/>
      <c r="N14" s="254"/>
      <c r="O14" s="157"/>
      <c r="P14" s="853">
        <f t="shared" si="1"/>
        <v>0</v>
      </c>
      <c r="R14" s="854">
        <f t="shared" si="2"/>
        <v>50000</v>
      </c>
      <c r="S14" s="855">
        <f t="shared" si="5"/>
        <v>18000</v>
      </c>
      <c r="T14" s="891">
        <f t="shared" si="6"/>
        <v>36</v>
      </c>
      <c r="U14" s="19"/>
    </row>
    <row r="15" spans="2:20" ht="12.75">
      <c r="B15" s="187">
        <f t="shared" si="3"/>
        <v>7</v>
      </c>
      <c r="C15" s="39"/>
      <c r="D15" s="126" t="s">
        <v>5</v>
      </c>
      <c r="E15" s="478" t="s">
        <v>211</v>
      </c>
      <c r="F15" s="334"/>
      <c r="G15" s="333"/>
      <c r="H15" s="335">
        <v>0</v>
      </c>
      <c r="I15" s="335"/>
      <c r="J15" s="633">
        <f t="shared" si="0"/>
        <v>0</v>
      </c>
      <c r="K15" s="668"/>
      <c r="L15" s="890"/>
      <c r="M15" s="169"/>
      <c r="N15" s="342"/>
      <c r="O15" s="343"/>
      <c r="P15" s="635">
        <f t="shared" si="1"/>
        <v>0</v>
      </c>
      <c r="R15" s="501">
        <f t="shared" si="2"/>
        <v>0</v>
      </c>
      <c r="S15" s="668">
        <f t="shared" si="5"/>
        <v>0</v>
      </c>
      <c r="T15" s="890"/>
    </row>
    <row r="16" spans="2:20" ht="13.5" thickBot="1">
      <c r="B16" s="187">
        <f t="shared" si="3"/>
        <v>8</v>
      </c>
      <c r="C16" s="49"/>
      <c r="D16" s="137" t="s">
        <v>6</v>
      </c>
      <c r="E16" s="479" t="s">
        <v>216</v>
      </c>
      <c r="F16" s="345"/>
      <c r="G16" s="344"/>
      <c r="H16" s="346">
        <v>50000</v>
      </c>
      <c r="I16" s="345"/>
      <c r="J16" s="634">
        <f t="shared" si="0"/>
        <v>50000</v>
      </c>
      <c r="K16" s="674">
        <v>18000</v>
      </c>
      <c r="L16" s="892">
        <f t="shared" si="4"/>
        <v>36</v>
      </c>
      <c r="M16" s="169"/>
      <c r="N16" s="500"/>
      <c r="O16" s="345"/>
      <c r="P16" s="636">
        <f t="shared" si="1"/>
        <v>0</v>
      </c>
      <c r="R16" s="502">
        <f t="shared" si="2"/>
        <v>50000</v>
      </c>
      <c r="S16" s="674">
        <f t="shared" si="5"/>
        <v>18000</v>
      </c>
      <c r="T16" s="892">
        <f t="shared" si="6"/>
        <v>36</v>
      </c>
    </row>
  </sheetData>
  <sheetProtection/>
  <mergeCells count="20">
    <mergeCell ref="C6:C8"/>
    <mergeCell ref="S4:S8"/>
    <mergeCell ref="G7:G8"/>
    <mergeCell ref="I7:I8"/>
    <mergeCell ref="P7:P8"/>
    <mergeCell ref="H7:H8"/>
    <mergeCell ref="B4:P4"/>
    <mergeCell ref="B5:L5"/>
    <mergeCell ref="D6:D8"/>
    <mergeCell ref="R4:R8"/>
    <mergeCell ref="J7:J8"/>
    <mergeCell ref="E6:L6"/>
    <mergeCell ref="L7:L8"/>
    <mergeCell ref="F7:F8"/>
    <mergeCell ref="K7:K8"/>
    <mergeCell ref="T4:T8"/>
    <mergeCell ref="N5:P5"/>
    <mergeCell ref="N6:P6"/>
    <mergeCell ref="N7:N8"/>
    <mergeCell ref="O7:O8"/>
  </mergeCells>
  <printOptions/>
  <pageMargins left="0.3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177"/>
  <sheetViews>
    <sheetView zoomScale="83" zoomScaleNormal="83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57421875" style="6" customWidth="1"/>
    <col min="3" max="3" width="2.8515625" style="5" customWidth="1"/>
    <col min="4" max="4" width="2.140625" style="0" customWidth="1"/>
    <col min="5" max="5" width="41.28125" style="0" customWidth="1"/>
    <col min="6" max="6" width="11.140625" style="0" customWidth="1"/>
    <col min="7" max="7" width="9.57421875" style="0" customWidth="1"/>
    <col min="8" max="8" width="11.57421875" style="0" customWidth="1"/>
    <col min="9" max="9" width="9.421875" style="0" customWidth="1"/>
    <col min="10" max="10" width="13.00390625" style="0" customWidth="1"/>
    <col min="11" max="11" width="13.00390625" style="487" customWidth="1"/>
    <col min="12" max="12" width="5.8515625" style="487" customWidth="1"/>
    <col min="13" max="13" width="1.28515625" style="171" customWidth="1"/>
    <col min="14" max="14" width="8.421875" style="171" customWidth="1"/>
    <col min="15" max="15" width="6.7109375" style="171" customWidth="1"/>
    <col min="16" max="16" width="13.00390625" style="171" customWidth="1"/>
    <col min="17" max="17" width="13.00390625" style="684" customWidth="1"/>
    <col min="18" max="18" width="7.00390625" style="717" customWidth="1"/>
    <col min="19" max="19" width="1.8515625" style="0" customWidth="1"/>
    <col min="20" max="20" width="12.140625" style="0" customWidth="1"/>
    <col min="21" max="21" width="12.00390625" style="0" customWidth="1"/>
    <col min="22" max="22" width="6.8515625" style="989" customWidth="1"/>
    <col min="23" max="23" width="13.00390625" style="0" bestFit="1" customWidth="1"/>
    <col min="25" max="25" width="9.421875" style="0" bestFit="1" customWidth="1"/>
  </cols>
  <sheetData>
    <row r="1" spans="10:13" ht="15.75" customHeight="1">
      <c r="J1" s="188"/>
      <c r="K1" s="50"/>
      <c r="L1" s="50"/>
      <c r="M1" s="411"/>
    </row>
    <row r="2" spans="3:13" ht="27">
      <c r="C2" s="264" t="s">
        <v>164</v>
      </c>
      <c r="I2" s="856"/>
      <c r="J2" s="196"/>
      <c r="K2" s="682"/>
      <c r="L2" s="682"/>
      <c r="M2" s="196"/>
    </row>
    <row r="3" ht="13.5" thickBot="1"/>
    <row r="4" spans="2:22" ht="12.75" customHeight="1" thickBot="1">
      <c r="B4" s="1137" t="s">
        <v>306</v>
      </c>
      <c r="C4" s="1138"/>
      <c r="D4" s="1138"/>
      <c r="E4" s="1138"/>
      <c r="F4" s="1138"/>
      <c r="G4" s="1138"/>
      <c r="H4" s="1138"/>
      <c r="I4" s="1138"/>
      <c r="J4" s="1138"/>
      <c r="K4" s="1138"/>
      <c r="L4" s="1138"/>
      <c r="M4" s="1138"/>
      <c r="N4" s="1138"/>
      <c r="O4" s="1138"/>
      <c r="P4" s="1138"/>
      <c r="Q4" s="1139"/>
      <c r="R4" s="1131" t="s">
        <v>406</v>
      </c>
      <c r="T4" s="1100" t="s">
        <v>405</v>
      </c>
      <c r="U4" s="1096" t="s">
        <v>465</v>
      </c>
      <c r="V4" s="1134" t="s">
        <v>406</v>
      </c>
    </row>
    <row r="5" spans="2:22" ht="18.75" customHeight="1" thickTop="1">
      <c r="B5" s="1140" t="s">
        <v>11</v>
      </c>
      <c r="C5" s="1141"/>
      <c r="D5" s="1141"/>
      <c r="E5" s="1141"/>
      <c r="F5" s="1141"/>
      <c r="G5" s="1141"/>
      <c r="H5" s="1141"/>
      <c r="I5" s="1141"/>
      <c r="J5" s="1141"/>
      <c r="K5" s="1141"/>
      <c r="L5" s="1142"/>
      <c r="M5" s="407"/>
      <c r="N5" s="1143" t="s">
        <v>294</v>
      </c>
      <c r="O5" s="1144"/>
      <c r="P5" s="1145"/>
      <c r="Q5" s="685"/>
      <c r="R5" s="1132"/>
      <c r="T5" s="1101"/>
      <c r="U5" s="1097"/>
      <c r="V5" s="1135"/>
    </row>
    <row r="6" spans="2:22" ht="12.75" customHeight="1">
      <c r="B6" s="40"/>
      <c r="C6" s="1106" t="s">
        <v>147</v>
      </c>
      <c r="D6" s="1106" t="s">
        <v>148</v>
      </c>
      <c r="E6" s="1088" t="s">
        <v>10</v>
      </c>
      <c r="F6" s="1089"/>
      <c r="G6" s="1089"/>
      <c r="H6" s="1089"/>
      <c r="I6" s="1089"/>
      <c r="J6" s="1089"/>
      <c r="K6" s="1089"/>
      <c r="L6" s="1126"/>
      <c r="M6" s="392"/>
      <c r="N6" s="1118" t="s">
        <v>10</v>
      </c>
      <c r="O6" s="1119"/>
      <c r="P6" s="1120"/>
      <c r="Q6" s="686"/>
      <c r="R6" s="1132"/>
      <c r="T6" s="1101"/>
      <c r="U6" s="1097"/>
      <c r="V6" s="1135"/>
    </row>
    <row r="7" spans="2:22" ht="25.5" customHeight="1">
      <c r="B7" s="40"/>
      <c r="C7" s="1107"/>
      <c r="D7" s="1107"/>
      <c r="E7" s="51" t="s">
        <v>4</v>
      </c>
      <c r="F7" s="1111">
        <v>610</v>
      </c>
      <c r="G7" s="1113">
        <v>620</v>
      </c>
      <c r="H7" s="1113">
        <v>630</v>
      </c>
      <c r="I7" s="1136">
        <v>650</v>
      </c>
      <c r="J7" s="1125" t="s">
        <v>492</v>
      </c>
      <c r="K7" s="1094" t="s">
        <v>465</v>
      </c>
      <c r="L7" s="1127" t="s">
        <v>406</v>
      </c>
      <c r="M7" s="168"/>
      <c r="N7" s="1146">
        <v>711</v>
      </c>
      <c r="O7" s="1098">
        <v>717</v>
      </c>
      <c r="P7" s="1125" t="s">
        <v>492</v>
      </c>
      <c r="Q7" s="1094" t="s">
        <v>465</v>
      </c>
      <c r="R7" s="1132"/>
      <c r="T7" s="1101"/>
      <c r="U7" s="1097"/>
      <c r="V7" s="1135"/>
    </row>
    <row r="8" spans="2:22" ht="36" customHeight="1" thickBot="1">
      <c r="B8" s="45"/>
      <c r="C8" s="1108"/>
      <c r="D8" s="1108"/>
      <c r="E8" s="52"/>
      <c r="F8" s="1112"/>
      <c r="G8" s="1099"/>
      <c r="H8" s="1099"/>
      <c r="I8" s="1099"/>
      <c r="J8" s="1110"/>
      <c r="K8" s="1095"/>
      <c r="L8" s="1128"/>
      <c r="M8" s="412"/>
      <c r="N8" s="1122"/>
      <c r="O8" s="1099"/>
      <c r="P8" s="1110"/>
      <c r="Q8" s="1095"/>
      <c r="R8" s="1133"/>
      <c r="T8" s="1102"/>
      <c r="U8" s="1097"/>
      <c r="V8" s="1135"/>
    </row>
    <row r="9" spans="2:24" ht="25.5" customHeight="1" thickBot="1" thickTop="1">
      <c r="B9" s="30">
        <v>1</v>
      </c>
      <c r="C9" s="197" t="s">
        <v>165</v>
      </c>
      <c r="D9" s="283"/>
      <c r="E9" s="284"/>
      <c r="F9" s="582">
        <f>F10+F13+F18+F19+F23+F39+F41+F45+F48</f>
        <v>1520330</v>
      </c>
      <c r="G9" s="583">
        <f>G10+G13+G18+G19+G23+G39+G41+G45+G48</f>
        <v>474967</v>
      </c>
      <c r="H9" s="583">
        <f>H10+H13+H18+H19+H23+H39+H41+H45+H48</f>
        <v>810388</v>
      </c>
      <c r="I9" s="583">
        <f>I10+I13+I18+I19+I23+I39+I41+I45+I48</f>
        <v>400000</v>
      </c>
      <c r="J9" s="631">
        <f aca="true" t="shared" si="0" ref="J9:J19">SUM(F9:I9)</f>
        <v>3205685</v>
      </c>
      <c r="K9" s="676">
        <f>K10+K13+K18+K19+K23+K39+K41+K45+K48</f>
        <v>1809615</v>
      </c>
      <c r="L9" s="888">
        <f>K9/J9*100</f>
        <v>56.450181474474256</v>
      </c>
      <c r="M9" s="413"/>
      <c r="N9" s="584">
        <f>N10+N13+N18+N19+N39+N41+N45+N48</f>
        <v>19015</v>
      </c>
      <c r="O9" s="583">
        <f>O10+O13+O18+O19+O23+O39+O41+O45+O48</f>
        <v>0</v>
      </c>
      <c r="P9" s="631">
        <f aca="true" t="shared" si="1" ref="P9:P20">SUM(N9:O9)</f>
        <v>19015</v>
      </c>
      <c r="Q9" s="676">
        <f>Q10+Q13+Q18+Q19+Q23+Q39+Q41+Q45+Q48</f>
        <v>19016</v>
      </c>
      <c r="R9" s="888">
        <f>Q9/P9*100</f>
        <v>100.00525900604787</v>
      </c>
      <c r="T9" s="857">
        <f>J9+P9</f>
        <v>3224700</v>
      </c>
      <c r="U9" s="676">
        <f>K9+Q9</f>
        <v>1828631</v>
      </c>
      <c r="V9" s="888">
        <f>U9/T9*100</f>
        <v>56.707011504946195</v>
      </c>
      <c r="W9" s="616"/>
      <c r="X9" s="661"/>
    </row>
    <row r="10" spans="2:22" ht="16.5" thickTop="1">
      <c r="B10" s="30">
        <f aca="true" t="shared" si="2" ref="B10:B49">B9+1</f>
        <v>2</v>
      </c>
      <c r="C10" s="41">
        <v>1</v>
      </c>
      <c r="D10" s="589" t="s">
        <v>110</v>
      </c>
      <c r="E10" s="43"/>
      <c r="F10" s="401"/>
      <c r="G10" s="402"/>
      <c r="H10" s="402">
        <f>H11+H12</f>
        <v>40000</v>
      </c>
      <c r="I10" s="402"/>
      <c r="J10" s="858">
        <f t="shared" si="0"/>
        <v>40000</v>
      </c>
      <c r="K10" s="675">
        <v>32360</v>
      </c>
      <c r="L10" s="889">
        <f aca="true" t="shared" si="3" ref="L10:L50">K10/J10*100</f>
        <v>80.9</v>
      </c>
      <c r="M10" s="186"/>
      <c r="N10" s="254"/>
      <c r="O10" s="157"/>
      <c r="P10" s="859">
        <f t="shared" si="1"/>
        <v>0</v>
      </c>
      <c r="Q10" s="675"/>
      <c r="R10" s="889"/>
      <c r="T10" s="860">
        <f>J10+P10</f>
        <v>40000</v>
      </c>
      <c r="U10" s="675">
        <f aca="true" t="shared" si="4" ref="U10:U50">K10+Q10</f>
        <v>32360</v>
      </c>
      <c r="V10" s="889">
        <f aca="true" t="shared" si="5" ref="V10:V50">U10/T10*100</f>
        <v>80.9</v>
      </c>
    </row>
    <row r="11" spans="2:22" ht="15">
      <c r="B11" s="30">
        <f t="shared" si="2"/>
        <v>3</v>
      </c>
      <c r="C11" s="143"/>
      <c r="D11" s="2"/>
      <c r="E11" s="586" t="s">
        <v>353</v>
      </c>
      <c r="F11" s="592"/>
      <c r="G11" s="593"/>
      <c r="H11" s="594">
        <v>6030</v>
      </c>
      <c r="I11" s="593"/>
      <c r="J11" s="627">
        <f>H11</f>
        <v>6030</v>
      </c>
      <c r="K11" s="922">
        <v>3650</v>
      </c>
      <c r="L11" s="890"/>
      <c r="M11" s="169"/>
      <c r="N11" s="547"/>
      <c r="O11" s="536"/>
      <c r="P11" s="638"/>
      <c r="Q11" s="669"/>
      <c r="R11" s="890"/>
      <c r="S11" s="170"/>
      <c r="T11" s="506">
        <f>J11+P11</f>
        <v>6030</v>
      </c>
      <c r="U11" s="922">
        <f t="shared" si="4"/>
        <v>3650</v>
      </c>
      <c r="V11" s="1016">
        <f t="shared" si="5"/>
        <v>60.53067993366501</v>
      </c>
    </row>
    <row r="12" spans="2:22" ht="15">
      <c r="B12" s="30">
        <f t="shared" si="2"/>
        <v>4</v>
      </c>
      <c r="C12" s="142"/>
      <c r="D12" s="2"/>
      <c r="E12" s="586" t="s">
        <v>383</v>
      </c>
      <c r="F12" s="592"/>
      <c r="G12" s="593"/>
      <c r="H12" s="594">
        <f>60000-26030</f>
        <v>33970</v>
      </c>
      <c r="I12" s="593"/>
      <c r="J12" s="627">
        <f>H12</f>
        <v>33970</v>
      </c>
      <c r="K12" s="923">
        <f>K10-K11</f>
        <v>28710</v>
      </c>
      <c r="L12" s="890"/>
      <c r="M12" s="169"/>
      <c r="N12" s="542"/>
      <c r="O12" s="531"/>
      <c r="P12" s="638"/>
      <c r="Q12" s="669"/>
      <c r="R12" s="890"/>
      <c r="S12" s="170"/>
      <c r="T12" s="506">
        <f>J12+P12</f>
        <v>33970</v>
      </c>
      <c r="U12" s="922">
        <f t="shared" si="4"/>
        <v>28710</v>
      </c>
      <c r="V12" s="1016">
        <f t="shared" si="5"/>
        <v>84.51574919046217</v>
      </c>
    </row>
    <row r="13" spans="2:22" ht="15.75">
      <c r="B13" s="30">
        <f t="shared" si="2"/>
        <v>5</v>
      </c>
      <c r="C13" s="41">
        <v>2</v>
      </c>
      <c r="D13" s="589" t="s">
        <v>274</v>
      </c>
      <c r="E13" s="43"/>
      <c r="F13" s="401"/>
      <c r="G13" s="402"/>
      <c r="H13" s="402">
        <f>H14+H15+H16+H17</f>
        <v>127900</v>
      </c>
      <c r="I13" s="402"/>
      <c r="J13" s="852">
        <f t="shared" si="0"/>
        <v>127900</v>
      </c>
      <c r="K13" s="672">
        <f>SUM(K14:K17)</f>
        <v>50423</v>
      </c>
      <c r="L13" s="891">
        <f t="shared" si="3"/>
        <v>39.423768569194685</v>
      </c>
      <c r="M13" s="186"/>
      <c r="N13" s="254"/>
      <c r="O13" s="157"/>
      <c r="P13" s="859">
        <f t="shared" si="1"/>
        <v>0</v>
      </c>
      <c r="Q13" s="672">
        <f>SUM(Q14:Q16)</f>
        <v>5</v>
      </c>
      <c r="R13" s="891"/>
      <c r="S13" s="171"/>
      <c r="T13" s="861">
        <f aca="true" t="shared" si="6" ref="T13:T46">J13+P13</f>
        <v>127900</v>
      </c>
      <c r="U13" s="672">
        <f t="shared" si="4"/>
        <v>50428</v>
      </c>
      <c r="V13" s="891">
        <f t="shared" si="5"/>
        <v>39.427677873338546</v>
      </c>
    </row>
    <row r="14" spans="2:22" ht="15">
      <c r="B14" s="30">
        <f t="shared" si="2"/>
        <v>6</v>
      </c>
      <c r="C14" s="143"/>
      <c r="D14" s="61" t="s">
        <v>5</v>
      </c>
      <c r="E14" s="590" t="s">
        <v>154</v>
      </c>
      <c r="F14" s="595"/>
      <c r="G14" s="596"/>
      <c r="H14" s="597">
        <v>4490</v>
      </c>
      <c r="I14" s="596"/>
      <c r="J14" s="633">
        <f>SUM(F14:I14)</f>
        <v>4490</v>
      </c>
      <c r="K14" s="668">
        <v>2306</v>
      </c>
      <c r="L14" s="890">
        <f t="shared" si="3"/>
        <v>51.358574610244986</v>
      </c>
      <c r="M14" s="169"/>
      <c r="N14" s="347"/>
      <c r="O14" s="334"/>
      <c r="P14" s="625">
        <f t="shared" si="1"/>
        <v>0</v>
      </c>
      <c r="Q14" s="668"/>
      <c r="R14" s="890"/>
      <c r="S14" s="170"/>
      <c r="T14" s="505">
        <f t="shared" si="6"/>
        <v>4490</v>
      </c>
      <c r="U14" s="668">
        <f t="shared" si="4"/>
        <v>2306</v>
      </c>
      <c r="V14" s="890">
        <f t="shared" si="5"/>
        <v>51.358574610244986</v>
      </c>
    </row>
    <row r="15" spans="2:22" ht="15">
      <c r="B15" s="30">
        <f t="shared" si="2"/>
        <v>7</v>
      </c>
      <c r="C15" s="143"/>
      <c r="D15" s="62" t="s">
        <v>6</v>
      </c>
      <c r="E15" s="585" t="s">
        <v>155</v>
      </c>
      <c r="F15" s="598"/>
      <c r="G15" s="599"/>
      <c r="H15" s="600">
        <v>37500</v>
      </c>
      <c r="I15" s="599"/>
      <c r="J15" s="633">
        <f>SUM(F15:I15)</f>
        <v>37500</v>
      </c>
      <c r="K15" s="668">
        <f>15063-5</f>
        <v>15058</v>
      </c>
      <c r="L15" s="890">
        <f t="shared" si="3"/>
        <v>40.154666666666664</v>
      </c>
      <c r="M15" s="169"/>
      <c r="N15" s="347"/>
      <c r="O15" s="334"/>
      <c r="P15" s="633">
        <f t="shared" si="1"/>
        <v>0</v>
      </c>
      <c r="Q15" s="668">
        <v>5</v>
      </c>
      <c r="R15" s="890"/>
      <c r="S15" s="170"/>
      <c r="T15" s="505">
        <f t="shared" si="6"/>
        <v>37500</v>
      </c>
      <c r="U15" s="668">
        <f t="shared" si="4"/>
        <v>15063</v>
      </c>
      <c r="V15" s="890">
        <f t="shared" si="5"/>
        <v>40.168</v>
      </c>
    </row>
    <row r="16" spans="2:22" ht="15">
      <c r="B16" s="30">
        <f t="shared" si="2"/>
        <v>8</v>
      </c>
      <c r="C16" s="143"/>
      <c r="D16" s="62" t="s">
        <v>7</v>
      </c>
      <c r="E16" s="585" t="s">
        <v>156</v>
      </c>
      <c r="F16" s="598"/>
      <c r="G16" s="599"/>
      <c r="H16" s="600">
        <v>71010</v>
      </c>
      <c r="I16" s="599"/>
      <c r="J16" s="633">
        <f>SUM(F16:I16)</f>
        <v>71010</v>
      </c>
      <c r="K16" s="668">
        <v>33059</v>
      </c>
      <c r="L16" s="890">
        <f t="shared" si="3"/>
        <v>46.55541473031967</v>
      </c>
      <c r="M16" s="169"/>
      <c r="N16" s="347"/>
      <c r="O16" s="334"/>
      <c r="P16" s="633">
        <f t="shared" si="1"/>
        <v>0</v>
      </c>
      <c r="Q16" s="668"/>
      <c r="R16" s="890"/>
      <c r="S16" s="170"/>
      <c r="T16" s="505">
        <f t="shared" si="6"/>
        <v>71010</v>
      </c>
      <c r="U16" s="668">
        <f t="shared" si="4"/>
        <v>33059</v>
      </c>
      <c r="V16" s="890">
        <f t="shared" si="5"/>
        <v>46.55541473031967</v>
      </c>
    </row>
    <row r="17" spans="2:22" ht="15">
      <c r="B17" s="30">
        <f t="shared" si="2"/>
        <v>9</v>
      </c>
      <c r="C17" s="143"/>
      <c r="D17" s="2"/>
      <c r="E17" s="586" t="s">
        <v>353</v>
      </c>
      <c r="F17" s="592"/>
      <c r="G17" s="593"/>
      <c r="H17" s="594">
        <v>14900</v>
      </c>
      <c r="I17" s="593"/>
      <c r="J17" s="627">
        <f>H17</f>
        <v>14900</v>
      </c>
      <c r="K17" s="669"/>
      <c r="L17" s="890">
        <f t="shared" si="3"/>
        <v>0</v>
      </c>
      <c r="M17" s="169"/>
      <c r="N17" s="547"/>
      <c r="O17" s="536"/>
      <c r="P17" s="638"/>
      <c r="Q17" s="669"/>
      <c r="R17" s="890"/>
      <c r="S17" s="170"/>
      <c r="T17" s="506">
        <f t="shared" si="6"/>
        <v>14900</v>
      </c>
      <c r="U17" s="669">
        <f t="shared" si="4"/>
        <v>0</v>
      </c>
      <c r="V17" s="890">
        <f t="shared" si="5"/>
        <v>0</v>
      </c>
    </row>
    <row r="18" spans="2:22" ht="15.75">
      <c r="B18" s="30">
        <f t="shared" si="2"/>
        <v>10</v>
      </c>
      <c r="C18" s="41">
        <v>3</v>
      </c>
      <c r="D18" s="589" t="s">
        <v>157</v>
      </c>
      <c r="E18" s="43"/>
      <c r="F18" s="436"/>
      <c r="G18" s="437"/>
      <c r="H18" s="437">
        <v>2000</v>
      </c>
      <c r="I18" s="402"/>
      <c r="J18" s="852">
        <f t="shared" si="0"/>
        <v>2000</v>
      </c>
      <c r="K18" s="672">
        <v>0</v>
      </c>
      <c r="L18" s="891">
        <f t="shared" si="3"/>
        <v>0</v>
      </c>
      <c r="M18" s="186"/>
      <c r="N18" s="254"/>
      <c r="O18" s="157"/>
      <c r="P18" s="859">
        <f t="shared" si="1"/>
        <v>0</v>
      </c>
      <c r="Q18" s="672"/>
      <c r="R18" s="891"/>
      <c r="S18" s="170"/>
      <c r="T18" s="861">
        <f t="shared" si="6"/>
        <v>2000</v>
      </c>
      <c r="U18" s="672">
        <f t="shared" si="4"/>
        <v>0</v>
      </c>
      <c r="V18" s="891">
        <f t="shared" si="5"/>
        <v>0</v>
      </c>
    </row>
    <row r="19" spans="2:22" ht="15.75">
      <c r="B19" s="30">
        <f t="shared" si="2"/>
        <v>11</v>
      </c>
      <c r="C19" s="36">
        <v>4</v>
      </c>
      <c r="D19" s="588" t="s">
        <v>158</v>
      </c>
      <c r="E19" s="38"/>
      <c r="F19" s="436">
        <f>F20</f>
        <v>70330</v>
      </c>
      <c r="G19" s="437">
        <f>G20</f>
        <v>24967</v>
      </c>
      <c r="H19" s="437">
        <f>SUM(H20:H22)</f>
        <v>174003</v>
      </c>
      <c r="I19" s="437"/>
      <c r="J19" s="852">
        <f t="shared" si="0"/>
        <v>269300</v>
      </c>
      <c r="K19" s="672">
        <f>K20+K21+K22</f>
        <v>164626</v>
      </c>
      <c r="L19" s="891">
        <f t="shared" si="3"/>
        <v>61.13108057927962</v>
      </c>
      <c r="M19" s="186"/>
      <c r="N19" s="259"/>
      <c r="O19" s="159"/>
      <c r="P19" s="859">
        <f t="shared" si="1"/>
        <v>0</v>
      </c>
      <c r="Q19" s="672"/>
      <c r="R19" s="891"/>
      <c r="S19" s="170"/>
      <c r="T19" s="861">
        <f t="shared" si="6"/>
        <v>269300</v>
      </c>
      <c r="U19" s="672">
        <f t="shared" si="4"/>
        <v>164626</v>
      </c>
      <c r="V19" s="891">
        <f t="shared" si="5"/>
        <v>61.13108057927962</v>
      </c>
    </row>
    <row r="20" spans="2:22" s="44" customFormat="1" ht="14.25">
      <c r="B20" s="30">
        <f t="shared" si="2"/>
        <v>12</v>
      </c>
      <c r="C20" s="32"/>
      <c r="D20" s="2"/>
      <c r="E20" s="591" t="s">
        <v>315</v>
      </c>
      <c r="F20" s="592">
        <v>70330</v>
      </c>
      <c r="G20" s="592">
        <v>24967</v>
      </c>
      <c r="H20" s="592">
        <f>110003+44700</f>
        <v>154703</v>
      </c>
      <c r="I20" s="592"/>
      <c r="J20" s="627">
        <f aca="true" t="shared" si="7" ref="J20:J27">SUM(F20:I20)</f>
        <v>250000</v>
      </c>
      <c r="K20" s="669">
        <f>145439+9668+3695</f>
        <v>158802</v>
      </c>
      <c r="L20" s="890">
        <f t="shared" si="3"/>
        <v>63.5208</v>
      </c>
      <c r="M20" s="169"/>
      <c r="N20" s="504"/>
      <c r="O20" s="491"/>
      <c r="P20" s="627">
        <f t="shared" si="1"/>
        <v>0</v>
      </c>
      <c r="Q20" s="669"/>
      <c r="R20" s="890"/>
      <c r="S20" s="170"/>
      <c r="T20" s="506">
        <f t="shared" si="6"/>
        <v>250000</v>
      </c>
      <c r="U20" s="669">
        <f t="shared" si="4"/>
        <v>158802</v>
      </c>
      <c r="V20" s="890">
        <f t="shared" si="5"/>
        <v>63.5208</v>
      </c>
    </row>
    <row r="21" spans="2:22" s="44" customFormat="1" ht="14.25">
      <c r="B21" s="30">
        <f t="shared" si="2"/>
        <v>13</v>
      </c>
      <c r="C21" s="32"/>
      <c r="D21" s="2"/>
      <c r="E21" s="591" t="s">
        <v>324</v>
      </c>
      <c r="F21" s="592"/>
      <c r="G21" s="592"/>
      <c r="H21" s="592">
        <v>10000</v>
      </c>
      <c r="I21" s="592"/>
      <c r="J21" s="627">
        <f t="shared" si="7"/>
        <v>10000</v>
      </c>
      <c r="K21" s="669">
        <f>4907</f>
        <v>4907</v>
      </c>
      <c r="L21" s="890">
        <f t="shared" si="3"/>
        <v>49.07</v>
      </c>
      <c r="M21" s="169"/>
      <c r="N21" s="547"/>
      <c r="O21" s="536"/>
      <c r="P21" s="924"/>
      <c r="Q21" s="669"/>
      <c r="R21" s="890"/>
      <c r="S21" s="170"/>
      <c r="T21" s="506">
        <f t="shared" si="6"/>
        <v>10000</v>
      </c>
      <c r="U21" s="669">
        <f t="shared" si="4"/>
        <v>4907</v>
      </c>
      <c r="V21" s="890">
        <f t="shared" si="5"/>
        <v>49.07</v>
      </c>
    </row>
    <row r="22" spans="2:22" ht="15">
      <c r="B22" s="30">
        <f t="shared" si="2"/>
        <v>14</v>
      </c>
      <c r="C22" s="143"/>
      <c r="D22" s="2"/>
      <c r="E22" s="586" t="s">
        <v>446</v>
      </c>
      <c r="F22" s="592"/>
      <c r="G22" s="593"/>
      <c r="H22" s="594">
        <v>9300</v>
      </c>
      <c r="I22" s="593"/>
      <c r="J22" s="627">
        <f t="shared" si="7"/>
        <v>9300</v>
      </c>
      <c r="K22" s="669">
        <v>917</v>
      </c>
      <c r="L22" s="890">
        <f t="shared" si="3"/>
        <v>9.86021505376344</v>
      </c>
      <c r="M22" s="169"/>
      <c r="N22" s="547"/>
      <c r="O22" s="536"/>
      <c r="P22" s="638"/>
      <c r="Q22" s="669"/>
      <c r="R22" s="890"/>
      <c r="S22" s="170"/>
      <c r="T22" s="506">
        <f t="shared" si="6"/>
        <v>9300</v>
      </c>
      <c r="U22" s="669">
        <f t="shared" si="4"/>
        <v>917</v>
      </c>
      <c r="V22" s="890">
        <f t="shared" si="5"/>
        <v>9.86021505376344</v>
      </c>
    </row>
    <row r="23" spans="2:22" ht="15.75">
      <c r="B23" s="30">
        <f t="shared" si="2"/>
        <v>15</v>
      </c>
      <c r="C23" s="36">
        <v>5</v>
      </c>
      <c r="D23" s="588" t="s">
        <v>230</v>
      </c>
      <c r="E23" s="38"/>
      <c r="F23" s="436">
        <v>1450000</v>
      </c>
      <c r="G23" s="436">
        <v>450000</v>
      </c>
      <c r="H23" s="436">
        <f>H38+H27</f>
        <v>355200</v>
      </c>
      <c r="I23" s="436">
        <v>400000</v>
      </c>
      <c r="J23" s="852">
        <f t="shared" si="7"/>
        <v>2655200</v>
      </c>
      <c r="K23" s="672">
        <f>SUM(K24:K27)+K37</f>
        <v>1497077</v>
      </c>
      <c r="L23" s="891">
        <f t="shared" si="3"/>
        <v>56.38283368484483</v>
      </c>
      <c r="M23" s="186"/>
      <c r="N23" s="259"/>
      <c r="O23" s="159"/>
      <c r="P23" s="859">
        <f>SUM(N23:O23)</f>
        <v>0</v>
      </c>
      <c r="Q23" s="672"/>
      <c r="R23" s="891"/>
      <c r="S23" s="170"/>
      <c r="T23" s="861">
        <f t="shared" si="6"/>
        <v>2655200</v>
      </c>
      <c r="U23" s="672">
        <f t="shared" si="4"/>
        <v>1497077</v>
      </c>
      <c r="V23" s="891">
        <f t="shared" si="5"/>
        <v>56.38283368484483</v>
      </c>
    </row>
    <row r="24" spans="2:22" ht="15">
      <c r="B24" s="30">
        <f t="shared" si="2"/>
        <v>16</v>
      </c>
      <c r="C24" s="143"/>
      <c r="D24" s="2"/>
      <c r="E24" s="585" t="s">
        <v>338</v>
      </c>
      <c r="F24" s="598">
        <v>1450000</v>
      </c>
      <c r="G24" s="599"/>
      <c r="H24" s="600"/>
      <c r="I24" s="599"/>
      <c r="J24" s="633">
        <f t="shared" si="7"/>
        <v>1450000</v>
      </c>
      <c r="K24" s="668">
        <v>787415</v>
      </c>
      <c r="L24" s="890">
        <f t="shared" si="3"/>
        <v>54.304482758620686</v>
      </c>
      <c r="M24" s="169"/>
      <c r="N24" s="548"/>
      <c r="O24" s="495"/>
      <c r="P24" s="639"/>
      <c r="Q24" s="668"/>
      <c r="R24" s="890"/>
      <c r="S24" s="170"/>
      <c r="T24" s="505">
        <f t="shared" si="6"/>
        <v>1450000</v>
      </c>
      <c r="U24" s="668">
        <f t="shared" si="4"/>
        <v>787415</v>
      </c>
      <c r="V24" s="890">
        <f t="shared" si="5"/>
        <v>54.304482758620686</v>
      </c>
    </row>
    <row r="25" spans="2:22" ht="15">
      <c r="B25" s="30">
        <f t="shared" si="2"/>
        <v>17</v>
      </c>
      <c r="C25" s="143"/>
      <c r="D25" s="2"/>
      <c r="E25" s="585" t="s">
        <v>339</v>
      </c>
      <c r="F25" s="598"/>
      <c r="G25" s="599">
        <v>450000</v>
      </c>
      <c r="H25" s="600"/>
      <c r="I25" s="599"/>
      <c r="J25" s="633">
        <f t="shared" si="7"/>
        <v>450000</v>
      </c>
      <c r="K25" s="668">
        <f>250203</f>
        <v>250203</v>
      </c>
      <c r="L25" s="890">
        <f t="shared" si="3"/>
        <v>55.60066666666666</v>
      </c>
      <c r="M25" s="169"/>
      <c r="N25" s="548"/>
      <c r="O25" s="495"/>
      <c r="P25" s="639"/>
      <c r="Q25" s="668"/>
      <c r="R25" s="890"/>
      <c r="S25" s="170"/>
      <c r="T25" s="505">
        <f t="shared" si="6"/>
        <v>450000</v>
      </c>
      <c r="U25" s="668">
        <f t="shared" si="4"/>
        <v>250203</v>
      </c>
      <c r="V25" s="890">
        <f t="shared" si="5"/>
        <v>55.60066666666666</v>
      </c>
    </row>
    <row r="26" spans="2:22" ht="15">
      <c r="B26" s="30">
        <f t="shared" si="2"/>
        <v>18</v>
      </c>
      <c r="C26" s="143"/>
      <c r="D26" s="2"/>
      <c r="E26" s="585" t="s">
        <v>326</v>
      </c>
      <c r="F26" s="598"/>
      <c r="G26" s="599"/>
      <c r="H26" s="600"/>
      <c r="I26" s="599">
        <f>79000+82000+18000+70000+25000+36000+17000+50000+23000</f>
        <v>400000</v>
      </c>
      <c r="J26" s="633">
        <f t="shared" si="7"/>
        <v>400000</v>
      </c>
      <c r="K26" s="668">
        <f>215696</f>
        <v>215696</v>
      </c>
      <c r="L26" s="890">
        <f t="shared" si="3"/>
        <v>53.92400000000001</v>
      </c>
      <c r="M26" s="169"/>
      <c r="N26" s="548"/>
      <c r="O26" s="495"/>
      <c r="P26" s="639"/>
      <c r="Q26" s="668"/>
      <c r="R26" s="890"/>
      <c r="S26" s="170"/>
      <c r="T26" s="505">
        <f t="shared" si="6"/>
        <v>400000</v>
      </c>
      <c r="U26" s="668">
        <f t="shared" si="4"/>
        <v>215696</v>
      </c>
      <c r="V26" s="890">
        <f t="shared" si="5"/>
        <v>53.92400000000001</v>
      </c>
    </row>
    <row r="27" spans="2:22" ht="15">
      <c r="B27" s="30">
        <f t="shared" si="2"/>
        <v>19</v>
      </c>
      <c r="C27" s="143"/>
      <c r="D27" s="2"/>
      <c r="E27" s="585" t="s">
        <v>392</v>
      </c>
      <c r="F27" s="598"/>
      <c r="G27" s="599"/>
      <c r="H27" s="600">
        <v>318200</v>
      </c>
      <c r="I27" s="599"/>
      <c r="J27" s="633">
        <f t="shared" si="7"/>
        <v>318200</v>
      </c>
      <c r="K27" s="668">
        <f>SUM(K28:K36)</f>
        <v>239474</v>
      </c>
      <c r="L27" s="890">
        <f t="shared" si="3"/>
        <v>75.25895663104966</v>
      </c>
      <c r="M27" s="169"/>
      <c r="N27" s="548"/>
      <c r="O27" s="495"/>
      <c r="P27" s="639"/>
      <c r="Q27" s="668"/>
      <c r="R27" s="890"/>
      <c r="S27" s="170"/>
      <c r="T27" s="505">
        <f t="shared" si="6"/>
        <v>318200</v>
      </c>
      <c r="U27" s="668">
        <f t="shared" si="4"/>
        <v>239474</v>
      </c>
      <c r="V27" s="890">
        <f t="shared" si="5"/>
        <v>75.25895663104966</v>
      </c>
    </row>
    <row r="28" spans="2:22" ht="12.75">
      <c r="B28" s="30">
        <f t="shared" si="2"/>
        <v>20</v>
      </c>
      <c r="C28" s="143"/>
      <c r="D28" s="2"/>
      <c r="E28" s="688" t="s">
        <v>409</v>
      </c>
      <c r="F28" s="598"/>
      <c r="G28" s="599"/>
      <c r="H28" s="600"/>
      <c r="I28" s="599"/>
      <c r="J28" s="633"/>
      <c r="K28" s="668">
        <v>104317</v>
      </c>
      <c r="L28" s="890"/>
      <c r="M28" s="169"/>
      <c r="N28" s="548"/>
      <c r="O28" s="495"/>
      <c r="P28" s="687"/>
      <c r="Q28" s="668"/>
      <c r="R28" s="890"/>
      <c r="S28" s="170"/>
      <c r="T28" s="505"/>
      <c r="U28" s="668">
        <f t="shared" si="4"/>
        <v>104317</v>
      </c>
      <c r="V28" s="890"/>
    </row>
    <row r="29" spans="2:22" ht="12.75">
      <c r="B29" s="30">
        <f t="shared" si="2"/>
        <v>21</v>
      </c>
      <c r="C29" s="143"/>
      <c r="D29" s="2"/>
      <c r="E29" s="688" t="s">
        <v>407</v>
      </c>
      <c r="F29" s="598"/>
      <c r="G29" s="599"/>
      <c r="H29" s="600"/>
      <c r="I29" s="599"/>
      <c r="J29" s="633"/>
      <c r="K29" s="668">
        <v>15612</v>
      </c>
      <c r="L29" s="890"/>
      <c r="M29" s="169"/>
      <c r="N29" s="548"/>
      <c r="O29" s="495"/>
      <c r="P29" s="687"/>
      <c r="Q29" s="668"/>
      <c r="R29" s="890"/>
      <c r="S29" s="170"/>
      <c r="T29" s="505"/>
      <c r="U29" s="668">
        <f t="shared" si="4"/>
        <v>15612</v>
      </c>
      <c r="V29" s="890"/>
    </row>
    <row r="30" spans="2:22" ht="12.75">
      <c r="B30" s="30">
        <f t="shared" si="2"/>
        <v>22</v>
      </c>
      <c r="C30" s="143"/>
      <c r="D30" s="2"/>
      <c r="E30" s="688" t="s">
        <v>408</v>
      </c>
      <c r="F30" s="598"/>
      <c r="G30" s="599"/>
      <c r="H30" s="600"/>
      <c r="I30" s="599"/>
      <c r="J30" s="633"/>
      <c r="K30" s="668">
        <v>17583</v>
      </c>
      <c r="L30" s="890"/>
      <c r="M30" s="169"/>
      <c r="N30" s="548"/>
      <c r="O30" s="495"/>
      <c r="P30" s="687"/>
      <c r="Q30" s="668"/>
      <c r="R30" s="890"/>
      <c r="S30" s="170"/>
      <c r="T30" s="505"/>
      <c r="U30" s="668">
        <f t="shared" si="4"/>
        <v>17583</v>
      </c>
      <c r="V30" s="890"/>
    </row>
    <row r="31" spans="2:22" ht="12.75">
      <c r="B31" s="30">
        <f t="shared" si="2"/>
        <v>23</v>
      </c>
      <c r="C31" s="143"/>
      <c r="D31" s="2"/>
      <c r="E31" s="688" t="s">
        <v>410</v>
      </c>
      <c r="F31" s="598"/>
      <c r="G31" s="599"/>
      <c r="H31" s="600"/>
      <c r="I31" s="599"/>
      <c r="J31" s="633"/>
      <c r="K31" s="668">
        <v>111</v>
      </c>
      <c r="L31" s="890"/>
      <c r="M31" s="169"/>
      <c r="N31" s="548"/>
      <c r="O31" s="495"/>
      <c r="P31" s="687"/>
      <c r="Q31" s="668"/>
      <c r="R31" s="890"/>
      <c r="S31" s="170"/>
      <c r="T31" s="505"/>
      <c r="U31" s="668">
        <f t="shared" si="4"/>
        <v>111</v>
      </c>
      <c r="V31" s="890"/>
    </row>
    <row r="32" spans="2:22" ht="12.75">
      <c r="B32" s="30">
        <f t="shared" si="2"/>
        <v>24</v>
      </c>
      <c r="C32" s="143"/>
      <c r="D32" s="2"/>
      <c r="E32" s="688" t="s">
        <v>411</v>
      </c>
      <c r="F32" s="598"/>
      <c r="G32" s="599"/>
      <c r="H32" s="600"/>
      <c r="I32" s="599"/>
      <c r="J32" s="633"/>
      <c r="K32" s="668">
        <v>3658</v>
      </c>
      <c r="L32" s="890"/>
      <c r="M32" s="169"/>
      <c r="N32" s="548"/>
      <c r="O32" s="495"/>
      <c r="P32" s="687"/>
      <c r="Q32" s="668"/>
      <c r="R32" s="890"/>
      <c r="S32" s="170"/>
      <c r="T32" s="505"/>
      <c r="U32" s="668">
        <f t="shared" si="4"/>
        <v>3658</v>
      </c>
      <c r="V32" s="890"/>
    </row>
    <row r="33" spans="2:22" ht="12.75">
      <c r="B33" s="30">
        <f t="shared" si="2"/>
        <v>25</v>
      </c>
      <c r="C33" s="143"/>
      <c r="D33" s="2"/>
      <c r="E33" s="688" t="s">
        <v>412</v>
      </c>
      <c r="F33" s="598"/>
      <c r="G33" s="599"/>
      <c r="H33" s="600"/>
      <c r="I33" s="599"/>
      <c r="J33" s="633"/>
      <c r="K33" s="668">
        <f>60799</f>
        <v>60799</v>
      </c>
      <c r="L33" s="890"/>
      <c r="M33" s="169"/>
      <c r="N33" s="548"/>
      <c r="O33" s="495"/>
      <c r="P33" s="687"/>
      <c r="Q33" s="668"/>
      <c r="R33" s="890"/>
      <c r="S33" s="170"/>
      <c r="T33" s="505"/>
      <c r="U33" s="668">
        <f t="shared" si="4"/>
        <v>60799</v>
      </c>
      <c r="V33" s="890"/>
    </row>
    <row r="34" spans="2:22" ht="12.75">
      <c r="B34" s="30">
        <f t="shared" si="2"/>
        <v>26</v>
      </c>
      <c r="C34" s="143"/>
      <c r="D34" s="2"/>
      <c r="E34" s="688" t="s">
        <v>413</v>
      </c>
      <c r="F34" s="598"/>
      <c r="G34" s="599"/>
      <c r="H34" s="600"/>
      <c r="I34" s="599"/>
      <c r="J34" s="633"/>
      <c r="K34" s="668"/>
      <c r="L34" s="890"/>
      <c r="M34" s="169"/>
      <c r="N34" s="548"/>
      <c r="O34" s="495"/>
      <c r="P34" s="687"/>
      <c r="Q34" s="668"/>
      <c r="R34" s="890"/>
      <c r="S34" s="170"/>
      <c r="T34" s="505"/>
      <c r="U34" s="668">
        <f t="shared" si="4"/>
        <v>0</v>
      </c>
      <c r="V34" s="890"/>
    </row>
    <row r="35" spans="2:22" ht="12.75">
      <c r="B35" s="30">
        <f t="shared" si="2"/>
        <v>27</v>
      </c>
      <c r="C35" s="143"/>
      <c r="D35" s="2"/>
      <c r="E35" s="688" t="s">
        <v>414</v>
      </c>
      <c r="F35" s="598"/>
      <c r="G35" s="599"/>
      <c r="H35" s="600"/>
      <c r="I35" s="599"/>
      <c r="J35" s="633"/>
      <c r="K35" s="668">
        <f>82107-K32-K33</f>
        <v>17650</v>
      </c>
      <c r="L35" s="890"/>
      <c r="M35" s="169"/>
      <c r="N35" s="548"/>
      <c r="O35" s="495"/>
      <c r="P35" s="687"/>
      <c r="Q35" s="668"/>
      <c r="R35" s="890"/>
      <c r="S35" s="170"/>
      <c r="T35" s="505"/>
      <c r="U35" s="668">
        <f t="shared" si="4"/>
        <v>17650</v>
      </c>
      <c r="V35" s="890"/>
    </row>
    <row r="36" spans="2:22" ht="12.75">
      <c r="B36" s="30">
        <f t="shared" si="2"/>
        <v>28</v>
      </c>
      <c r="C36" s="143"/>
      <c r="D36" s="2"/>
      <c r="E36" s="688" t="s">
        <v>415</v>
      </c>
      <c r="F36" s="598"/>
      <c r="G36" s="599"/>
      <c r="H36" s="600"/>
      <c r="I36" s="599"/>
      <c r="J36" s="633"/>
      <c r="K36" s="668">
        <v>19744</v>
      </c>
      <c r="L36" s="890"/>
      <c r="M36" s="169"/>
      <c r="N36" s="548"/>
      <c r="O36" s="495"/>
      <c r="P36" s="687"/>
      <c r="Q36" s="668"/>
      <c r="R36" s="890"/>
      <c r="S36" s="170"/>
      <c r="T36" s="505"/>
      <c r="U36" s="668">
        <f t="shared" si="4"/>
        <v>19744</v>
      </c>
      <c r="V36" s="890"/>
    </row>
    <row r="37" spans="2:22" ht="15">
      <c r="B37" s="30">
        <f t="shared" si="2"/>
        <v>29</v>
      </c>
      <c r="C37" s="143"/>
      <c r="D37" s="2"/>
      <c r="E37" s="585" t="s">
        <v>491</v>
      </c>
      <c r="F37" s="960"/>
      <c r="G37" s="961"/>
      <c r="H37" s="962"/>
      <c r="I37" s="961"/>
      <c r="J37" s="963"/>
      <c r="K37" s="964">
        <v>4289</v>
      </c>
      <c r="L37" s="890"/>
      <c r="M37" s="169"/>
      <c r="N37" s="548"/>
      <c r="O37" s="495"/>
      <c r="P37" s="687"/>
      <c r="Q37" s="668"/>
      <c r="R37" s="890"/>
      <c r="S37" s="170"/>
      <c r="T37" s="505"/>
      <c r="U37" s="668">
        <f t="shared" si="4"/>
        <v>4289</v>
      </c>
      <c r="V37" s="890"/>
    </row>
    <row r="38" spans="2:22" ht="15">
      <c r="B38" s="30">
        <f t="shared" si="2"/>
        <v>30</v>
      </c>
      <c r="C38" s="143"/>
      <c r="D38" s="2"/>
      <c r="E38" s="586" t="s">
        <v>445</v>
      </c>
      <c r="F38" s="592"/>
      <c r="G38" s="593"/>
      <c r="H38" s="594">
        <f>170265+235-30-133470</f>
        <v>37000</v>
      </c>
      <c r="I38" s="593"/>
      <c r="J38" s="627">
        <f>SUM(F38:I38)</f>
        <v>37000</v>
      </c>
      <c r="K38" s="669">
        <v>23903</v>
      </c>
      <c r="L38" s="890">
        <f t="shared" si="3"/>
        <v>64.60270270270271</v>
      </c>
      <c r="M38" s="169"/>
      <c r="N38" s="547"/>
      <c r="O38" s="536"/>
      <c r="P38" s="638"/>
      <c r="Q38" s="669"/>
      <c r="R38" s="890"/>
      <c r="S38" s="170"/>
      <c r="T38" s="506">
        <f t="shared" si="6"/>
        <v>37000</v>
      </c>
      <c r="U38" s="669">
        <f t="shared" si="4"/>
        <v>23903</v>
      </c>
      <c r="V38" s="890">
        <f t="shared" si="5"/>
        <v>64.60270270270271</v>
      </c>
    </row>
    <row r="39" spans="2:22" ht="15.75">
      <c r="B39" s="30">
        <f t="shared" si="2"/>
        <v>31</v>
      </c>
      <c r="C39" s="36">
        <v>6</v>
      </c>
      <c r="D39" s="588" t="s">
        <v>159</v>
      </c>
      <c r="E39" s="38"/>
      <c r="F39" s="436"/>
      <c r="G39" s="437"/>
      <c r="H39" s="437">
        <v>5000</v>
      </c>
      <c r="I39" s="437"/>
      <c r="J39" s="852">
        <f>SUM(F39:I39)</f>
        <v>5000</v>
      </c>
      <c r="K39" s="672">
        <f>1085+K40</f>
        <v>14219</v>
      </c>
      <c r="L39" s="891">
        <f t="shared" si="3"/>
        <v>284.38</v>
      </c>
      <c r="M39" s="186"/>
      <c r="N39" s="259"/>
      <c r="O39" s="159"/>
      <c r="P39" s="859">
        <f>SUM(N39:O39)</f>
        <v>0</v>
      </c>
      <c r="Q39" s="672"/>
      <c r="R39" s="891"/>
      <c r="S39" s="171"/>
      <c r="T39" s="861">
        <f t="shared" si="6"/>
        <v>5000</v>
      </c>
      <c r="U39" s="672">
        <f t="shared" si="4"/>
        <v>14219</v>
      </c>
      <c r="V39" s="891">
        <f t="shared" si="5"/>
        <v>284.38</v>
      </c>
    </row>
    <row r="40" spans="2:22" ht="15">
      <c r="B40" s="30">
        <f t="shared" si="2"/>
        <v>32</v>
      </c>
      <c r="C40" s="132"/>
      <c r="D40" s="689"/>
      <c r="E40" s="690" t="s">
        <v>416</v>
      </c>
      <c r="F40" s="592"/>
      <c r="G40" s="593"/>
      <c r="H40" s="594"/>
      <c r="I40" s="593"/>
      <c r="J40" s="628"/>
      <c r="K40" s="925">
        <v>13134</v>
      </c>
      <c r="L40" s="890"/>
      <c r="M40" s="169"/>
      <c r="N40" s="594"/>
      <c r="O40" s="531"/>
      <c r="P40" s="640"/>
      <c r="Q40" s="669"/>
      <c r="R40" s="890"/>
      <c r="S40" s="170"/>
      <c r="T40" s="506"/>
      <c r="U40" s="669">
        <f t="shared" si="4"/>
        <v>13134</v>
      </c>
      <c r="V40" s="890"/>
    </row>
    <row r="41" spans="2:22" ht="15.75">
      <c r="B41" s="30">
        <f t="shared" si="2"/>
        <v>33</v>
      </c>
      <c r="C41" s="36">
        <v>7</v>
      </c>
      <c r="D41" s="588" t="s">
        <v>160</v>
      </c>
      <c r="E41" s="38"/>
      <c r="F41" s="436"/>
      <c r="G41" s="437"/>
      <c r="H41" s="437">
        <f>SUM(H42:H44)</f>
        <v>76285</v>
      </c>
      <c r="I41" s="437"/>
      <c r="J41" s="852">
        <f>SUM(F41:I41)</f>
        <v>76285</v>
      </c>
      <c r="K41" s="672">
        <f>50971-19011</f>
        <v>31960</v>
      </c>
      <c r="L41" s="891">
        <f t="shared" si="3"/>
        <v>41.89552336632366</v>
      </c>
      <c r="M41" s="186"/>
      <c r="N41" s="259">
        <f>N42+N43+N44</f>
        <v>19015</v>
      </c>
      <c r="O41" s="159"/>
      <c r="P41" s="859">
        <f>SUM(N41:O41)</f>
        <v>19015</v>
      </c>
      <c r="Q41" s="672">
        <f>SUM(Q42:Q44)</f>
        <v>19011</v>
      </c>
      <c r="R41" s="891">
        <f>Q41/P41*100</f>
        <v>99.97896397580858</v>
      </c>
      <c r="S41" s="171"/>
      <c r="T41" s="861">
        <f t="shared" si="6"/>
        <v>95300</v>
      </c>
      <c r="U41" s="672">
        <f t="shared" si="4"/>
        <v>50971</v>
      </c>
      <c r="V41" s="891">
        <f t="shared" si="5"/>
        <v>53.48478488982161</v>
      </c>
    </row>
    <row r="42" spans="2:22" ht="15">
      <c r="B42" s="30">
        <f t="shared" si="2"/>
        <v>34</v>
      </c>
      <c r="C42" s="142"/>
      <c r="D42" s="2"/>
      <c r="E42" s="586" t="s">
        <v>353</v>
      </c>
      <c r="F42" s="592"/>
      <c r="G42" s="593"/>
      <c r="H42" s="594">
        <v>6787</v>
      </c>
      <c r="I42" s="593"/>
      <c r="J42" s="628">
        <f>H42</f>
        <v>6787</v>
      </c>
      <c r="K42" s="669">
        <v>1432</v>
      </c>
      <c r="L42" s="890">
        <f t="shared" si="3"/>
        <v>21.099160159127745</v>
      </c>
      <c r="M42" s="169"/>
      <c r="N42" s="542"/>
      <c r="O42" s="531"/>
      <c r="P42" s="638"/>
      <c r="Q42" s="669"/>
      <c r="R42" s="890"/>
      <c r="S42" s="170"/>
      <c r="T42" s="506">
        <f t="shared" si="6"/>
        <v>6787</v>
      </c>
      <c r="U42" s="669">
        <f t="shared" si="4"/>
        <v>1432</v>
      </c>
      <c r="V42" s="890">
        <f t="shared" si="5"/>
        <v>21.099160159127745</v>
      </c>
    </row>
    <row r="43" spans="2:22" ht="15">
      <c r="B43" s="30">
        <f t="shared" si="2"/>
        <v>35</v>
      </c>
      <c r="C43" s="142"/>
      <c r="D43" s="2"/>
      <c r="E43" s="586" t="s">
        <v>383</v>
      </c>
      <c r="F43" s="592"/>
      <c r="G43" s="593"/>
      <c r="H43" s="594">
        <f>69502-4</f>
        <v>69498</v>
      </c>
      <c r="I43" s="593"/>
      <c r="J43" s="628">
        <f>H43</f>
        <v>69498</v>
      </c>
      <c r="K43" s="669">
        <f>K41-K42</f>
        <v>30528</v>
      </c>
      <c r="L43" s="890">
        <f t="shared" si="3"/>
        <v>43.92644392644392</v>
      </c>
      <c r="M43" s="169"/>
      <c r="N43" s="594">
        <v>2015</v>
      </c>
      <c r="O43" s="531"/>
      <c r="P43" s="640">
        <f>SUM(N43:O43)</f>
        <v>2015</v>
      </c>
      <c r="Q43" s="669">
        <v>2011</v>
      </c>
      <c r="R43" s="890">
        <f>Q43/P43*100</f>
        <v>99.8014888337469</v>
      </c>
      <c r="S43" s="170"/>
      <c r="T43" s="506">
        <f t="shared" si="6"/>
        <v>71513</v>
      </c>
      <c r="U43" s="669">
        <f t="shared" si="4"/>
        <v>32539</v>
      </c>
      <c r="V43" s="890">
        <f t="shared" si="5"/>
        <v>45.5008180330849</v>
      </c>
    </row>
    <row r="44" spans="2:22" ht="15">
      <c r="B44" s="30">
        <f t="shared" si="2"/>
        <v>36</v>
      </c>
      <c r="C44" s="143"/>
      <c r="D44" s="2"/>
      <c r="E44" s="585" t="s">
        <v>352</v>
      </c>
      <c r="F44" s="598"/>
      <c r="G44" s="599"/>
      <c r="H44" s="600"/>
      <c r="I44" s="599"/>
      <c r="J44" s="633">
        <f>SUM(F44:I44)</f>
        <v>0</v>
      </c>
      <c r="K44" s="668"/>
      <c r="L44" s="890"/>
      <c r="M44" s="169"/>
      <c r="N44" s="347">
        <v>17000</v>
      </c>
      <c r="O44" s="495"/>
      <c r="P44" s="633">
        <f>N44</f>
        <v>17000</v>
      </c>
      <c r="Q44" s="668">
        <v>17000</v>
      </c>
      <c r="R44" s="890">
        <f>Q44/P44*100</f>
        <v>100</v>
      </c>
      <c r="S44" s="170"/>
      <c r="T44" s="505">
        <f t="shared" si="6"/>
        <v>17000</v>
      </c>
      <c r="U44" s="668">
        <f t="shared" si="4"/>
        <v>17000</v>
      </c>
      <c r="V44" s="890">
        <f t="shared" si="5"/>
        <v>100</v>
      </c>
    </row>
    <row r="45" spans="2:22" ht="15.75">
      <c r="B45" s="30">
        <f t="shared" si="2"/>
        <v>37</v>
      </c>
      <c r="C45" s="36">
        <v>8</v>
      </c>
      <c r="D45" s="588" t="s">
        <v>161</v>
      </c>
      <c r="E45" s="38"/>
      <c r="F45" s="436"/>
      <c r="G45" s="437"/>
      <c r="H45" s="437">
        <v>25000</v>
      </c>
      <c r="I45" s="437"/>
      <c r="J45" s="852">
        <f>SUM(F45:I45)</f>
        <v>25000</v>
      </c>
      <c r="K45" s="672">
        <v>14125</v>
      </c>
      <c r="L45" s="891">
        <f t="shared" si="3"/>
        <v>56.49999999999999</v>
      </c>
      <c r="M45" s="186"/>
      <c r="N45" s="259"/>
      <c r="O45" s="159"/>
      <c r="P45" s="859">
        <f>SUM(N45:O45)</f>
        <v>0</v>
      </c>
      <c r="Q45" s="672"/>
      <c r="R45" s="891"/>
      <c r="S45" s="171"/>
      <c r="T45" s="861">
        <f t="shared" si="6"/>
        <v>25000</v>
      </c>
      <c r="U45" s="672">
        <f t="shared" si="4"/>
        <v>14125</v>
      </c>
      <c r="V45" s="891">
        <f t="shared" si="5"/>
        <v>56.49999999999999</v>
      </c>
    </row>
    <row r="46" spans="2:22" ht="15">
      <c r="B46" s="30">
        <f t="shared" si="2"/>
        <v>38</v>
      </c>
      <c r="C46" s="142"/>
      <c r="D46" s="2"/>
      <c r="E46" s="586" t="s">
        <v>353</v>
      </c>
      <c r="F46" s="592"/>
      <c r="G46" s="593"/>
      <c r="H46" s="594">
        <v>1743</v>
      </c>
      <c r="I46" s="593"/>
      <c r="J46" s="628">
        <f>H46</f>
        <v>1743</v>
      </c>
      <c r="K46" s="669">
        <v>1743</v>
      </c>
      <c r="L46" s="890">
        <f t="shared" si="3"/>
        <v>100</v>
      </c>
      <c r="M46" s="169"/>
      <c r="N46" s="542"/>
      <c r="O46" s="531"/>
      <c r="P46" s="638"/>
      <c r="Q46" s="680"/>
      <c r="R46" s="890"/>
      <c r="S46" s="170"/>
      <c r="T46" s="506">
        <f t="shared" si="6"/>
        <v>1743</v>
      </c>
      <c r="U46" s="966">
        <f t="shared" si="4"/>
        <v>1743</v>
      </c>
      <c r="V46" s="890">
        <f t="shared" si="5"/>
        <v>100</v>
      </c>
    </row>
    <row r="47" spans="2:22" ht="15">
      <c r="B47" s="30">
        <f t="shared" si="2"/>
        <v>39</v>
      </c>
      <c r="C47" s="142"/>
      <c r="D47" s="2"/>
      <c r="E47" s="586" t="s">
        <v>383</v>
      </c>
      <c r="F47" s="592"/>
      <c r="G47" s="593"/>
      <c r="H47" s="594">
        <f>H45-H46</f>
        <v>23257</v>
      </c>
      <c r="I47" s="593"/>
      <c r="J47" s="628">
        <f>H47</f>
        <v>23257</v>
      </c>
      <c r="K47" s="669">
        <f>K45-K46</f>
        <v>12382</v>
      </c>
      <c r="L47" s="890">
        <f t="shared" si="3"/>
        <v>53.239884765876944</v>
      </c>
      <c r="M47" s="169"/>
      <c r="N47" s="542"/>
      <c r="O47" s="531"/>
      <c r="P47" s="638"/>
      <c r="Q47" s="669"/>
      <c r="R47" s="890"/>
      <c r="S47" s="170"/>
      <c r="T47" s="974"/>
      <c r="U47" s="669">
        <f t="shared" si="4"/>
        <v>12382</v>
      </c>
      <c r="V47" s="890"/>
    </row>
    <row r="48" spans="2:22" ht="15.75">
      <c r="B48" s="30">
        <f>B46+1</f>
        <v>39</v>
      </c>
      <c r="C48" s="36">
        <v>9</v>
      </c>
      <c r="D48" s="588" t="s">
        <v>162</v>
      </c>
      <c r="E48" s="38"/>
      <c r="F48" s="436"/>
      <c r="G48" s="437"/>
      <c r="H48" s="437">
        <v>5000</v>
      </c>
      <c r="I48" s="437"/>
      <c r="J48" s="852">
        <f>SUM(F48:I48)</f>
        <v>5000</v>
      </c>
      <c r="K48" s="672">
        <v>4825</v>
      </c>
      <c r="L48" s="891">
        <f t="shared" si="3"/>
        <v>96.5</v>
      </c>
      <c r="M48" s="186"/>
      <c r="N48" s="259"/>
      <c r="O48" s="159"/>
      <c r="P48" s="862">
        <f>SUM(N48:O48)</f>
        <v>0</v>
      </c>
      <c r="Q48" s="672"/>
      <c r="R48" s="891"/>
      <c r="S48" s="171"/>
      <c r="T48" s="861">
        <f>J48+P48</f>
        <v>5000</v>
      </c>
      <c r="U48" s="672">
        <f t="shared" si="4"/>
        <v>4825</v>
      </c>
      <c r="V48" s="891">
        <f t="shared" si="5"/>
        <v>96.5</v>
      </c>
    </row>
    <row r="49" spans="2:22" ht="15">
      <c r="B49" s="30">
        <f t="shared" si="2"/>
        <v>40</v>
      </c>
      <c r="C49" s="142"/>
      <c r="D49" s="2"/>
      <c r="E49" s="586" t="s">
        <v>383</v>
      </c>
      <c r="F49" s="592"/>
      <c r="G49" s="593"/>
      <c r="H49" s="594">
        <f>H48-H50</f>
        <v>3100</v>
      </c>
      <c r="I49" s="593"/>
      <c r="J49" s="628">
        <f>H49</f>
        <v>3100</v>
      </c>
      <c r="K49" s="669">
        <f>K48-K50</f>
        <v>3515</v>
      </c>
      <c r="L49" s="890">
        <f t="shared" si="3"/>
        <v>113.38709677419354</v>
      </c>
      <c r="M49" s="169"/>
      <c r="N49" s="542"/>
      <c r="O49" s="531"/>
      <c r="P49" s="638"/>
      <c r="Q49" s="669"/>
      <c r="R49" s="890"/>
      <c r="S49" s="170"/>
      <c r="T49" s="506"/>
      <c r="U49" s="669">
        <f t="shared" si="4"/>
        <v>3515</v>
      </c>
      <c r="V49" s="890"/>
    </row>
    <row r="50" spans="2:22" ht="15.75" thickBot="1">
      <c r="B50" s="31">
        <f>B48+1</f>
        <v>40</v>
      </c>
      <c r="C50" s="529"/>
      <c r="D50" s="55"/>
      <c r="E50" s="587" t="s">
        <v>353</v>
      </c>
      <c r="F50" s="601"/>
      <c r="G50" s="602"/>
      <c r="H50" s="603">
        <v>1900</v>
      </c>
      <c r="I50" s="602"/>
      <c r="J50" s="637">
        <f>H50</f>
        <v>1900</v>
      </c>
      <c r="K50" s="679">
        <v>1310</v>
      </c>
      <c r="L50" s="892">
        <f t="shared" si="3"/>
        <v>68.94736842105263</v>
      </c>
      <c r="M50" s="169"/>
      <c r="N50" s="543"/>
      <c r="O50" s="533"/>
      <c r="P50" s="641"/>
      <c r="Q50" s="679"/>
      <c r="R50" s="892"/>
      <c r="S50" s="170"/>
      <c r="T50" s="486">
        <f>J50+P50</f>
        <v>1900</v>
      </c>
      <c r="U50" s="679">
        <f t="shared" si="4"/>
        <v>1310</v>
      </c>
      <c r="V50" s="892">
        <f t="shared" si="5"/>
        <v>68.94736842105263</v>
      </c>
    </row>
    <row r="51" spans="8:21" ht="12.75">
      <c r="H51" s="19"/>
      <c r="I51" s="152"/>
      <c r="J51" s="19"/>
      <c r="K51" s="671"/>
      <c r="L51" s="671"/>
      <c r="T51" s="863"/>
      <c r="U51" s="171"/>
    </row>
    <row r="52" spans="5:12" ht="12.75">
      <c r="E52" s="487"/>
      <c r="J52" s="19"/>
      <c r="K52" s="671"/>
      <c r="L52" s="671"/>
    </row>
    <row r="53" spans="2:22" s="44" customFormat="1" ht="12.75">
      <c r="B53" s="812"/>
      <c r="C53" s="813"/>
      <c r="E53" s="269"/>
      <c r="F53" s="815"/>
      <c r="G53" s="816"/>
      <c r="H53" s="817"/>
      <c r="I53" s="46"/>
      <c r="J53" s="46"/>
      <c r="K53" s="794"/>
      <c r="L53" s="717"/>
      <c r="M53" s="46"/>
      <c r="N53" s="46"/>
      <c r="O53" s="46"/>
      <c r="P53" s="46"/>
      <c r="Q53" s="717"/>
      <c r="R53" s="717"/>
      <c r="V53" s="989"/>
    </row>
    <row r="54" spans="2:22" s="44" customFormat="1" ht="12.75">
      <c r="B54" s="812"/>
      <c r="C54" s="813"/>
      <c r="E54" s="269"/>
      <c r="F54" s="815"/>
      <c r="G54" s="816"/>
      <c r="H54" s="817"/>
      <c r="I54" s="46"/>
      <c r="J54" s="46"/>
      <c r="K54" s="717"/>
      <c r="L54" s="717"/>
      <c r="M54" s="46"/>
      <c r="N54" s="46"/>
      <c r="O54" s="46"/>
      <c r="P54" s="46"/>
      <c r="Q54" s="717"/>
      <c r="R54" s="717"/>
      <c r="V54" s="989"/>
    </row>
    <row r="55" spans="2:22" s="44" customFormat="1" ht="12.75">
      <c r="B55" s="812"/>
      <c r="C55" s="813"/>
      <c r="E55" s="269"/>
      <c r="F55" s="815"/>
      <c r="G55" s="816"/>
      <c r="H55" s="817"/>
      <c r="I55" s="46"/>
      <c r="J55" s="46"/>
      <c r="K55" s="717"/>
      <c r="L55" s="717"/>
      <c r="M55" s="46"/>
      <c r="N55" s="46"/>
      <c r="O55" s="46"/>
      <c r="P55" s="46"/>
      <c r="Q55" s="717"/>
      <c r="R55" s="717"/>
      <c r="V55" s="989"/>
    </row>
    <row r="56" spans="2:22" s="44" customFormat="1" ht="12.75">
      <c r="B56" s="812"/>
      <c r="C56" s="813"/>
      <c r="E56" s="269"/>
      <c r="F56" s="815"/>
      <c r="G56" s="816"/>
      <c r="H56" s="817"/>
      <c r="I56" s="46"/>
      <c r="J56" s="46"/>
      <c r="K56" s="717"/>
      <c r="L56" s="717"/>
      <c r="M56" s="46"/>
      <c r="N56" s="46"/>
      <c r="O56" s="46"/>
      <c r="P56" s="46"/>
      <c r="Q56" s="717"/>
      <c r="R56" s="717"/>
      <c r="V56" s="989"/>
    </row>
    <row r="57" spans="2:22" s="44" customFormat="1" ht="12.75">
      <c r="B57" s="812"/>
      <c r="C57" s="813"/>
      <c r="E57" s="269"/>
      <c r="F57" s="815"/>
      <c r="G57" s="816"/>
      <c r="H57" s="817"/>
      <c r="I57" s="46"/>
      <c r="J57" s="46"/>
      <c r="K57" s="717"/>
      <c r="L57" s="717"/>
      <c r="M57" s="46"/>
      <c r="N57" s="46"/>
      <c r="O57" s="46"/>
      <c r="P57" s="46"/>
      <c r="Q57" s="717"/>
      <c r="R57" s="717"/>
      <c r="V57" s="989"/>
    </row>
    <row r="58" spans="2:22" s="44" customFormat="1" ht="12.75">
      <c r="B58" s="812"/>
      <c r="C58" s="813"/>
      <c r="E58" s="269"/>
      <c r="F58" s="815"/>
      <c r="G58" s="816"/>
      <c r="H58" s="817"/>
      <c r="I58" s="46"/>
      <c r="J58" s="46"/>
      <c r="K58" s="717"/>
      <c r="L58" s="717"/>
      <c r="M58" s="46"/>
      <c r="N58" s="46"/>
      <c r="O58" s="46"/>
      <c r="P58" s="46"/>
      <c r="Q58" s="717"/>
      <c r="R58" s="717"/>
      <c r="V58" s="989"/>
    </row>
    <row r="59" spans="2:22" s="44" customFormat="1" ht="12.75">
      <c r="B59" s="812"/>
      <c r="C59" s="813"/>
      <c r="E59" s="269"/>
      <c r="F59" s="815"/>
      <c r="G59" s="816"/>
      <c r="H59" s="817"/>
      <c r="I59" s="46"/>
      <c r="J59" s="46"/>
      <c r="K59" s="717"/>
      <c r="L59" s="717"/>
      <c r="M59" s="46"/>
      <c r="N59" s="46"/>
      <c r="O59" s="46"/>
      <c r="P59" s="46"/>
      <c r="Q59" s="717"/>
      <c r="R59" s="717"/>
      <c r="V59" s="989"/>
    </row>
    <row r="60" spans="2:22" s="44" customFormat="1" ht="12.75">
      <c r="B60" s="812"/>
      <c r="C60" s="813"/>
      <c r="E60" s="269"/>
      <c r="F60" s="815"/>
      <c r="G60" s="816"/>
      <c r="H60" s="817"/>
      <c r="I60" s="46"/>
      <c r="J60" s="46"/>
      <c r="K60" s="717"/>
      <c r="L60" s="717"/>
      <c r="M60" s="46"/>
      <c r="N60" s="46"/>
      <c r="O60" s="46"/>
      <c r="P60" s="46"/>
      <c r="Q60" s="717"/>
      <c r="R60" s="717"/>
      <c r="V60" s="989"/>
    </row>
    <row r="61" spans="2:22" s="44" customFormat="1" ht="12.75">
      <c r="B61" s="812"/>
      <c r="C61" s="813"/>
      <c r="E61" s="269"/>
      <c r="F61" s="815"/>
      <c r="G61" s="816"/>
      <c r="H61" s="817"/>
      <c r="I61" s="46"/>
      <c r="J61" s="46"/>
      <c r="K61" s="717"/>
      <c r="L61" s="717"/>
      <c r="M61" s="46"/>
      <c r="N61" s="46"/>
      <c r="O61" s="46"/>
      <c r="P61" s="46"/>
      <c r="Q61" s="717"/>
      <c r="R61" s="717"/>
      <c r="V61" s="989"/>
    </row>
    <row r="62" spans="2:22" s="44" customFormat="1" ht="12.75">
      <c r="B62" s="812"/>
      <c r="C62" s="813"/>
      <c r="E62" s="269"/>
      <c r="F62" s="815"/>
      <c r="G62" s="816"/>
      <c r="H62" s="817"/>
      <c r="I62" s="46"/>
      <c r="J62" s="46"/>
      <c r="K62" s="717"/>
      <c r="L62" s="717"/>
      <c r="M62" s="46"/>
      <c r="N62" s="46"/>
      <c r="O62" s="46"/>
      <c r="P62" s="46"/>
      <c r="Q62" s="717"/>
      <c r="R62" s="717"/>
      <c r="V62" s="989"/>
    </row>
    <row r="63" spans="2:22" s="44" customFormat="1" ht="12.75">
      <c r="B63" s="812"/>
      <c r="C63" s="813"/>
      <c r="E63" s="269"/>
      <c r="F63" s="815"/>
      <c r="G63" s="816"/>
      <c r="H63" s="817"/>
      <c r="I63" s="46"/>
      <c r="J63" s="46"/>
      <c r="K63" s="717"/>
      <c r="L63" s="717"/>
      <c r="M63" s="46"/>
      <c r="N63" s="46"/>
      <c r="O63" s="46"/>
      <c r="P63" s="46"/>
      <c r="Q63" s="717"/>
      <c r="R63" s="717"/>
      <c r="V63" s="989"/>
    </row>
    <row r="64" spans="2:22" s="44" customFormat="1" ht="12.75">
      <c r="B64" s="812"/>
      <c r="C64" s="813"/>
      <c r="E64" s="269"/>
      <c r="F64" s="815"/>
      <c r="G64" s="816"/>
      <c r="H64" s="817"/>
      <c r="I64" s="46"/>
      <c r="J64" s="46"/>
      <c r="K64" s="717"/>
      <c r="L64" s="717"/>
      <c r="M64" s="46"/>
      <c r="N64" s="46"/>
      <c r="O64" s="46"/>
      <c r="P64" s="46"/>
      <c r="Q64" s="717"/>
      <c r="R64" s="717"/>
      <c r="V64" s="989"/>
    </row>
    <row r="65" spans="2:22" s="44" customFormat="1" ht="12.75">
      <c r="B65" s="812"/>
      <c r="C65" s="813"/>
      <c r="E65" s="269"/>
      <c r="F65" s="815"/>
      <c r="G65" s="816"/>
      <c r="H65" s="817"/>
      <c r="I65" s="46"/>
      <c r="J65" s="46"/>
      <c r="K65" s="717"/>
      <c r="L65" s="717"/>
      <c r="M65" s="46"/>
      <c r="N65" s="46"/>
      <c r="O65" s="46"/>
      <c r="P65" s="46"/>
      <c r="Q65" s="717"/>
      <c r="R65" s="717"/>
      <c r="V65" s="989"/>
    </row>
    <row r="66" spans="2:22" s="44" customFormat="1" ht="12.75">
      <c r="B66" s="812"/>
      <c r="C66" s="813"/>
      <c r="E66" s="269"/>
      <c r="F66" s="815"/>
      <c r="G66" s="816"/>
      <c r="H66" s="817"/>
      <c r="I66" s="46"/>
      <c r="J66" s="46"/>
      <c r="K66" s="717"/>
      <c r="L66" s="717"/>
      <c r="M66" s="46"/>
      <c r="N66" s="46"/>
      <c r="O66" s="46"/>
      <c r="P66" s="46"/>
      <c r="Q66" s="717"/>
      <c r="R66" s="717"/>
      <c r="V66" s="989"/>
    </row>
    <row r="67" spans="2:22" s="44" customFormat="1" ht="12.75">
      <c r="B67" s="812"/>
      <c r="C67" s="813"/>
      <c r="E67" s="269"/>
      <c r="F67" s="815"/>
      <c r="G67" s="816"/>
      <c r="H67" s="817"/>
      <c r="I67" s="46"/>
      <c r="J67" s="46"/>
      <c r="K67" s="717"/>
      <c r="L67" s="717"/>
      <c r="M67" s="46"/>
      <c r="N67" s="46"/>
      <c r="O67" s="46"/>
      <c r="P67" s="46"/>
      <c r="Q67" s="717"/>
      <c r="R67" s="717"/>
      <c r="V67" s="989"/>
    </row>
    <row r="68" spans="2:22" s="44" customFormat="1" ht="12.75">
      <c r="B68" s="812"/>
      <c r="C68" s="813"/>
      <c r="E68" s="269"/>
      <c r="F68" s="815"/>
      <c r="G68" s="816"/>
      <c r="H68" s="817"/>
      <c r="I68" s="46"/>
      <c r="J68" s="46"/>
      <c r="K68" s="717"/>
      <c r="L68" s="717"/>
      <c r="M68" s="46"/>
      <c r="N68" s="46"/>
      <c r="O68" s="46"/>
      <c r="P68" s="46"/>
      <c r="Q68" s="717"/>
      <c r="R68" s="717"/>
      <c r="V68" s="989"/>
    </row>
    <row r="69" spans="2:22" s="44" customFormat="1" ht="12.75">
      <c r="B69" s="812"/>
      <c r="C69" s="813"/>
      <c r="E69" s="269"/>
      <c r="F69" s="815"/>
      <c r="G69" s="816"/>
      <c r="H69" s="817"/>
      <c r="I69" s="46"/>
      <c r="J69" s="46"/>
      <c r="K69" s="717"/>
      <c r="L69" s="717"/>
      <c r="M69" s="46"/>
      <c r="N69" s="46"/>
      <c r="O69" s="46"/>
      <c r="P69" s="46"/>
      <c r="Q69" s="717"/>
      <c r="R69" s="717"/>
      <c r="V69" s="989"/>
    </row>
    <row r="70" spans="2:22" s="44" customFormat="1" ht="12.75">
      <c r="B70" s="812"/>
      <c r="C70" s="813"/>
      <c r="E70" s="269"/>
      <c r="F70" s="815"/>
      <c r="G70" s="816"/>
      <c r="H70" s="817"/>
      <c r="I70" s="46"/>
      <c r="J70" s="46"/>
      <c r="K70" s="717"/>
      <c r="L70" s="717"/>
      <c r="M70" s="46"/>
      <c r="N70" s="46"/>
      <c r="O70" s="46"/>
      <c r="P70" s="46"/>
      <c r="Q70" s="717"/>
      <c r="R70" s="717"/>
      <c r="V70" s="989"/>
    </row>
    <row r="71" spans="2:22" s="44" customFormat="1" ht="12.75">
      <c r="B71" s="812"/>
      <c r="C71" s="813"/>
      <c r="E71" s="269"/>
      <c r="F71" s="815"/>
      <c r="G71" s="816"/>
      <c r="H71" s="817"/>
      <c r="I71" s="46"/>
      <c r="J71" s="46"/>
      <c r="K71" s="717"/>
      <c r="L71" s="717"/>
      <c r="M71" s="46"/>
      <c r="N71" s="46"/>
      <c r="O71" s="46"/>
      <c r="P71" s="46"/>
      <c r="Q71" s="717"/>
      <c r="R71" s="717"/>
      <c r="V71" s="989"/>
    </row>
    <row r="72" spans="2:22" s="44" customFormat="1" ht="12.75">
      <c r="B72" s="812"/>
      <c r="C72" s="813"/>
      <c r="E72" s="269"/>
      <c r="F72" s="815"/>
      <c r="G72" s="816"/>
      <c r="H72" s="817"/>
      <c r="I72" s="46"/>
      <c r="J72" s="46"/>
      <c r="K72" s="717"/>
      <c r="L72" s="717"/>
      <c r="M72" s="46"/>
      <c r="N72" s="46"/>
      <c r="O72" s="46"/>
      <c r="P72" s="46"/>
      <c r="Q72" s="717"/>
      <c r="R72" s="717"/>
      <c r="V72" s="989"/>
    </row>
    <row r="73" spans="2:22" s="44" customFormat="1" ht="12.75">
      <c r="B73" s="812"/>
      <c r="C73" s="813"/>
      <c r="E73" s="269"/>
      <c r="F73" s="815"/>
      <c r="G73" s="816"/>
      <c r="H73" s="817"/>
      <c r="I73" s="46"/>
      <c r="J73" s="46"/>
      <c r="K73" s="717"/>
      <c r="L73" s="717"/>
      <c r="M73" s="46"/>
      <c r="N73" s="46"/>
      <c r="O73" s="46"/>
      <c r="P73" s="46"/>
      <c r="Q73" s="717"/>
      <c r="R73" s="717"/>
      <c r="V73" s="989"/>
    </row>
    <row r="74" spans="2:22" s="44" customFormat="1" ht="12.75">
      <c r="B74" s="812"/>
      <c r="C74" s="813"/>
      <c r="E74" s="269"/>
      <c r="F74" s="815"/>
      <c r="G74" s="816"/>
      <c r="H74" s="817"/>
      <c r="I74" s="46"/>
      <c r="J74" s="46"/>
      <c r="K74" s="717"/>
      <c r="L74" s="717"/>
      <c r="M74" s="46"/>
      <c r="N74" s="46"/>
      <c r="O74" s="46"/>
      <c r="P74" s="46"/>
      <c r="Q74" s="717"/>
      <c r="R74" s="717"/>
      <c r="V74" s="989"/>
    </row>
    <row r="75" spans="2:22" s="44" customFormat="1" ht="12.75">
      <c r="B75" s="812"/>
      <c r="C75" s="813"/>
      <c r="E75" s="269"/>
      <c r="F75" s="815"/>
      <c r="G75" s="816"/>
      <c r="H75" s="817"/>
      <c r="I75" s="46"/>
      <c r="J75" s="46"/>
      <c r="K75" s="717"/>
      <c r="L75" s="717"/>
      <c r="M75" s="46"/>
      <c r="N75" s="46"/>
      <c r="O75" s="46"/>
      <c r="P75" s="46"/>
      <c r="Q75" s="717"/>
      <c r="R75" s="717"/>
      <c r="V75" s="989"/>
    </row>
    <row r="76" spans="2:22" s="44" customFormat="1" ht="12.75">
      <c r="B76" s="812"/>
      <c r="C76" s="813"/>
      <c r="E76" s="269"/>
      <c r="F76" s="815"/>
      <c r="G76" s="816"/>
      <c r="H76" s="817"/>
      <c r="I76" s="46"/>
      <c r="J76" s="46"/>
      <c r="K76" s="717"/>
      <c r="L76" s="717"/>
      <c r="M76" s="46"/>
      <c r="N76" s="46"/>
      <c r="O76" s="46"/>
      <c r="P76" s="46"/>
      <c r="Q76" s="717"/>
      <c r="R76" s="717"/>
      <c r="V76" s="989"/>
    </row>
    <row r="77" spans="2:22" s="44" customFormat="1" ht="12.75">
      <c r="B77" s="812"/>
      <c r="C77" s="813"/>
      <c r="E77" s="269"/>
      <c r="F77" s="815"/>
      <c r="G77" s="816"/>
      <c r="H77" s="817"/>
      <c r="I77" s="46"/>
      <c r="J77" s="46"/>
      <c r="K77" s="717"/>
      <c r="L77" s="717"/>
      <c r="M77" s="46"/>
      <c r="N77" s="46"/>
      <c r="O77" s="46"/>
      <c r="P77" s="46"/>
      <c r="Q77" s="717"/>
      <c r="R77" s="717"/>
      <c r="V77" s="989"/>
    </row>
    <row r="78" spans="2:22" s="44" customFormat="1" ht="12.75">
      <c r="B78" s="812"/>
      <c r="C78" s="813"/>
      <c r="E78" s="269"/>
      <c r="F78" s="815"/>
      <c r="G78" s="816"/>
      <c r="H78" s="817"/>
      <c r="I78" s="46"/>
      <c r="J78" s="46"/>
      <c r="K78" s="717"/>
      <c r="L78" s="717"/>
      <c r="M78" s="46"/>
      <c r="N78" s="46"/>
      <c r="O78" s="46"/>
      <c r="P78" s="46"/>
      <c r="Q78" s="717"/>
      <c r="R78" s="717"/>
      <c r="V78" s="989"/>
    </row>
    <row r="79" spans="2:22" s="44" customFormat="1" ht="12.75">
      <c r="B79" s="812"/>
      <c r="C79" s="813"/>
      <c r="E79" s="269"/>
      <c r="F79" s="815"/>
      <c r="G79" s="816"/>
      <c r="H79" s="817"/>
      <c r="I79" s="46"/>
      <c r="J79" s="46"/>
      <c r="K79" s="717"/>
      <c r="L79" s="717"/>
      <c r="M79" s="46"/>
      <c r="N79" s="46"/>
      <c r="O79" s="46"/>
      <c r="P79" s="46"/>
      <c r="Q79" s="717"/>
      <c r="R79" s="717"/>
      <c r="V79" s="989"/>
    </row>
    <row r="80" spans="2:22" s="44" customFormat="1" ht="12.75">
      <c r="B80" s="812"/>
      <c r="C80" s="813"/>
      <c r="E80" s="269"/>
      <c r="F80" s="815"/>
      <c r="G80" s="816"/>
      <c r="H80" s="817"/>
      <c r="I80" s="46"/>
      <c r="J80" s="46"/>
      <c r="K80" s="717"/>
      <c r="L80" s="717"/>
      <c r="M80" s="46"/>
      <c r="N80" s="46"/>
      <c r="O80" s="46"/>
      <c r="P80" s="46"/>
      <c r="Q80" s="717"/>
      <c r="R80" s="717"/>
      <c r="V80" s="989"/>
    </row>
    <row r="81" spans="2:22" s="44" customFormat="1" ht="12.75">
      <c r="B81" s="812"/>
      <c r="C81" s="813"/>
      <c r="E81" s="269"/>
      <c r="F81" s="815"/>
      <c r="G81" s="816"/>
      <c r="H81" s="817"/>
      <c r="I81" s="46"/>
      <c r="J81" s="46"/>
      <c r="K81" s="717"/>
      <c r="L81" s="717"/>
      <c r="M81" s="46"/>
      <c r="N81" s="46"/>
      <c r="O81" s="46"/>
      <c r="P81" s="46"/>
      <c r="Q81" s="717"/>
      <c r="R81" s="717"/>
      <c r="V81" s="989"/>
    </row>
    <row r="82" spans="2:22" s="44" customFormat="1" ht="12.75">
      <c r="B82" s="812"/>
      <c r="C82" s="813"/>
      <c r="E82" s="269"/>
      <c r="F82" s="815"/>
      <c r="G82" s="816"/>
      <c r="H82" s="817"/>
      <c r="I82" s="46"/>
      <c r="J82" s="46"/>
      <c r="K82" s="717"/>
      <c r="L82" s="717"/>
      <c r="M82" s="46"/>
      <c r="N82" s="46"/>
      <c r="O82" s="46"/>
      <c r="P82" s="46"/>
      <c r="Q82" s="717"/>
      <c r="R82" s="717"/>
      <c r="V82" s="989"/>
    </row>
    <row r="83" spans="2:22" s="44" customFormat="1" ht="12.75">
      <c r="B83" s="812"/>
      <c r="C83" s="813"/>
      <c r="E83" s="269"/>
      <c r="F83" s="815"/>
      <c r="G83" s="816"/>
      <c r="H83" s="817"/>
      <c r="I83" s="46"/>
      <c r="J83" s="46"/>
      <c r="K83" s="717"/>
      <c r="L83" s="717"/>
      <c r="M83" s="46"/>
      <c r="N83" s="46"/>
      <c r="O83" s="46"/>
      <c r="P83" s="46"/>
      <c r="Q83" s="717"/>
      <c r="R83" s="717"/>
      <c r="V83" s="989"/>
    </row>
    <row r="84" spans="2:22" s="44" customFormat="1" ht="12.75">
      <c r="B84" s="812"/>
      <c r="C84" s="813"/>
      <c r="E84" s="269"/>
      <c r="F84" s="815"/>
      <c r="G84" s="816"/>
      <c r="H84" s="817"/>
      <c r="I84" s="46"/>
      <c r="J84" s="46"/>
      <c r="K84" s="717"/>
      <c r="L84" s="717"/>
      <c r="M84" s="46"/>
      <c r="N84" s="46"/>
      <c r="O84" s="46"/>
      <c r="P84" s="46"/>
      <c r="Q84" s="717"/>
      <c r="R84" s="717"/>
      <c r="V84" s="989"/>
    </row>
    <row r="85" spans="2:22" s="44" customFormat="1" ht="12.75">
      <c r="B85" s="812"/>
      <c r="C85" s="813"/>
      <c r="E85" s="269"/>
      <c r="F85" s="815"/>
      <c r="G85" s="816"/>
      <c r="H85" s="817"/>
      <c r="I85" s="46"/>
      <c r="J85" s="46"/>
      <c r="K85" s="717"/>
      <c r="L85" s="717"/>
      <c r="M85" s="46"/>
      <c r="N85" s="46"/>
      <c r="O85" s="46"/>
      <c r="P85" s="46"/>
      <c r="Q85" s="717"/>
      <c r="R85" s="717"/>
      <c r="V85" s="989"/>
    </row>
    <row r="86" spans="2:22" s="44" customFormat="1" ht="12.75">
      <c r="B86" s="812"/>
      <c r="C86" s="813"/>
      <c r="E86" s="269"/>
      <c r="F86" s="815"/>
      <c r="G86" s="816"/>
      <c r="H86" s="817"/>
      <c r="I86" s="46"/>
      <c r="J86" s="46"/>
      <c r="K86" s="717"/>
      <c r="L86" s="717"/>
      <c r="M86" s="46"/>
      <c r="N86" s="46"/>
      <c r="O86" s="46"/>
      <c r="P86" s="46"/>
      <c r="Q86" s="717"/>
      <c r="R86" s="717"/>
      <c r="V86" s="989"/>
    </row>
    <row r="87" spans="2:22" s="44" customFormat="1" ht="12.75">
      <c r="B87" s="812"/>
      <c r="C87" s="813"/>
      <c r="E87" s="269"/>
      <c r="F87" s="815"/>
      <c r="G87" s="816"/>
      <c r="H87" s="817"/>
      <c r="I87" s="46"/>
      <c r="J87" s="46"/>
      <c r="K87" s="717"/>
      <c r="L87" s="717"/>
      <c r="M87" s="46"/>
      <c r="N87" s="46"/>
      <c r="O87" s="46"/>
      <c r="P87" s="46"/>
      <c r="Q87" s="717"/>
      <c r="R87" s="717"/>
      <c r="V87" s="989"/>
    </row>
    <row r="88" spans="2:22" s="44" customFormat="1" ht="12.75">
      <c r="B88" s="812"/>
      <c r="C88" s="813"/>
      <c r="E88" s="269"/>
      <c r="F88" s="815"/>
      <c r="G88" s="816"/>
      <c r="H88" s="817"/>
      <c r="I88" s="46"/>
      <c r="J88" s="46"/>
      <c r="K88" s="717"/>
      <c r="L88" s="717"/>
      <c r="M88" s="46"/>
      <c r="N88" s="46"/>
      <c r="O88" s="46"/>
      <c r="P88" s="46"/>
      <c r="Q88" s="717"/>
      <c r="R88" s="717"/>
      <c r="V88" s="989"/>
    </row>
    <row r="89" spans="2:22" s="44" customFormat="1" ht="12.75">
      <c r="B89" s="812"/>
      <c r="C89" s="813"/>
      <c r="E89" s="269"/>
      <c r="F89" s="815"/>
      <c r="G89" s="816"/>
      <c r="H89" s="817"/>
      <c r="I89" s="46"/>
      <c r="J89" s="46"/>
      <c r="K89" s="717"/>
      <c r="L89" s="717"/>
      <c r="M89" s="46"/>
      <c r="N89" s="46"/>
      <c r="O89" s="46"/>
      <c r="P89" s="46"/>
      <c r="Q89" s="717"/>
      <c r="R89" s="717"/>
      <c r="V89" s="989"/>
    </row>
    <row r="90" spans="2:22" s="44" customFormat="1" ht="12.75">
      <c r="B90" s="812"/>
      <c r="C90" s="813"/>
      <c r="E90" s="269"/>
      <c r="F90" s="815"/>
      <c r="G90" s="816"/>
      <c r="H90" s="817"/>
      <c r="I90" s="46"/>
      <c r="J90" s="46"/>
      <c r="K90" s="717"/>
      <c r="L90" s="717"/>
      <c r="M90" s="46"/>
      <c r="N90" s="46"/>
      <c r="O90" s="46"/>
      <c r="P90" s="46"/>
      <c r="Q90" s="717"/>
      <c r="R90" s="717"/>
      <c r="V90" s="989"/>
    </row>
    <row r="91" spans="2:22" s="44" customFormat="1" ht="12.75">
      <c r="B91" s="812"/>
      <c r="C91" s="813"/>
      <c r="E91" s="269"/>
      <c r="F91" s="815"/>
      <c r="G91" s="816"/>
      <c r="H91" s="817"/>
      <c r="I91" s="46"/>
      <c r="J91" s="46"/>
      <c r="K91" s="717"/>
      <c r="L91" s="717"/>
      <c r="M91" s="46"/>
      <c r="N91" s="46"/>
      <c r="O91" s="46"/>
      <c r="P91" s="46"/>
      <c r="Q91" s="717"/>
      <c r="R91" s="717"/>
      <c r="V91" s="989"/>
    </row>
    <row r="92" spans="2:22" s="44" customFormat="1" ht="12.75">
      <c r="B92" s="812"/>
      <c r="C92" s="813"/>
      <c r="E92" s="269"/>
      <c r="F92" s="815"/>
      <c r="G92" s="816"/>
      <c r="H92" s="817"/>
      <c r="I92" s="46"/>
      <c r="J92" s="46"/>
      <c r="K92" s="717"/>
      <c r="L92" s="717"/>
      <c r="M92" s="46"/>
      <c r="N92" s="46"/>
      <c r="O92" s="46"/>
      <c r="P92" s="46"/>
      <c r="Q92" s="717"/>
      <c r="R92" s="717"/>
      <c r="V92" s="989"/>
    </row>
    <row r="93" spans="2:22" s="44" customFormat="1" ht="12.75">
      <c r="B93" s="812"/>
      <c r="C93" s="813"/>
      <c r="E93" s="269"/>
      <c r="F93" s="815"/>
      <c r="G93" s="816"/>
      <c r="H93" s="817"/>
      <c r="I93" s="46"/>
      <c r="J93" s="46"/>
      <c r="K93" s="717"/>
      <c r="L93" s="717"/>
      <c r="M93" s="46"/>
      <c r="N93" s="46"/>
      <c r="O93" s="46"/>
      <c r="P93" s="46"/>
      <c r="Q93" s="717"/>
      <c r="R93" s="717"/>
      <c r="V93" s="989"/>
    </row>
    <row r="94" spans="2:22" s="44" customFormat="1" ht="12.75">
      <c r="B94" s="812"/>
      <c r="C94" s="813"/>
      <c r="E94" s="269"/>
      <c r="F94" s="815"/>
      <c r="G94" s="816"/>
      <c r="H94" s="817"/>
      <c r="I94" s="46"/>
      <c r="J94" s="46"/>
      <c r="K94" s="717"/>
      <c r="L94" s="717"/>
      <c r="M94" s="46"/>
      <c r="N94" s="46"/>
      <c r="O94" s="46"/>
      <c r="P94" s="46"/>
      <c r="Q94" s="717"/>
      <c r="R94" s="717"/>
      <c r="V94" s="989"/>
    </row>
    <row r="95" spans="2:22" s="44" customFormat="1" ht="12.75">
      <c r="B95" s="812"/>
      <c r="C95" s="813"/>
      <c r="E95" s="269"/>
      <c r="F95" s="815"/>
      <c r="G95" s="816"/>
      <c r="H95" s="817"/>
      <c r="I95" s="46"/>
      <c r="J95" s="46"/>
      <c r="K95" s="717"/>
      <c r="L95" s="717"/>
      <c r="M95" s="46"/>
      <c r="N95" s="46"/>
      <c r="O95" s="46"/>
      <c r="P95" s="46"/>
      <c r="Q95" s="717"/>
      <c r="R95" s="717"/>
      <c r="V95" s="989"/>
    </row>
    <row r="96" spans="2:22" s="44" customFormat="1" ht="12.75">
      <c r="B96" s="812"/>
      <c r="C96" s="813"/>
      <c r="E96" s="269"/>
      <c r="F96" s="815"/>
      <c r="G96" s="816"/>
      <c r="H96" s="817"/>
      <c r="I96" s="46"/>
      <c r="J96" s="46"/>
      <c r="K96" s="717"/>
      <c r="L96" s="717"/>
      <c r="M96" s="46"/>
      <c r="N96" s="46"/>
      <c r="O96" s="46"/>
      <c r="P96" s="46"/>
      <c r="Q96" s="717"/>
      <c r="R96" s="717"/>
      <c r="V96" s="989"/>
    </row>
    <row r="97" spans="2:22" s="44" customFormat="1" ht="12.75">
      <c r="B97" s="812"/>
      <c r="C97" s="813"/>
      <c r="E97" s="269"/>
      <c r="F97" s="815"/>
      <c r="G97" s="816"/>
      <c r="H97" s="817"/>
      <c r="I97" s="46"/>
      <c r="J97" s="303"/>
      <c r="K97" s="818"/>
      <c r="L97" s="818"/>
      <c r="M97" s="46"/>
      <c r="N97" s="46"/>
      <c r="O97" s="46"/>
      <c r="P97" s="46"/>
      <c r="Q97" s="717"/>
      <c r="R97" s="717"/>
      <c r="V97" s="989"/>
    </row>
    <row r="98" spans="2:22" s="44" customFormat="1" ht="12.75">
      <c r="B98" s="812"/>
      <c r="C98" s="813"/>
      <c r="E98" s="269"/>
      <c r="F98" s="815"/>
      <c r="G98" s="816"/>
      <c r="H98" s="817"/>
      <c r="I98" s="46"/>
      <c r="J98" s="46"/>
      <c r="K98" s="717"/>
      <c r="L98" s="717"/>
      <c r="M98" s="46"/>
      <c r="N98" s="46"/>
      <c r="O98" s="46"/>
      <c r="P98" s="46"/>
      <c r="Q98" s="717"/>
      <c r="R98" s="717"/>
      <c r="V98" s="989"/>
    </row>
    <row r="99" spans="2:22" s="44" customFormat="1" ht="12.75">
      <c r="B99" s="812"/>
      <c r="C99" s="813"/>
      <c r="E99" s="269"/>
      <c r="F99" s="815"/>
      <c r="G99" s="816"/>
      <c r="H99" s="817"/>
      <c r="I99" s="46"/>
      <c r="J99" s="46"/>
      <c r="K99" s="717"/>
      <c r="L99" s="717"/>
      <c r="M99" s="46"/>
      <c r="N99" s="46"/>
      <c r="O99" s="46"/>
      <c r="P99" s="46"/>
      <c r="Q99" s="717"/>
      <c r="R99" s="717"/>
      <c r="V99" s="989"/>
    </row>
    <row r="100" spans="2:22" s="44" customFormat="1" ht="12.75">
      <c r="B100" s="812"/>
      <c r="C100" s="813"/>
      <c r="E100" s="269"/>
      <c r="F100" s="815"/>
      <c r="G100" s="816"/>
      <c r="H100" s="817"/>
      <c r="I100" s="46"/>
      <c r="J100" s="46"/>
      <c r="K100" s="717"/>
      <c r="L100" s="717"/>
      <c r="M100" s="46"/>
      <c r="N100" s="46"/>
      <c r="O100" s="46"/>
      <c r="P100" s="46"/>
      <c r="Q100" s="717"/>
      <c r="R100" s="717"/>
      <c r="V100" s="989"/>
    </row>
    <row r="101" spans="2:22" s="44" customFormat="1" ht="12.75">
      <c r="B101" s="812"/>
      <c r="C101" s="813"/>
      <c r="E101" s="269"/>
      <c r="F101" s="815"/>
      <c r="G101" s="816"/>
      <c r="H101" s="817"/>
      <c r="I101" s="46"/>
      <c r="J101" s="46"/>
      <c r="K101" s="717"/>
      <c r="L101" s="717"/>
      <c r="M101" s="46"/>
      <c r="N101" s="46"/>
      <c r="O101" s="46"/>
      <c r="P101" s="46"/>
      <c r="Q101" s="717"/>
      <c r="R101" s="717"/>
      <c r="V101" s="989"/>
    </row>
    <row r="102" spans="2:22" s="44" customFormat="1" ht="12.75">
      <c r="B102" s="812"/>
      <c r="C102" s="813"/>
      <c r="E102" s="269"/>
      <c r="F102" s="815"/>
      <c r="G102" s="816"/>
      <c r="H102" s="817"/>
      <c r="I102" s="46"/>
      <c r="J102" s="46"/>
      <c r="K102" s="717"/>
      <c r="L102" s="717"/>
      <c r="M102" s="46"/>
      <c r="N102" s="46"/>
      <c r="O102" s="46"/>
      <c r="P102" s="46"/>
      <c r="Q102" s="717"/>
      <c r="R102" s="717"/>
      <c r="V102" s="989"/>
    </row>
    <row r="103" spans="2:22" s="44" customFormat="1" ht="12.75">
      <c r="B103" s="812"/>
      <c r="C103" s="813"/>
      <c r="E103" s="269"/>
      <c r="F103" s="815"/>
      <c r="G103" s="816"/>
      <c r="H103" s="817"/>
      <c r="I103" s="46"/>
      <c r="J103" s="46"/>
      <c r="K103" s="717"/>
      <c r="L103" s="717"/>
      <c r="M103" s="46"/>
      <c r="N103" s="46"/>
      <c r="O103" s="46"/>
      <c r="P103" s="46"/>
      <c r="Q103" s="717"/>
      <c r="R103" s="717"/>
      <c r="V103" s="989"/>
    </row>
    <row r="104" spans="2:22" s="44" customFormat="1" ht="12.75">
      <c r="B104" s="812"/>
      <c r="C104" s="813"/>
      <c r="E104" s="269"/>
      <c r="F104" s="815"/>
      <c r="G104" s="816"/>
      <c r="H104" s="817"/>
      <c r="I104" s="46"/>
      <c r="J104" s="46"/>
      <c r="K104" s="717"/>
      <c r="L104" s="717"/>
      <c r="M104" s="46"/>
      <c r="N104" s="46"/>
      <c r="O104" s="46"/>
      <c r="P104" s="46"/>
      <c r="Q104" s="717"/>
      <c r="R104" s="717"/>
      <c r="V104" s="989"/>
    </row>
    <row r="105" spans="2:22" s="44" customFormat="1" ht="12.75">
      <c r="B105" s="812"/>
      <c r="C105" s="813"/>
      <c r="E105" s="269"/>
      <c r="F105" s="815"/>
      <c r="G105" s="816"/>
      <c r="H105" s="817"/>
      <c r="I105" s="46"/>
      <c r="J105" s="46"/>
      <c r="K105" s="717"/>
      <c r="L105" s="717"/>
      <c r="M105" s="46"/>
      <c r="N105" s="46"/>
      <c r="O105" s="46"/>
      <c r="P105" s="46"/>
      <c r="Q105" s="717"/>
      <c r="R105" s="717"/>
      <c r="V105" s="989"/>
    </row>
    <row r="106" spans="2:22" s="44" customFormat="1" ht="12.75">
      <c r="B106" s="812"/>
      <c r="C106" s="813"/>
      <c r="E106" s="269"/>
      <c r="F106" s="815"/>
      <c r="G106" s="816"/>
      <c r="H106" s="817"/>
      <c r="I106" s="46"/>
      <c r="J106" s="46"/>
      <c r="K106" s="717"/>
      <c r="L106" s="717"/>
      <c r="M106" s="46"/>
      <c r="N106" s="46"/>
      <c r="O106" s="46"/>
      <c r="P106" s="46"/>
      <c r="Q106" s="717"/>
      <c r="R106" s="717"/>
      <c r="V106" s="989"/>
    </row>
    <row r="107" spans="5:12" ht="12.75">
      <c r="E107" s="524"/>
      <c r="F107" s="549"/>
      <c r="G107" s="550"/>
      <c r="H107" s="551"/>
      <c r="I107" s="171"/>
      <c r="J107" s="171"/>
      <c r="K107" s="684"/>
      <c r="L107" s="684"/>
    </row>
    <row r="108" spans="5:12" ht="12.75">
      <c r="E108" s="524"/>
      <c r="F108" s="549"/>
      <c r="G108" s="550"/>
      <c r="H108" s="551"/>
      <c r="I108" s="171"/>
      <c r="J108" s="171"/>
      <c r="K108" s="684"/>
      <c r="L108" s="684"/>
    </row>
    <row r="109" spans="2:12" ht="12.75">
      <c r="B109" s="483"/>
      <c r="C109" s="407"/>
      <c r="D109" s="171"/>
      <c r="E109" s="524"/>
      <c r="F109" s="549"/>
      <c r="G109" s="550"/>
      <c r="H109" s="551"/>
      <c r="I109" s="171"/>
      <c r="J109" s="171"/>
      <c r="K109" s="684"/>
      <c r="L109" s="684"/>
    </row>
    <row r="110" spans="2:12" ht="12.75">
      <c r="B110" s="483"/>
      <c r="C110" s="407"/>
      <c r="D110" s="171"/>
      <c r="E110" s="524"/>
      <c r="F110" s="549"/>
      <c r="G110" s="550"/>
      <c r="H110" s="551"/>
      <c r="I110" s="171"/>
      <c r="J110" s="171"/>
      <c r="K110" s="684"/>
      <c r="L110" s="684"/>
    </row>
    <row r="111" spans="2:12" ht="12.75">
      <c r="B111" s="483"/>
      <c r="C111" s="407"/>
      <c r="D111" s="171"/>
      <c r="E111" s="524"/>
      <c r="F111" s="549"/>
      <c r="G111" s="550"/>
      <c r="H111" s="551"/>
      <c r="I111" s="171"/>
      <c r="J111" s="171"/>
      <c r="K111" s="684"/>
      <c r="L111" s="684"/>
    </row>
    <row r="112" spans="2:12" ht="12.75">
      <c r="B112" s="483"/>
      <c r="C112" s="407"/>
      <c r="D112" s="483"/>
      <c r="E112" s="524"/>
      <c r="F112" s="549"/>
      <c r="G112" s="550"/>
      <c r="H112" s="553"/>
      <c r="I112" s="171"/>
      <c r="J112" s="171"/>
      <c r="K112" s="684"/>
      <c r="L112" s="684"/>
    </row>
    <row r="113" spans="2:12" ht="12.75">
      <c r="B113" s="483"/>
      <c r="C113" s="407"/>
      <c r="D113" s="171"/>
      <c r="E113" s="171"/>
      <c r="F113" s="171"/>
      <c r="G113" s="171"/>
      <c r="H113" s="171"/>
      <c r="I113" s="171"/>
      <c r="J113" s="171"/>
      <c r="K113" s="684"/>
      <c r="L113" s="684"/>
    </row>
    <row r="114" spans="2:12" ht="12.75">
      <c r="B114" s="483"/>
      <c r="C114" s="407"/>
      <c r="D114" s="171"/>
      <c r="E114" s="171"/>
      <c r="F114" s="171"/>
      <c r="G114" s="171"/>
      <c r="H114" s="171"/>
      <c r="I114" s="171"/>
      <c r="J114" s="171"/>
      <c r="K114" s="684"/>
      <c r="L114" s="684"/>
    </row>
    <row r="115" spans="2:12" ht="12.75">
      <c r="B115" s="483"/>
      <c r="C115" s="407"/>
      <c r="D115" s="171"/>
      <c r="E115" s="171"/>
      <c r="F115" s="171"/>
      <c r="G115" s="171"/>
      <c r="H115" s="171"/>
      <c r="I115" s="171"/>
      <c r="J115" s="171"/>
      <c r="K115" s="684"/>
      <c r="L115" s="684"/>
    </row>
    <row r="116" spans="2:12" ht="12.75">
      <c r="B116" s="483"/>
      <c r="C116" s="407"/>
      <c r="D116" s="171"/>
      <c r="E116" s="171"/>
      <c r="F116" s="171"/>
      <c r="G116" s="171"/>
      <c r="H116" s="171"/>
      <c r="I116" s="171"/>
      <c r="J116" s="171"/>
      <c r="K116" s="684"/>
      <c r="L116" s="684"/>
    </row>
    <row r="117" spans="2:12" ht="12.75">
      <c r="B117" s="483"/>
      <c r="C117" s="407"/>
      <c r="D117" s="171"/>
      <c r="E117" s="171"/>
      <c r="F117" s="171"/>
      <c r="G117" s="171"/>
      <c r="H117" s="171"/>
      <c r="I117" s="171"/>
      <c r="J117" s="171"/>
      <c r="K117" s="684"/>
      <c r="L117" s="684"/>
    </row>
    <row r="118" spans="2:12" ht="12.75">
      <c r="B118" s="483"/>
      <c r="C118" s="407"/>
      <c r="D118" s="171"/>
      <c r="E118" s="171"/>
      <c r="F118" s="171"/>
      <c r="G118" s="171"/>
      <c r="H118" s="171"/>
      <c r="I118" s="171"/>
      <c r="J118" s="171"/>
      <c r="K118" s="684"/>
      <c r="L118" s="684"/>
    </row>
    <row r="119" spans="2:12" ht="12.75">
      <c r="B119" s="483"/>
      <c r="C119" s="407"/>
      <c r="D119" s="171"/>
      <c r="E119" s="171"/>
      <c r="F119" s="171"/>
      <c r="G119" s="171"/>
      <c r="H119" s="171"/>
      <c r="I119" s="171"/>
      <c r="J119" s="171"/>
      <c r="K119" s="684"/>
      <c r="L119" s="684"/>
    </row>
    <row r="120" spans="2:12" ht="12.75">
      <c r="B120" s="483"/>
      <c r="C120" s="407"/>
      <c r="D120" s="171"/>
      <c r="E120" s="171"/>
      <c r="F120" s="171"/>
      <c r="G120" s="171"/>
      <c r="H120" s="171"/>
      <c r="I120" s="171"/>
      <c r="J120" s="171"/>
      <c r="K120" s="684"/>
      <c r="L120" s="684"/>
    </row>
    <row r="121" spans="2:12" ht="12.75">
      <c r="B121" s="483"/>
      <c r="C121" s="407"/>
      <c r="D121" s="171"/>
      <c r="E121" s="171"/>
      <c r="F121" s="171"/>
      <c r="G121" s="171"/>
      <c r="H121" s="171"/>
      <c r="I121" s="171"/>
      <c r="J121" s="171"/>
      <c r="K121" s="684"/>
      <c r="L121" s="684"/>
    </row>
    <row r="122" spans="2:12" ht="12.75">
      <c r="B122" s="483"/>
      <c r="C122" s="407"/>
      <c r="D122" s="171"/>
      <c r="E122" s="171"/>
      <c r="F122" s="171"/>
      <c r="G122" s="171"/>
      <c r="H122" s="171"/>
      <c r="I122" s="171"/>
      <c r="J122" s="171"/>
      <c r="K122" s="684"/>
      <c r="L122" s="684"/>
    </row>
    <row r="123" spans="2:12" ht="12.75">
      <c r="B123" s="483"/>
      <c r="C123" s="407"/>
      <c r="D123" s="171"/>
      <c r="E123" s="171"/>
      <c r="F123" s="171"/>
      <c r="G123" s="171"/>
      <c r="H123" s="171"/>
      <c r="I123" s="171"/>
      <c r="J123" s="171"/>
      <c r="K123" s="684"/>
      <c r="L123" s="684"/>
    </row>
    <row r="124" spans="2:12" ht="12.75">
      <c r="B124" s="483"/>
      <c r="C124" s="407"/>
      <c r="D124" s="171"/>
      <c r="E124" s="171"/>
      <c r="F124" s="171"/>
      <c r="G124" s="171"/>
      <c r="H124" s="171"/>
      <c r="I124" s="171"/>
      <c r="J124" s="171"/>
      <c r="K124" s="684"/>
      <c r="L124" s="684"/>
    </row>
    <row r="125" spans="5:12" ht="12.75">
      <c r="E125" s="171"/>
      <c r="F125" s="171"/>
      <c r="G125" s="171"/>
      <c r="H125" s="171"/>
      <c r="I125" s="171"/>
      <c r="J125" s="171"/>
      <c r="K125" s="684"/>
      <c r="L125" s="684"/>
    </row>
    <row r="126" spans="5:12" ht="12.75">
      <c r="E126" s="171"/>
      <c r="F126" s="171"/>
      <c r="G126" s="171"/>
      <c r="H126" s="171"/>
      <c r="I126" s="171"/>
      <c r="J126" s="171"/>
      <c r="K126" s="684"/>
      <c r="L126" s="684"/>
    </row>
    <row r="127" spans="5:12" ht="12.75">
      <c r="E127" s="171"/>
      <c r="F127" s="171"/>
      <c r="G127" s="171"/>
      <c r="H127" s="171"/>
      <c r="I127" s="171"/>
      <c r="J127" s="171"/>
      <c r="K127" s="684"/>
      <c r="L127" s="684"/>
    </row>
    <row r="128" spans="5:12" ht="12.75">
      <c r="E128" s="171"/>
      <c r="F128" s="171"/>
      <c r="G128" s="171"/>
      <c r="H128" s="171"/>
      <c r="I128" s="171"/>
      <c r="J128" s="171"/>
      <c r="K128" s="684"/>
      <c r="L128" s="684"/>
    </row>
    <row r="129" spans="5:12" ht="12.75">
      <c r="E129" s="171"/>
      <c r="F129" s="171"/>
      <c r="G129" s="171"/>
      <c r="H129" s="171"/>
      <c r="I129" s="171"/>
      <c r="J129" s="171"/>
      <c r="K129" s="684"/>
      <c r="L129" s="684"/>
    </row>
    <row r="130" spans="5:12" ht="12.75">
      <c r="E130" s="171"/>
      <c r="F130" s="171"/>
      <c r="G130" s="171"/>
      <c r="H130" s="171"/>
      <c r="I130" s="171"/>
      <c r="J130" s="171"/>
      <c r="K130" s="684"/>
      <c r="L130" s="684"/>
    </row>
    <row r="131" spans="5:12" ht="12.75">
      <c r="E131" s="171"/>
      <c r="F131" s="171"/>
      <c r="G131" s="171"/>
      <c r="H131" s="171"/>
      <c r="I131" s="171"/>
      <c r="J131" s="171"/>
      <c r="K131" s="684"/>
      <c r="L131" s="684"/>
    </row>
    <row r="132" spans="5:12" ht="12.75">
      <c r="E132" s="171"/>
      <c r="F132" s="171"/>
      <c r="G132" s="171"/>
      <c r="H132" s="171"/>
      <c r="I132" s="171"/>
      <c r="J132" s="171"/>
      <c r="K132" s="684"/>
      <c r="L132" s="684"/>
    </row>
    <row r="133" spans="5:12" ht="12.75">
      <c r="E133" s="171"/>
      <c r="F133" s="171"/>
      <c r="G133" s="171"/>
      <c r="H133" s="171"/>
      <c r="I133" s="171"/>
      <c r="J133" s="171"/>
      <c r="K133" s="684"/>
      <c r="L133" s="684"/>
    </row>
    <row r="134" spans="5:12" ht="12.75">
      <c r="E134" s="171"/>
      <c r="F134" s="171"/>
      <c r="G134" s="171"/>
      <c r="H134" s="171"/>
      <c r="I134" s="171"/>
      <c r="J134" s="171"/>
      <c r="K134" s="684"/>
      <c r="L134" s="684"/>
    </row>
    <row r="135" spans="5:12" ht="12.75">
      <c r="E135" s="171"/>
      <c r="F135" s="171"/>
      <c r="G135" s="171"/>
      <c r="H135" s="171"/>
      <c r="I135" s="171"/>
      <c r="J135" s="171"/>
      <c r="K135" s="684"/>
      <c r="L135" s="684"/>
    </row>
    <row r="136" spans="5:12" ht="12.75">
      <c r="E136" s="171"/>
      <c r="F136" s="171"/>
      <c r="G136" s="171"/>
      <c r="H136" s="171"/>
      <c r="I136" s="171"/>
      <c r="J136" s="171"/>
      <c r="K136" s="684"/>
      <c r="L136" s="684"/>
    </row>
    <row r="137" spans="5:12" ht="12.75">
      <c r="E137" s="171"/>
      <c r="F137" s="171"/>
      <c r="G137" s="171"/>
      <c r="H137" s="171"/>
      <c r="I137" s="171"/>
      <c r="J137" s="171"/>
      <c r="K137" s="684"/>
      <c r="L137" s="684"/>
    </row>
    <row r="138" spans="5:12" ht="12.75">
      <c r="E138" s="171"/>
      <c r="F138" s="171"/>
      <c r="G138" s="171"/>
      <c r="H138" s="171"/>
      <c r="I138" s="171"/>
      <c r="J138" s="171"/>
      <c r="K138" s="684"/>
      <c r="L138" s="684"/>
    </row>
    <row r="139" spans="5:12" ht="12.75">
      <c r="E139" s="171"/>
      <c r="F139" s="171"/>
      <c r="G139" s="171"/>
      <c r="H139" s="171"/>
      <c r="I139" s="171"/>
      <c r="J139" s="171"/>
      <c r="K139" s="684"/>
      <c r="L139" s="684"/>
    </row>
    <row r="140" spans="5:12" ht="12.75">
      <c r="E140" s="171"/>
      <c r="F140" s="171"/>
      <c r="G140" s="171"/>
      <c r="H140" s="171"/>
      <c r="I140" s="171"/>
      <c r="J140" s="171"/>
      <c r="K140" s="684"/>
      <c r="L140" s="684"/>
    </row>
    <row r="141" spans="5:12" ht="12.75">
      <c r="E141" s="171"/>
      <c r="F141" s="171"/>
      <c r="G141" s="171"/>
      <c r="H141" s="171"/>
      <c r="I141" s="171"/>
      <c r="J141" s="171"/>
      <c r="K141" s="684"/>
      <c r="L141" s="684"/>
    </row>
    <row r="142" spans="5:12" ht="12.75">
      <c r="E142" s="171"/>
      <c r="F142" s="171"/>
      <c r="G142" s="171"/>
      <c r="H142" s="171"/>
      <c r="I142" s="171"/>
      <c r="J142" s="171"/>
      <c r="K142" s="684"/>
      <c r="L142" s="684"/>
    </row>
    <row r="143" spans="5:12" ht="12.75">
      <c r="E143" s="171"/>
      <c r="F143" s="171"/>
      <c r="G143" s="171"/>
      <c r="H143" s="171"/>
      <c r="I143" s="171"/>
      <c r="J143" s="171"/>
      <c r="K143" s="684"/>
      <c r="L143" s="684"/>
    </row>
    <row r="144" spans="5:12" ht="12.75">
      <c r="E144" s="171"/>
      <c r="F144" s="171"/>
      <c r="G144" s="171"/>
      <c r="H144" s="171"/>
      <c r="I144" s="171"/>
      <c r="J144" s="171"/>
      <c r="K144" s="684"/>
      <c r="L144" s="684"/>
    </row>
    <row r="145" spans="5:12" ht="12.75">
      <c r="E145" s="171"/>
      <c r="F145" s="171"/>
      <c r="G145" s="171"/>
      <c r="H145" s="171"/>
      <c r="I145" s="171"/>
      <c r="J145" s="171"/>
      <c r="K145" s="684"/>
      <c r="L145" s="684"/>
    </row>
    <row r="146" spans="5:12" ht="12.75">
      <c r="E146" s="171"/>
      <c r="F146" s="171"/>
      <c r="G146" s="171"/>
      <c r="H146" s="171"/>
      <c r="I146" s="171"/>
      <c r="J146" s="171"/>
      <c r="K146" s="684"/>
      <c r="L146" s="684"/>
    </row>
    <row r="147" spans="5:12" ht="12.75">
      <c r="E147" s="171"/>
      <c r="F147" s="171"/>
      <c r="G147" s="171"/>
      <c r="H147" s="171"/>
      <c r="I147" s="171"/>
      <c r="J147" s="171"/>
      <c r="K147" s="684"/>
      <c r="L147" s="684"/>
    </row>
    <row r="148" spans="5:12" ht="12.75">
      <c r="E148" s="171"/>
      <c r="F148" s="171"/>
      <c r="G148" s="171"/>
      <c r="H148" s="171"/>
      <c r="I148" s="171"/>
      <c r="J148" s="171"/>
      <c r="K148" s="684"/>
      <c r="L148" s="684"/>
    </row>
    <row r="149" spans="5:12" ht="12.75">
      <c r="E149" s="171"/>
      <c r="F149" s="171"/>
      <c r="G149" s="171"/>
      <c r="H149" s="171"/>
      <c r="I149" s="171"/>
      <c r="J149" s="171"/>
      <c r="K149" s="684"/>
      <c r="L149" s="684"/>
    </row>
    <row r="150" spans="5:12" ht="12.75">
      <c r="E150" s="171"/>
      <c r="F150" s="171"/>
      <c r="G150" s="171"/>
      <c r="H150" s="171"/>
      <c r="I150" s="171"/>
      <c r="J150" s="171"/>
      <c r="K150" s="684"/>
      <c r="L150" s="684"/>
    </row>
    <row r="151" spans="5:12" ht="12.75">
      <c r="E151" s="171"/>
      <c r="F151" s="171"/>
      <c r="G151" s="171"/>
      <c r="H151" s="171"/>
      <c r="I151" s="171"/>
      <c r="J151" s="171"/>
      <c r="K151" s="684"/>
      <c r="L151" s="684"/>
    </row>
    <row r="152" spans="5:12" ht="12.75">
      <c r="E152" s="171"/>
      <c r="F152" s="171"/>
      <c r="G152" s="171"/>
      <c r="H152" s="171"/>
      <c r="I152" s="171"/>
      <c r="J152" s="171"/>
      <c r="K152" s="684"/>
      <c r="L152" s="684"/>
    </row>
    <row r="153" spans="5:12" ht="12.75">
      <c r="E153" s="171"/>
      <c r="F153" s="171"/>
      <c r="G153" s="171"/>
      <c r="H153" s="171"/>
      <c r="I153" s="171"/>
      <c r="J153" s="171"/>
      <c r="K153" s="684"/>
      <c r="L153" s="684"/>
    </row>
    <row r="154" spans="5:12" ht="12.75">
      <c r="E154" s="171"/>
      <c r="F154" s="171"/>
      <c r="G154" s="171"/>
      <c r="H154" s="171"/>
      <c r="I154" s="171"/>
      <c r="J154" s="171"/>
      <c r="K154" s="684"/>
      <c r="L154" s="684"/>
    </row>
    <row r="155" spans="5:12" ht="12.75">
      <c r="E155" s="171"/>
      <c r="F155" s="171"/>
      <c r="G155" s="171"/>
      <c r="H155" s="171"/>
      <c r="I155" s="171"/>
      <c r="J155" s="171"/>
      <c r="K155" s="684"/>
      <c r="L155" s="684"/>
    </row>
    <row r="156" spans="5:12" ht="12.75">
      <c r="E156" s="171"/>
      <c r="F156" s="171"/>
      <c r="G156" s="171"/>
      <c r="H156" s="171"/>
      <c r="I156" s="171"/>
      <c r="J156" s="171"/>
      <c r="K156" s="684"/>
      <c r="L156" s="684"/>
    </row>
    <row r="157" spans="5:12" ht="12.75">
      <c r="E157" s="171"/>
      <c r="F157" s="171"/>
      <c r="G157" s="171"/>
      <c r="H157" s="171"/>
      <c r="I157" s="171"/>
      <c r="J157" s="171"/>
      <c r="K157" s="684"/>
      <c r="L157" s="684"/>
    </row>
    <row r="158" spans="5:12" ht="12.75">
      <c r="E158" s="171"/>
      <c r="F158" s="171"/>
      <c r="G158" s="171"/>
      <c r="H158" s="171"/>
      <c r="I158" s="171"/>
      <c r="J158" s="171"/>
      <c r="K158" s="684"/>
      <c r="L158" s="684"/>
    </row>
    <row r="159" spans="5:12" ht="12.75">
      <c r="E159" s="171"/>
      <c r="F159" s="171"/>
      <c r="G159" s="171"/>
      <c r="H159" s="171"/>
      <c r="I159" s="171"/>
      <c r="J159" s="171"/>
      <c r="K159" s="684"/>
      <c r="L159" s="684"/>
    </row>
    <row r="160" spans="5:12" ht="12.75">
      <c r="E160" s="171"/>
      <c r="F160" s="171"/>
      <c r="G160" s="171"/>
      <c r="H160" s="171"/>
      <c r="I160" s="171"/>
      <c r="J160" s="171"/>
      <c r="K160" s="684"/>
      <c r="L160" s="684"/>
    </row>
    <row r="161" spans="5:12" ht="12.75">
      <c r="E161" s="171"/>
      <c r="F161" s="171"/>
      <c r="G161" s="171"/>
      <c r="H161" s="171"/>
      <c r="I161" s="171"/>
      <c r="J161" s="171"/>
      <c r="K161" s="684"/>
      <c r="L161" s="684"/>
    </row>
    <row r="162" spans="5:12" ht="12.75">
      <c r="E162" s="171"/>
      <c r="F162" s="171"/>
      <c r="G162" s="171"/>
      <c r="H162" s="171"/>
      <c r="I162" s="171"/>
      <c r="J162" s="171"/>
      <c r="K162" s="684"/>
      <c r="L162" s="684"/>
    </row>
    <row r="163" spans="5:12" ht="12.75">
      <c r="E163" s="171"/>
      <c r="F163" s="171"/>
      <c r="G163" s="171"/>
      <c r="H163" s="171"/>
      <c r="I163" s="171"/>
      <c r="J163" s="171"/>
      <c r="K163" s="684"/>
      <c r="L163" s="684"/>
    </row>
    <row r="164" spans="5:12" ht="12.75">
      <c r="E164" s="171"/>
      <c r="F164" s="171"/>
      <c r="G164" s="171"/>
      <c r="H164" s="171"/>
      <c r="I164" s="171"/>
      <c r="J164" s="171"/>
      <c r="K164" s="684"/>
      <c r="L164" s="684"/>
    </row>
    <row r="165" spans="5:12" ht="12.75">
      <c r="E165" s="171"/>
      <c r="F165" s="171"/>
      <c r="G165" s="171"/>
      <c r="H165" s="171"/>
      <c r="I165" s="171"/>
      <c r="J165" s="171"/>
      <c r="K165" s="684"/>
      <c r="L165" s="684"/>
    </row>
    <row r="166" spans="5:12" ht="12.75">
      <c r="E166" s="171"/>
      <c r="F166" s="171"/>
      <c r="G166" s="171"/>
      <c r="H166" s="171"/>
      <c r="I166" s="171"/>
      <c r="J166" s="171"/>
      <c r="K166" s="684"/>
      <c r="L166" s="684"/>
    </row>
    <row r="167" spans="5:12" ht="12.75">
      <c r="E167" s="171"/>
      <c r="F167" s="171"/>
      <c r="G167" s="171"/>
      <c r="H167" s="171"/>
      <c r="I167" s="171"/>
      <c r="J167" s="171"/>
      <c r="K167" s="684"/>
      <c r="L167" s="684"/>
    </row>
    <row r="168" spans="5:12" ht="12.75">
      <c r="E168" s="171"/>
      <c r="F168" s="171"/>
      <c r="G168" s="171"/>
      <c r="H168" s="171"/>
      <c r="I168" s="171"/>
      <c r="J168" s="171"/>
      <c r="K168" s="684"/>
      <c r="L168" s="684"/>
    </row>
    <row r="169" spans="5:12" ht="12.75">
      <c r="E169" s="171"/>
      <c r="F169" s="171"/>
      <c r="G169" s="171"/>
      <c r="H169" s="171"/>
      <c r="I169" s="171"/>
      <c r="J169" s="171"/>
      <c r="K169" s="684"/>
      <c r="L169" s="684"/>
    </row>
    <row r="170" spans="5:12" ht="12.75">
      <c r="E170" s="171"/>
      <c r="F170" s="171"/>
      <c r="G170" s="171"/>
      <c r="H170" s="171"/>
      <c r="I170" s="171"/>
      <c r="J170" s="171"/>
      <c r="K170" s="684"/>
      <c r="L170" s="684"/>
    </row>
    <row r="171" spans="5:12" ht="12.75">
      <c r="E171" s="171"/>
      <c r="F171" s="171"/>
      <c r="G171" s="171"/>
      <c r="H171" s="171"/>
      <c r="I171" s="171"/>
      <c r="J171" s="171"/>
      <c r="K171" s="684"/>
      <c r="L171" s="684"/>
    </row>
    <row r="172" spans="5:12" ht="12.75">
      <c r="E172" s="171"/>
      <c r="F172" s="171"/>
      <c r="G172" s="171"/>
      <c r="H172" s="171"/>
      <c r="I172" s="171"/>
      <c r="J172" s="171"/>
      <c r="K172" s="684"/>
      <c r="L172" s="684"/>
    </row>
    <row r="173" spans="5:12" ht="12.75">
      <c r="E173" s="171"/>
      <c r="F173" s="171"/>
      <c r="G173" s="171"/>
      <c r="H173" s="171"/>
      <c r="I173" s="171"/>
      <c r="J173" s="171"/>
      <c r="K173" s="684"/>
      <c r="L173" s="684"/>
    </row>
    <row r="174" spans="5:12" ht="12.75">
      <c r="E174" s="171"/>
      <c r="F174" s="171"/>
      <c r="G174" s="171"/>
      <c r="H174" s="171"/>
      <c r="I174" s="171"/>
      <c r="J174" s="171"/>
      <c r="K174" s="684"/>
      <c r="L174" s="684"/>
    </row>
    <row r="175" spans="5:12" ht="12.75">
      <c r="E175" s="171"/>
      <c r="F175" s="171"/>
      <c r="G175" s="171"/>
      <c r="H175" s="171"/>
      <c r="I175" s="171"/>
      <c r="J175" s="171"/>
      <c r="K175" s="684"/>
      <c r="L175" s="684"/>
    </row>
    <row r="176" spans="5:12" ht="12.75">
      <c r="E176" s="171"/>
      <c r="F176" s="171"/>
      <c r="G176" s="171"/>
      <c r="H176" s="171"/>
      <c r="I176" s="171"/>
      <c r="J176" s="171"/>
      <c r="K176" s="684"/>
      <c r="L176" s="684"/>
    </row>
    <row r="177" spans="5:12" ht="12.75">
      <c r="E177" s="171"/>
      <c r="F177" s="171"/>
      <c r="G177" s="171"/>
      <c r="H177" s="171"/>
      <c r="I177" s="171"/>
      <c r="J177" s="171"/>
      <c r="K177" s="684"/>
      <c r="L177" s="684"/>
    </row>
  </sheetData>
  <sheetProtection/>
  <mergeCells count="22">
    <mergeCell ref="D6:D8"/>
    <mergeCell ref="Q7:Q8"/>
    <mergeCell ref="B4:Q4"/>
    <mergeCell ref="C6:C8"/>
    <mergeCell ref="B5:L5"/>
    <mergeCell ref="E6:L6"/>
    <mergeCell ref="P7:P8"/>
    <mergeCell ref="N5:P5"/>
    <mergeCell ref="F7:F8"/>
    <mergeCell ref="G7:G8"/>
    <mergeCell ref="N7:N8"/>
    <mergeCell ref="J7:J8"/>
    <mergeCell ref="H7:H8"/>
    <mergeCell ref="L7:L8"/>
    <mergeCell ref="N6:P6"/>
    <mergeCell ref="I7:I8"/>
    <mergeCell ref="O7:O8"/>
    <mergeCell ref="K7:K8"/>
    <mergeCell ref="R4:R8"/>
    <mergeCell ref="V4:V8"/>
    <mergeCell ref="T4:T8"/>
    <mergeCell ref="U4:U8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421875" style="6" customWidth="1"/>
    <col min="3" max="3" width="2.8515625" style="5" customWidth="1"/>
    <col min="4" max="4" width="2.57421875" style="5" customWidth="1"/>
    <col min="5" max="5" width="39.7109375" style="0" customWidth="1"/>
    <col min="6" max="6" width="8.8515625" style="0" customWidth="1"/>
    <col min="7" max="7" width="9.00390625" style="0" customWidth="1"/>
    <col min="8" max="8" width="10.140625" style="0" customWidth="1"/>
    <col min="9" max="9" width="10.00390625" style="0" customWidth="1"/>
    <col min="10" max="10" width="13.28125" style="0" customWidth="1"/>
    <col min="11" max="11" width="12.28125" style="487" customWidth="1"/>
    <col min="12" max="12" width="7.00390625" style="976" customWidth="1"/>
    <col min="13" max="13" width="1.1484375" style="121" customWidth="1"/>
    <col min="14" max="14" width="7.8515625" style="0" customWidth="1"/>
    <col min="15" max="15" width="5.57421875" style="0" customWidth="1"/>
    <col min="16" max="16" width="12.8515625" style="0" customWidth="1"/>
    <col min="17" max="17" width="11.28125" style="0" customWidth="1"/>
    <col min="18" max="18" width="6.8515625" style="0" customWidth="1"/>
    <col min="19" max="19" width="1.28515625" style="171" customWidth="1"/>
    <col min="20" max="20" width="12.00390625" style="0" customWidth="1"/>
    <col min="21" max="21" width="11.140625" style="0" customWidth="1"/>
    <col min="22" max="22" width="7.57421875" style="989" customWidth="1"/>
    <col min="23" max="23" width="9.140625" style="152" customWidth="1"/>
    <col min="24" max="24" width="11.7109375" style="152" bestFit="1" customWidth="1"/>
    <col min="25" max="26" width="9.140625" style="152" customWidth="1"/>
  </cols>
  <sheetData>
    <row r="1" spans="10:20" ht="15.75" customHeight="1">
      <c r="J1" s="189"/>
      <c r="K1" s="289"/>
      <c r="L1" s="1017"/>
      <c r="M1" s="289"/>
      <c r="N1" s="121"/>
      <c r="O1" s="121"/>
      <c r="P1" s="189"/>
      <c r="Q1" s="189"/>
      <c r="R1" s="189"/>
      <c r="S1" s="185"/>
      <c r="T1" s="191"/>
    </row>
    <row r="2" spans="3:20" ht="27">
      <c r="C2" s="264" t="s">
        <v>166</v>
      </c>
      <c r="D2" s="53"/>
      <c r="J2" s="196"/>
      <c r="K2" s="682"/>
      <c r="L2" s="1018"/>
      <c r="M2" s="196"/>
      <c r="N2" s="171"/>
      <c r="P2" s="248"/>
      <c r="Q2" s="248"/>
      <c r="R2" s="248"/>
      <c r="T2" s="248"/>
    </row>
    <row r="3" ht="13.5" thickBot="1"/>
    <row r="4" spans="2:22" ht="12.75" customHeight="1" thickBot="1">
      <c r="B4" s="1137" t="s">
        <v>306</v>
      </c>
      <c r="C4" s="1138"/>
      <c r="D4" s="1138"/>
      <c r="E4" s="1138"/>
      <c r="F4" s="1138"/>
      <c r="G4" s="1138"/>
      <c r="H4" s="1138"/>
      <c r="I4" s="1138"/>
      <c r="J4" s="1138"/>
      <c r="K4" s="1138"/>
      <c r="L4" s="1138"/>
      <c r="M4" s="1138"/>
      <c r="N4" s="1138"/>
      <c r="O4" s="1138"/>
      <c r="P4" s="1138"/>
      <c r="Q4" s="1139"/>
      <c r="R4" s="1150"/>
      <c r="S4" s="265"/>
      <c r="T4" s="1100" t="s">
        <v>405</v>
      </c>
      <c r="U4" s="1096" t="s">
        <v>465</v>
      </c>
      <c r="V4" s="1134" t="s">
        <v>494</v>
      </c>
    </row>
    <row r="5" spans="2:22" ht="18.75" customHeight="1" thickTop="1">
      <c r="B5" s="1143" t="s">
        <v>11</v>
      </c>
      <c r="C5" s="1147"/>
      <c r="D5" s="1147"/>
      <c r="E5" s="1147"/>
      <c r="F5" s="1147"/>
      <c r="G5" s="1147"/>
      <c r="H5" s="1147"/>
      <c r="I5" s="1147"/>
      <c r="J5" s="1147"/>
      <c r="K5" s="1148"/>
      <c r="L5" s="1019"/>
      <c r="M5" s="407"/>
      <c r="N5" s="1153" t="s">
        <v>294</v>
      </c>
      <c r="O5" s="1154"/>
      <c r="P5" s="1154"/>
      <c r="Q5" s="1155"/>
      <c r="R5" s="1151"/>
      <c r="S5" s="291"/>
      <c r="T5" s="1101"/>
      <c r="U5" s="1097"/>
      <c r="V5" s="1135"/>
    </row>
    <row r="6" spans="2:22" ht="12.75" customHeight="1">
      <c r="B6" s="40"/>
      <c r="C6" s="1106" t="s">
        <v>147</v>
      </c>
      <c r="D6" s="1106" t="s">
        <v>148</v>
      </c>
      <c r="E6" s="1088" t="s">
        <v>10</v>
      </c>
      <c r="F6" s="1089"/>
      <c r="G6" s="1089"/>
      <c r="H6" s="1089"/>
      <c r="I6" s="1089"/>
      <c r="J6" s="1089"/>
      <c r="K6" s="1090"/>
      <c r="L6" s="893"/>
      <c r="M6" s="392"/>
      <c r="N6" s="1118" t="s">
        <v>10</v>
      </c>
      <c r="O6" s="1089"/>
      <c r="P6" s="1089"/>
      <c r="Q6" s="1090"/>
      <c r="R6" s="1152"/>
      <c r="S6" s="292"/>
      <c r="T6" s="1101"/>
      <c r="U6" s="1097"/>
      <c r="V6" s="1135"/>
    </row>
    <row r="7" spans="2:22" ht="29.25" customHeight="1">
      <c r="B7" s="40"/>
      <c r="C7" s="1107"/>
      <c r="D7" s="1107"/>
      <c r="E7" s="433" t="s">
        <v>4</v>
      </c>
      <c r="F7" s="1111">
        <v>610</v>
      </c>
      <c r="G7" s="1113">
        <v>620</v>
      </c>
      <c r="H7" s="1113">
        <v>630</v>
      </c>
      <c r="I7" s="1113">
        <v>640</v>
      </c>
      <c r="J7" s="1125" t="s">
        <v>492</v>
      </c>
      <c r="K7" s="1094" t="s">
        <v>465</v>
      </c>
      <c r="L7" s="1127" t="s">
        <v>406</v>
      </c>
      <c r="M7" s="168"/>
      <c r="N7" s="1146">
        <v>716</v>
      </c>
      <c r="O7" s="1113">
        <v>717</v>
      </c>
      <c r="P7" s="1125" t="s">
        <v>492</v>
      </c>
      <c r="Q7" s="1094" t="s">
        <v>465</v>
      </c>
      <c r="R7" s="1149" t="s">
        <v>406</v>
      </c>
      <c r="S7" s="168"/>
      <c r="T7" s="1101"/>
      <c r="U7" s="1097"/>
      <c r="V7" s="1135"/>
    </row>
    <row r="8" spans="2:22" ht="32.25" customHeight="1" thickBot="1">
      <c r="B8" s="45"/>
      <c r="C8" s="1108"/>
      <c r="D8" s="1108"/>
      <c r="E8" s="434"/>
      <c r="F8" s="1112"/>
      <c r="G8" s="1099"/>
      <c r="H8" s="1099"/>
      <c r="I8" s="1099"/>
      <c r="J8" s="1110"/>
      <c r="K8" s="1095"/>
      <c r="L8" s="1128"/>
      <c r="M8" s="412"/>
      <c r="N8" s="1122"/>
      <c r="O8" s="1099"/>
      <c r="P8" s="1110"/>
      <c r="Q8" s="1095"/>
      <c r="R8" s="1149"/>
      <c r="S8" s="267"/>
      <c r="T8" s="1101"/>
      <c r="U8" s="1097"/>
      <c r="V8" s="1135"/>
    </row>
    <row r="9" spans="2:22" ht="24.75" customHeight="1" thickBot="1" thickTop="1">
      <c r="B9" s="30">
        <v>1</v>
      </c>
      <c r="C9" s="198" t="s">
        <v>167</v>
      </c>
      <c r="D9" s="199"/>
      <c r="E9" s="523"/>
      <c r="F9" s="577">
        <f>F10+F13+F16+F17+F19+F21+F27+F32</f>
        <v>65320</v>
      </c>
      <c r="G9" s="577">
        <f>G10+G13+G16+G17+G19+G21+G27+G32</f>
        <v>24099</v>
      </c>
      <c r="H9" s="577">
        <f>H10+H13+H16+H17+H19+H21+H27+H32</f>
        <v>164981</v>
      </c>
      <c r="I9" s="578">
        <f>I10+I13+I16+I17+I19+I21+I27+I32</f>
        <v>174000</v>
      </c>
      <c r="J9" s="631">
        <f>SUM(F9:I9)</f>
        <v>428400</v>
      </c>
      <c r="K9" s="676">
        <f>K10+K13+K16+K17+K19+K21+K27+K32</f>
        <v>221052</v>
      </c>
      <c r="L9" s="894">
        <f>K9/J9*100</f>
        <v>51.59943977591036</v>
      </c>
      <c r="M9" s="408"/>
      <c r="N9" s="579">
        <f>N10+N13+N16+N17+N19+N21+N27+N32</f>
        <v>9891</v>
      </c>
      <c r="O9" s="577">
        <f>O10+O13+O16+O17+O19+O21+O27+O32</f>
        <v>0</v>
      </c>
      <c r="P9" s="631">
        <f>SUM(N9:O9)</f>
        <v>9891</v>
      </c>
      <c r="Q9" s="676">
        <f>Q10+Q13+Q16+Q17+Q19+Q21+Q27+Q32</f>
        <v>391</v>
      </c>
      <c r="R9" s="894">
        <f>Q9/P9*100</f>
        <v>3.9530886664644624</v>
      </c>
      <c r="S9" s="282"/>
      <c r="T9" s="1021">
        <f aca="true" t="shared" si="0" ref="T9:T34">J9+P9</f>
        <v>438291</v>
      </c>
      <c r="U9" s="676">
        <f aca="true" t="shared" si="1" ref="U9:U22">K9+Q9</f>
        <v>221443</v>
      </c>
      <c r="V9" s="901">
        <f>U9/T9*100</f>
        <v>50.52419511237968</v>
      </c>
    </row>
    <row r="10" spans="2:22" ht="15.75" thickTop="1">
      <c r="B10" s="30">
        <f>B9+1</f>
        <v>2</v>
      </c>
      <c r="C10" s="41">
        <v>1</v>
      </c>
      <c r="D10" s="124" t="s">
        <v>115</v>
      </c>
      <c r="E10" s="124"/>
      <c r="F10" s="401"/>
      <c r="G10" s="402"/>
      <c r="H10" s="402">
        <f>H11+H12</f>
        <v>35000</v>
      </c>
      <c r="I10" s="402"/>
      <c r="J10" s="858">
        <f>SUM(F10:I10)</f>
        <v>35000</v>
      </c>
      <c r="K10" s="675">
        <v>10379</v>
      </c>
      <c r="L10" s="895">
        <f aca="true" t="shared" si="2" ref="L10:L34">K10/J10*100</f>
        <v>29.654285714285717</v>
      </c>
      <c r="M10" s="186"/>
      <c r="N10" s="254"/>
      <c r="O10" s="157"/>
      <c r="P10" s="865">
        <f aca="true" t="shared" si="3" ref="P10:P32">SUM(N10:O10)</f>
        <v>0</v>
      </c>
      <c r="Q10" s="675"/>
      <c r="R10" s="895"/>
      <c r="S10" s="186"/>
      <c r="T10" s="860">
        <f t="shared" si="0"/>
        <v>35000</v>
      </c>
      <c r="U10" s="675">
        <f t="shared" si="1"/>
        <v>10379</v>
      </c>
      <c r="V10" s="891">
        <f aca="true" t="shared" si="4" ref="V10:V34">U10/T10*100</f>
        <v>29.654285714285717</v>
      </c>
    </row>
    <row r="11" spans="2:22" ht="12.75">
      <c r="B11" s="30">
        <f aca="true" t="shared" si="5" ref="B11:B33">B10+1</f>
        <v>3</v>
      </c>
      <c r="C11" s="142"/>
      <c r="D11" s="142"/>
      <c r="E11" s="530" t="s">
        <v>383</v>
      </c>
      <c r="F11" s="592"/>
      <c r="G11" s="593"/>
      <c r="H11" s="594">
        <f>14445+20000</f>
        <v>34445</v>
      </c>
      <c r="I11" s="593"/>
      <c r="J11" s="628">
        <f aca="true" t="shared" si="6" ref="J11:J34">SUM(F11:I11)</f>
        <v>34445</v>
      </c>
      <c r="K11" s="669">
        <f>K10-K12</f>
        <v>9824</v>
      </c>
      <c r="L11" s="896">
        <f t="shared" si="2"/>
        <v>28.52083030918856</v>
      </c>
      <c r="M11" s="169"/>
      <c r="N11" s="542"/>
      <c r="O11" s="531"/>
      <c r="P11" s="627">
        <f>SUM(N11:O11)</f>
        <v>0</v>
      </c>
      <c r="Q11" s="669"/>
      <c r="R11" s="896"/>
      <c r="S11" s="170"/>
      <c r="T11" s="506">
        <f t="shared" si="0"/>
        <v>34445</v>
      </c>
      <c r="U11" s="669">
        <f t="shared" si="1"/>
        <v>9824</v>
      </c>
      <c r="V11" s="890">
        <f t="shared" si="4"/>
        <v>28.52083030918856</v>
      </c>
    </row>
    <row r="12" spans="2:22" ht="12.75">
      <c r="B12" s="30">
        <f t="shared" si="5"/>
        <v>4</v>
      </c>
      <c r="C12" s="142"/>
      <c r="D12" s="142"/>
      <c r="E12" s="530" t="s">
        <v>353</v>
      </c>
      <c r="F12" s="592"/>
      <c r="G12" s="593"/>
      <c r="H12" s="594">
        <v>555</v>
      </c>
      <c r="I12" s="593"/>
      <c r="J12" s="628">
        <f t="shared" si="6"/>
        <v>555</v>
      </c>
      <c r="K12" s="669">
        <v>555</v>
      </c>
      <c r="L12" s="896">
        <f t="shared" si="2"/>
        <v>100</v>
      </c>
      <c r="M12" s="169"/>
      <c r="N12" s="542"/>
      <c r="O12" s="531"/>
      <c r="P12" s="627">
        <f t="shared" si="3"/>
        <v>0</v>
      </c>
      <c r="Q12" s="669"/>
      <c r="R12" s="896"/>
      <c r="S12" s="170"/>
      <c r="T12" s="506">
        <f t="shared" si="0"/>
        <v>555</v>
      </c>
      <c r="U12" s="669">
        <f t="shared" si="1"/>
        <v>555</v>
      </c>
      <c r="V12" s="890">
        <f t="shared" si="4"/>
        <v>100</v>
      </c>
    </row>
    <row r="13" spans="1:22" ht="15">
      <c r="A13">
        <v>1</v>
      </c>
      <c r="B13" s="30">
        <f t="shared" si="5"/>
        <v>5</v>
      </c>
      <c r="C13" s="41">
        <v>2</v>
      </c>
      <c r="D13" s="124" t="s">
        <v>116</v>
      </c>
      <c r="E13" s="124"/>
      <c r="F13" s="401">
        <v>41000</v>
      </c>
      <c r="G13" s="402">
        <v>15000</v>
      </c>
      <c r="H13" s="402">
        <v>3000</v>
      </c>
      <c r="I13" s="402"/>
      <c r="J13" s="852">
        <f t="shared" si="6"/>
        <v>59000</v>
      </c>
      <c r="K13" s="672">
        <v>19426</v>
      </c>
      <c r="L13" s="895">
        <f t="shared" si="2"/>
        <v>32.925423728813556</v>
      </c>
      <c r="M13" s="186"/>
      <c r="N13" s="254"/>
      <c r="O13" s="157"/>
      <c r="P13" s="862">
        <f t="shared" si="3"/>
        <v>0</v>
      </c>
      <c r="Q13" s="672"/>
      <c r="R13" s="895"/>
      <c r="S13" s="186"/>
      <c r="T13" s="861">
        <f t="shared" si="0"/>
        <v>59000</v>
      </c>
      <c r="U13" s="672">
        <f t="shared" si="1"/>
        <v>19426</v>
      </c>
      <c r="V13" s="891">
        <f t="shared" si="4"/>
        <v>32.925423728813556</v>
      </c>
    </row>
    <row r="14" spans="2:22" ht="12.75">
      <c r="B14" s="30">
        <f t="shared" si="5"/>
        <v>6</v>
      </c>
      <c r="C14" s="142"/>
      <c r="D14" s="142"/>
      <c r="E14" s="530" t="s">
        <v>383</v>
      </c>
      <c r="F14" s="592">
        <v>41000</v>
      </c>
      <c r="G14" s="593">
        <v>15000</v>
      </c>
      <c r="H14" s="594">
        <f>H13-H15</f>
        <v>2008</v>
      </c>
      <c r="I14" s="593"/>
      <c r="J14" s="628">
        <f t="shared" si="6"/>
        <v>58008</v>
      </c>
      <c r="K14" s="669">
        <f>K13</f>
        <v>19426</v>
      </c>
      <c r="L14" s="896">
        <f t="shared" si="2"/>
        <v>33.488484346986624</v>
      </c>
      <c r="M14" s="169"/>
      <c r="N14" s="542"/>
      <c r="O14" s="531"/>
      <c r="P14" s="627">
        <f>SUM(N14:O14)</f>
        <v>0</v>
      </c>
      <c r="Q14" s="669"/>
      <c r="R14" s="896"/>
      <c r="S14" s="170"/>
      <c r="T14" s="506">
        <f t="shared" si="0"/>
        <v>58008</v>
      </c>
      <c r="U14" s="669">
        <f t="shared" si="1"/>
        <v>19426</v>
      </c>
      <c r="V14" s="890">
        <f t="shared" si="4"/>
        <v>33.488484346986624</v>
      </c>
    </row>
    <row r="15" spans="2:22" ht="12.75">
      <c r="B15" s="30">
        <f t="shared" si="5"/>
        <v>7</v>
      </c>
      <c r="C15" s="142"/>
      <c r="D15" s="142"/>
      <c r="E15" s="530" t="s">
        <v>353</v>
      </c>
      <c r="F15" s="592"/>
      <c r="G15" s="593"/>
      <c r="H15" s="594">
        <v>992</v>
      </c>
      <c r="I15" s="593"/>
      <c r="J15" s="628">
        <f t="shared" si="6"/>
        <v>992</v>
      </c>
      <c r="K15" s="669"/>
      <c r="L15" s="896">
        <f t="shared" si="2"/>
        <v>0</v>
      </c>
      <c r="M15" s="169"/>
      <c r="N15" s="542"/>
      <c r="O15" s="531"/>
      <c r="P15" s="627">
        <f t="shared" si="3"/>
        <v>0</v>
      </c>
      <c r="Q15" s="669"/>
      <c r="R15" s="896"/>
      <c r="S15" s="170"/>
      <c r="T15" s="506">
        <f t="shared" si="0"/>
        <v>992</v>
      </c>
      <c r="U15" s="669">
        <f t="shared" si="1"/>
        <v>0</v>
      </c>
      <c r="V15" s="890">
        <f t="shared" si="4"/>
        <v>0</v>
      </c>
    </row>
    <row r="16" spans="2:22" ht="15">
      <c r="B16" s="30">
        <f t="shared" si="5"/>
        <v>8</v>
      </c>
      <c r="C16" s="41">
        <v>3</v>
      </c>
      <c r="D16" s="124" t="s">
        <v>163</v>
      </c>
      <c r="E16" s="124"/>
      <c r="F16" s="436">
        <v>17000</v>
      </c>
      <c r="G16" s="436">
        <v>6500</v>
      </c>
      <c r="H16" s="436">
        <v>500</v>
      </c>
      <c r="I16" s="402"/>
      <c r="J16" s="852">
        <f t="shared" si="6"/>
        <v>24000</v>
      </c>
      <c r="K16" s="672">
        <f>9710+728</f>
        <v>10438</v>
      </c>
      <c r="L16" s="895">
        <f t="shared" si="2"/>
        <v>43.49166666666667</v>
      </c>
      <c r="M16" s="186"/>
      <c r="N16" s="259"/>
      <c r="O16" s="157"/>
      <c r="P16" s="862">
        <f t="shared" si="3"/>
        <v>0</v>
      </c>
      <c r="Q16" s="672"/>
      <c r="R16" s="895"/>
      <c r="S16" s="186"/>
      <c r="T16" s="861">
        <f t="shared" si="0"/>
        <v>24000</v>
      </c>
      <c r="U16" s="672">
        <f t="shared" si="1"/>
        <v>10438</v>
      </c>
      <c r="V16" s="891">
        <f t="shared" si="4"/>
        <v>43.49166666666667</v>
      </c>
    </row>
    <row r="17" spans="2:22" ht="15">
      <c r="B17" s="30">
        <f t="shared" si="5"/>
        <v>9</v>
      </c>
      <c r="C17" s="36">
        <v>4</v>
      </c>
      <c r="D17" s="125" t="s">
        <v>117</v>
      </c>
      <c r="E17" s="125"/>
      <c r="F17" s="436">
        <f>F18</f>
        <v>0</v>
      </c>
      <c r="G17" s="437">
        <f>G18</f>
        <v>0</v>
      </c>
      <c r="H17" s="437">
        <f>H18</f>
        <v>31000</v>
      </c>
      <c r="I17" s="437"/>
      <c r="J17" s="852">
        <f t="shared" si="6"/>
        <v>31000</v>
      </c>
      <c r="K17" s="672">
        <f>K18</f>
        <v>23831</v>
      </c>
      <c r="L17" s="895">
        <f t="shared" si="2"/>
        <v>76.8741935483871</v>
      </c>
      <c r="M17" s="186"/>
      <c r="N17" s="259"/>
      <c r="O17" s="159"/>
      <c r="P17" s="862">
        <f t="shared" si="3"/>
        <v>0</v>
      </c>
      <c r="Q17" s="672"/>
      <c r="R17" s="895"/>
      <c r="S17" s="186"/>
      <c r="T17" s="861">
        <f t="shared" si="0"/>
        <v>31000</v>
      </c>
      <c r="U17" s="672">
        <f t="shared" si="1"/>
        <v>23831</v>
      </c>
      <c r="V17" s="891">
        <f t="shared" si="4"/>
        <v>76.8741935483871</v>
      </c>
    </row>
    <row r="18" spans="2:26" s="44" customFormat="1" ht="12.75">
      <c r="B18" s="30">
        <f t="shared" si="5"/>
        <v>10</v>
      </c>
      <c r="C18" s="32"/>
      <c r="D18" s="32"/>
      <c r="E18" s="440" t="s">
        <v>315</v>
      </c>
      <c r="F18" s="604"/>
      <c r="G18" s="604"/>
      <c r="H18" s="604">
        <v>31000</v>
      </c>
      <c r="I18" s="604"/>
      <c r="J18" s="627">
        <f t="shared" si="6"/>
        <v>31000</v>
      </c>
      <c r="K18" s="669">
        <v>23831</v>
      </c>
      <c r="L18" s="896">
        <f t="shared" si="2"/>
        <v>76.8741935483871</v>
      </c>
      <c r="M18" s="414"/>
      <c r="N18" s="256"/>
      <c r="O18" s="160"/>
      <c r="P18" s="627">
        <f t="shared" si="3"/>
        <v>0</v>
      </c>
      <c r="Q18" s="669"/>
      <c r="R18" s="896"/>
      <c r="S18" s="258"/>
      <c r="T18" s="506">
        <f t="shared" si="0"/>
        <v>31000</v>
      </c>
      <c r="U18" s="669">
        <f t="shared" si="1"/>
        <v>23831</v>
      </c>
      <c r="V18" s="890">
        <f t="shared" si="4"/>
        <v>76.8741935483871</v>
      </c>
      <c r="W18" s="152"/>
      <c r="X18" s="152"/>
      <c r="Y18" s="306"/>
      <c r="Z18" s="306"/>
    </row>
    <row r="19" spans="2:22" ht="15">
      <c r="B19" s="30">
        <f t="shared" si="5"/>
        <v>11</v>
      </c>
      <c r="C19" s="36">
        <v>5</v>
      </c>
      <c r="D19" s="125" t="s">
        <v>168</v>
      </c>
      <c r="E19" s="125"/>
      <c r="F19" s="436">
        <f>F20</f>
        <v>6340</v>
      </c>
      <c r="G19" s="437">
        <f>G20</f>
        <v>2251</v>
      </c>
      <c r="H19" s="437">
        <f>H20</f>
        <v>1409</v>
      </c>
      <c r="I19" s="437"/>
      <c r="J19" s="852">
        <f t="shared" si="6"/>
        <v>10000</v>
      </c>
      <c r="K19" s="672">
        <f>K20</f>
        <v>4929</v>
      </c>
      <c r="L19" s="895">
        <f t="shared" si="2"/>
        <v>49.29</v>
      </c>
      <c r="M19" s="186"/>
      <c r="N19" s="259"/>
      <c r="O19" s="159"/>
      <c r="P19" s="862">
        <f t="shared" si="3"/>
        <v>0</v>
      </c>
      <c r="Q19" s="672"/>
      <c r="R19" s="895"/>
      <c r="S19" s="186"/>
      <c r="T19" s="861">
        <f t="shared" si="0"/>
        <v>10000</v>
      </c>
      <c r="U19" s="672">
        <f t="shared" si="1"/>
        <v>4929</v>
      </c>
      <c r="V19" s="891">
        <f t="shared" si="4"/>
        <v>49.29</v>
      </c>
    </row>
    <row r="20" spans="2:22" ht="12.75">
      <c r="B20" s="30">
        <f t="shared" si="5"/>
        <v>12</v>
      </c>
      <c r="C20" s="28"/>
      <c r="D20" s="54"/>
      <c r="E20" s="145" t="s">
        <v>296</v>
      </c>
      <c r="F20" s="604">
        <v>6340</v>
      </c>
      <c r="G20" s="604">
        <v>2251</v>
      </c>
      <c r="H20" s="604">
        <v>1409</v>
      </c>
      <c r="I20" s="604"/>
      <c r="J20" s="627">
        <f t="shared" si="6"/>
        <v>10000</v>
      </c>
      <c r="K20" s="669">
        <v>4929</v>
      </c>
      <c r="L20" s="896">
        <f t="shared" si="2"/>
        <v>49.29</v>
      </c>
      <c r="M20" s="409"/>
      <c r="N20" s="274"/>
      <c r="O20" s="155"/>
      <c r="P20" s="627">
        <f t="shared" si="3"/>
        <v>0</v>
      </c>
      <c r="Q20" s="669"/>
      <c r="R20" s="896"/>
      <c r="S20" s="169"/>
      <c r="T20" s="506">
        <f t="shared" si="0"/>
        <v>10000</v>
      </c>
      <c r="U20" s="669">
        <f t="shared" si="1"/>
        <v>4929</v>
      </c>
      <c r="V20" s="890">
        <f t="shared" si="4"/>
        <v>49.29</v>
      </c>
    </row>
    <row r="21" spans="2:22" ht="15">
      <c r="B21" s="30">
        <f t="shared" si="5"/>
        <v>13</v>
      </c>
      <c r="C21" s="36">
        <v>6</v>
      </c>
      <c r="D21" s="125" t="s">
        <v>228</v>
      </c>
      <c r="E21" s="125"/>
      <c r="F21" s="436"/>
      <c r="G21" s="436"/>
      <c r="H21" s="436">
        <v>90000</v>
      </c>
      <c r="I21" s="437"/>
      <c r="J21" s="852">
        <f t="shared" si="6"/>
        <v>90000</v>
      </c>
      <c r="K21" s="672">
        <f>49482+K23</f>
        <v>55066</v>
      </c>
      <c r="L21" s="895">
        <f t="shared" si="2"/>
        <v>61.18444444444444</v>
      </c>
      <c r="M21" s="186"/>
      <c r="N21" s="259">
        <f>N24+N25</f>
        <v>9891</v>
      </c>
      <c r="O21" s="159"/>
      <c r="P21" s="862">
        <f t="shared" si="3"/>
        <v>9891</v>
      </c>
      <c r="Q21" s="672">
        <f>SUM(Q22:Q26)</f>
        <v>391</v>
      </c>
      <c r="R21" s="895">
        <f>Q21/P21*100</f>
        <v>3.9530886664644624</v>
      </c>
      <c r="S21" s="186"/>
      <c r="T21" s="861">
        <f t="shared" si="0"/>
        <v>99891</v>
      </c>
      <c r="U21" s="672">
        <f t="shared" si="1"/>
        <v>55457</v>
      </c>
      <c r="V21" s="891">
        <f t="shared" si="4"/>
        <v>55.51751409035849</v>
      </c>
    </row>
    <row r="22" spans="2:22" ht="12.75">
      <c r="B22" s="30">
        <f t="shared" si="5"/>
        <v>14</v>
      </c>
      <c r="C22" s="142"/>
      <c r="D22" s="142"/>
      <c r="E22" s="530" t="s">
        <v>383</v>
      </c>
      <c r="F22" s="592"/>
      <c r="G22" s="593"/>
      <c r="H22" s="594">
        <f>H21-H26</f>
        <v>80181</v>
      </c>
      <c r="I22" s="593"/>
      <c r="J22" s="628">
        <f t="shared" si="6"/>
        <v>80181</v>
      </c>
      <c r="K22" s="669">
        <f>K21-K23-K26</f>
        <v>49464</v>
      </c>
      <c r="L22" s="896">
        <f t="shared" si="2"/>
        <v>61.69042541250421</v>
      </c>
      <c r="M22" s="169"/>
      <c r="N22" s="542"/>
      <c r="O22" s="531"/>
      <c r="P22" s="627">
        <f>SUM(N22:O22)</f>
        <v>0</v>
      </c>
      <c r="Q22" s="669"/>
      <c r="R22" s="896"/>
      <c r="S22" s="170"/>
      <c r="T22" s="506">
        <f t="shared" si="0"/>
        <v>80181</v>
      </c>
      <c r="U22" s="669">
        <f t="shared" si="1"/>
        <v>49464</v>
      </c>
      <c r="V22" s="890">
        <f t="shared" si="4"/>
        <v>61.69042541250421</v>
      </c>
    </row>
    <row r="23" spans="2:22" ht="12.75">
      <c r="B23" s="30">
        <f t="shared" si="5"/>
        <v>15</v>
      </c>
      <c r="C23" s="142"/>
      <c r="D23" s="142"/>
      <c r="E23" s="530" t="s">
        <v>470</v>
      </c>
      <c r="F23" s="592"/>
      <c r="G23" s="592"/>
      <c r="H23" s="926"/>
      <c r="I23" s="592"/>
      <c r="J23" s="628"/>
      <c r="K23" s="669">
        <v>5584</v>
      </c>
      <c r="L23" s="896"/>
      <c r="M23" s="169"/>
      <c r="N23" s="542"/>
      <c r="O23" s="531"/>
      <c r="P23" s="627"/>
      <c r="Q23" s="669"/>
      <c r="R23" s="896"/>
      <c r="S23" s="170"/>
      <c r="T23" s="506"/>
      <c r="U23" s="669"/>
      <c r="V23" s="890"/>
    </row>
    <row r="24" spans="2:22" ht="12.75">
      <c r="B24" s="30">
        <f t="shared" si="5"/>
        <v>16</v>
      </c>
      <c r="C24" s="28"/>
      <c r="D24" s="54"/>
      <c r="E24" s="539" t="s">
        <v>354</v>
      </c>
      <c r="F24" s="604"/>
      <c r="G24" s="604"/>
      <c r="H24" s="604"/>
      <c r="I24" s="604"/>
      <c r="J24" s="627">
        <f t="shared" si="6"/>
        <v>0</v>
      </c>
      <c r="K24" s="669"/>
      <c r="L24" s="896"/>
      <c r="M24" s="409"/>
      <c r="N24" s="348">
        <v>9500</v>
      </c>
      <c r="O24" s="328"/>
      <c r="P24" s="627">
        <f t="shared" si="3"/>
        <v>9500</v>
      </c>
      <c r="Q24" s="669"/>
      <c r="R24" s="896"/>
      <c r="S24" s="169"/>
      <c r="T24" s="506">
        <f t="shared" si="0"/>
        <v>9500</v>
      </c>
      <c r="U24" s="669">
        <f aca="true" t="shared" si="7" ref="U24:U34">K24+Q24</f>
        <v>0</v>
      </c>
      <c r="V24" s="890">
        <f t="shared" si="4"/>
        <v>0</v>
      </c>
    </row>
    <row r="25" spans="2:22" ht="12.75">
      <c r="B25" s="30">
        <f t="shared" si="5"/>
        <v>17</v>
      </c>
      <c r="C25" s="28"/>
      <c r="D25" s="507"/>
      <c r="E25" s="539" t="s">
        <v>355</v>
      </c>
      <c r="F25" s="604"/>
      <c r="G25" s="604"/>
      <c r="H25" s="604"/>
      <c r="I25" s="604"/>
      <c r="J25" s="627">
        <f t="shared" si="6"/>
        <v>0</v>
      </c>
      <c r="K25" s="669"/>
      <c r="L25" s="896"/>
      <c r="M25" s="409"/>
      <c r="N25" s="348">
        <v>391</v>
      </c>
      <c r="O25" s="328"/>
      <c r="P25" s="627">
        <f t="shared" si="3"/>
        <v>391</v>
      </c>
      <c r="Q25" s="669">
        <v>391</v>
      </c>
      <c r="R25" s="896">
        <f>Q25/P25*100</f>
        <v>100</v>
      </c>
      <c r="S25" s="169"/>
      <c r="T25" s="506">
        <f t="shared" si="0"/>
        <v>391</v>
      </c>
      <c r="U25" s="669">
        <f t="shared" si="7"/>
        <v>391</v>
      </c>
      <c r="V25" s="890">
        <f t="shared" si="4"/>
        <v>100</v>
      </c>
    </row>
    <row r="26" spans="2:22" ht="12.75">
      <c r="B26" s="30">
        <f t="shared" si="5"/>
        <v>18</v>
      </c>
      <c r="C26" s="142"/>
      <c r="D26" s="142"/>
      <c r="E26" s="530" t="s">
        <v>353</v>
      </c>
      <c r="F26" s="592"/>
      <c r="G26" s="593"/>
      <c r="H26" s="594">
        <f>9618+201</f>
        <v>9819</v>
      </c>
      <c r="I26" s="593"/>
      <c r="J26" s="628">
        <f t="shared" si="6"/>
        <v>9819</v>
      </c>
      <c r="K26" s="669">
        <v>18</v>
      </c>
      <c r="L26" s="896">
        <f t="shared" si="2"/>
        <v>0.18331805682859761</v>
      </c>
      <c r="M26" s="169"/>
      <c r="N26" s="542"/>
      <c r="O26" s="531"/>
      <c r="P26" s="627">
        <f t="shared" si="3"/>
        <v>0</v>
      </c>
      <c r="Q26" s="669"/>
      <c r="R26" s="896"/>
      <c r="S26" s="170"/>
      <c r="T26" s="506">
        <f t="shared" si="0"/>
        <v>9819</v>
      </c>
      <c r="U26" s="669">
        <f t="shared" si="7"/>
        <v>18</v>
      </c>
      <c r="V26" s="890">
        <f t="shared" si="4"/>
        <v>0.18331805682859761</v>
      </c>
    </row>
    <row r="27" spans="2:22" ht="15">
      <c r="B27" s="30">
        <f t="shared" si="5"/>
        <v>19</v>
      </c>
      <c r="C27" s="36">
        <v>7</v>
      </c>
      <c r="D27" s="125" t="s">
        <v>229</v>
      </c>
      <c r="E27" s="125"/>
      <c r="F27" s="436">
        <f>F28</f>
        <v>980</v>
      </c>
      <c r="G27" s="436">
        <f>G28</f>
        <v>348</v>
      </c>
      <c r="H27" s="436">
        <f>SUM(H28:H31)</f>
        <v>4072</v>
      </c>
      <c r="I27" s="436"/>
      <c r="J27" s="852">
        <f t="shared" si="6"/>
        <v>5400</v>
      </c>
      <c r="K27" s="672">
        <f>SUM(K28:K31)+78</f>
        <v>2296</v>
      </c>
      <c r="L27" s="895">
        <f t="shared" si="2"/>
        <v>42.51851851851852</v>
      </c>
      <c r="M27" s="186"/>
      <c r="N27" s="259"/>
      <c r="O27" s="159"/>
      <c r="P27" s="862">
        <f t="shared" si="3"/>
        <v>0</v>
      </c>
      <c r="Q27" s="672"/>
      <c r="R27" s="895"/>
      <c r="S27" s="186"/>
      <c r="T27" s="861">
        <f t="shared" si="0"/>
        <v>5400</v>
      </c>
      <c r="U27" s="672">
        <f t="shared" si="7"/>
        <v>2296</v>
      </c>
      <c r="V27" s="891">
        <f t="shared" si="4"/>
        <v>42.51851851851852</v>
      </c>
    </row>
    <row r="28" spans="2:26" s="44" customFormat="1" ht="12.75">
      <c r="B28" s="30">
        <f t="shared" si="5"/>
        <v>20</v>
      </c>
      <c r="C28" s="39"/>
      <c r="D28" s="293"/>
      <c r="E28" s="440" t="s">
        <v>315</v>
      </c>
      <c r="F28" s="604">
        <v>980</v>
      </c>
      <c r="G28" s="604">
        <v>348</v>
      </c>
      <c r="H28" s="604">
        <v>2172</v>
      </c>
      <c r="I28" s="605"/>
      <c r="J28" s="627">
        <f t="shared" si="6"/>
        <v>3500</v>
      </c>
      <c r="K28" s="669">
        <v>318</v>
      </c>
      <c r="L28" s="896">
        <f t="shared" si="2"/>
        <v>9.085714285714285</v>
      </c>
      <c r="M28" s="414"/>
      <c r="N28" s="256"/>
      <c r="O28" s="160"/>
      <c r="P28" s="627">
        <f t="shared" si="3"/>
        <v>0</v>
      </c>
      <c r="Q28" s="669"/>
      <c r="R28" s="896"/>
      <c r="S28" s="258"/>
      <c r="T28" s="506">
        <f t="shared" si="0"/>
        <v>3500</v>
      </c>
      <c r="U28" s="669">
        <f t="shared" si="7"/>
        <v>318</v>
      </c>
      <c r="V28" s="890">
        <f t="shared" si="4"/>
        <v>9.085714285714285</v>
      </c>
      <c r="W28" s="152"/>
      <c r="X28" s="152"/>
      <c r="Y28" s="306"/>
      <c r="Z28" s="306"/>
    </row>
    <row r="29" spans="2:26" s="44" customFormat="1" ht="12.75">
      <c r="B29" s="30">
        <f t="shared" si="5"/>
        <v>21</v>
      </c>
      <c r="C29" s="39"/>
      <c r="D29" s="293"/>
      <c r="E29" s="440" t="s">
        <v>340</v>
      </c>
      <c r="F29" s="604"/>
      <c r="G29" s="604"/>
      <c r="H29" s="604">
        <v>0</v>
      </c>
      <c r="I29" s="605"/>
      <c r="J29" s="627">
        <f t="shared" si="6"/>
        <v>0</v>
      </c>
      <c r="K29" s="669"/>
      <c r="L29" s="896"/>
      <c r="M29" s="414"/>
      <c r="N29" s="521"/>
      <c r="O29" s="522"/>
      <c r="P29" s="627">
        <f t="shared" si="3"/>
        <v>0</v>
      </c>
      <c r="Q29" s="669"/>
      <c r="R29" s="896"/>
      <c r="S29" s="258"/>
      <c r="T29" s="506">
        <f t="shared" si="0"/>
        <v>0</v>
      </c>
      <c r="U29" s="669">
        <f t="shared" si="7"/>
        <v>0</v>
      </c>
      <c r="V29" s="890"/>
      <c r="W29" s="152"/>
      <c r="X29" s="152"/>
      <c r="Y29" s="306"/>
      <c r="Z29" s="306"/>
    </row>
    <row r="30" spans="2:26" s="44" customFormat="1" ht="12.75">
      <c r="B30" s="30">
        <f t="shared" si="5"/>
        <v>22</v>
      </c>
      <c r="C30" s="39"/>
      <c r="D30" s="293"/>
      <c r="E30" s="440" t="s">
        <v>341</v>
      </c>
      <c r="F30" s="604"/>
      <c r="G30" s="604"/>
      <c r="H30" s="604">
        <v>0</v>
      </c>
      <c r="I30" s="605"/>
      <c r="J30" s="627">
        <f t="shared" si="6"/>
        <v>0</v>
      </c>
      <c r="K30" s="669"/>
      <c r="L30" s="896"/>
      <c r="M30" s="414"/>
      <c r="N30" s="521"/>
      <c r="O30" s="522"/>
      <c r="P30" s="627">
        <f t="shared" si="3"/>
        <v>0</v>
      </c>
      <c r="Q30" s="669"/>
      <c r="R30" s="896"/>
      <c r="S30" s="258"/>
      <c r="T30" s="506">
        <f t="shared" si="0"/>
        <v>0</v>
      </c>
      <c r="U30" s="669">
        <f t="shared" si="7"/>
        <v>0</v>
      </c>
      <c r="V30" s="890"/>
      <c r="W30" s="152"/>
      <c r="X30" s="152"/>
      <c r="Y30" s="306"/>
      <c r="Z30" s="306"/>
    </row>
    <row r="31" spans="2:22" ht="12.75">
      <c r="B31" s="30">
        <f t="shared" si="5"/>
        <v>23</v>
      </c>
      <c r="C31" s="142"/>
      <c r="D31" s="142"/>
      <c r="E31" s="530" t="s">
        <v>353</v>
      </c>
      <c r="F31" s="592"/>
      <c r="G31" s="593"/>
      <c r="H31" s="594">
        <v>1900</v>
      </c>
      <c r="I31" s="593"/>
      <c r="J31" s="628">
        <f t="shared" si="6"/>
        <v>1900</v>
      </c>
      <c r="K31" s="669">
        <v>1900</v>
      </c>
      <c r="L31" s="896">
        <f t="shared" si="2"/>
        <v>100</v>
      </c>
      <c r="M31" s="169"/>
      <c r="N31" s="542"/>
      <c r="O31" s="531"/>
      <c r="P31" s="627">
        <f t="shared" si="3"/>
        <v>0</v>
      </c>
      <c r="Q31" s="669"/>
      <c r="R31" s="896"/>
      <c r="S31" s="170"/>
      <c r="T31" s="506">
        <f t="shared" si="0"/>
        <v>1900</v>
      </c>
      <c r="U31" s="669">
        <f t="shared" si="7"/>
        <v>1900</v>
      </c>
      <c r="V31" s="890">
        <f t="shared" si="4"/>
        <v>100</v>
      </c>
    </row>
    <row r="32" spans="2:22" ht="15">
      <c r="B32" s="30">
        <f t="shared" si="5"/>
        <v>24</v>
      </c>
      <c r="C32" s="36">
        <v>8</v>
      </c>
      <c r="D32" s="37" t="s">
        <v>80</v>
      </c>
      <c r="E32" s="125"/>
      <c r="F32" s="436"/>
      <c r="G32" s="437"/>
      <c r="H32" s="437"/>
      <c r="I32" s="437">
        <v>174000</v>
      </c>
      <c r="J32" s="852">
        <f t="shared" si="6"/>
        <v>174000</v>
      </c>
      <c r="K32" s="672">
        <f>SUM(K33:K34)</f>
        <v>94687</v>
      </c>
      <c r="L32" s="895">
        <f t="shared" si="2"/>
        <v>54.417816091954016</v>
      </c>
      <c r="M32" s="186"/>
      <c r="N32" s="259"/>
      <c r="O32" s="159"/>
      <c r="P32" s="862">
        <f t="shared" si="3"/>
        <v>0</v>
      </c>
      <c r="Q32" s="672"/>
      <c r="R32" s="895"/>
      <c r="S32" s="186"/>
      <c r="T32" s="860">
        <f t="shared" si="0"/>
        <v>174000</v>
      </c>
      <c r="U32" s="672">
        <f t="shared" si="7"/>
        <v>94687</v>
      </c>
      <c r="V32" s="891">
        <f t="shared" si="4"/>
        <v>54.417816091954016</v>
      </c>
    </row>
    <row r="33" spans="2:22" ht="12.75">
      <c r="B33" s="30">
        <f t="shared" si="5"/>
        <v>25</v>
      </c>
      <c r="C33" s="142"/>
      <c r="D33" s="142"/>
      <c r="E33" s="530" t="s">
        <v>383</v>
      </c>
      <c r="F33" s="592"/>
      <c r="G33" s="593"/>
      <c r="H33" s="594"/>
      <c r="I33" s="593">
        <f>I32-I34</f>
        <v>137167</v>
      </c>
      <c r="J33" s="628">
        <f>SUM(F33:I33)</f>
        <v>137167</v>
      </c>
      <c r="K33" s="669">
        <f>94687-K34</f>
        <v>57854</v>
      </c>
      <c r="L33" s="896">
        <f t="shared" si="2"/>
        <v>42.17778328606735</v>
      </c>
      <c r="M33" s="169"/>
      <c r="N33" s="542"/>
      <c r="O33" s="531"/>
      <c r="P33" s="627">
        <f>SUM(N33:O33)</f>
        <v>0</v>
      </c>
      <c r="Q33" s="669"/>
      <c r="R33" s="896"/>
      <c r="S33" s="170"/>
      <c r="T33" s="450">
        <f t="shared" si="0"/>
        <v>137167</v>
      </c>
      <c r="U33" s="669">
        <f t="shared" si="7"/>
        <v>57854</v>
      </c>
      <c r="V33" s="890">
        <f t="shared" si="4"/>
        <v>42.17778328606735</v>
      </c>
    </row>
    <row r="34" spans="2:22" ht="13.5" thickBot="1">
      <c r="B34" s="31">
        <f>B33+1</f>
        <v>26</v>
      </c>
      <c r="C34" s="529"/>
      <c r="D34" s="529"/>
      <c r="E34" s="532" t="s">
        <v>353</v>
      </c>
      <c r="F34" s="601"/>
      <c r="G34" s="602"/>
      <c r="H34" s="603"/>
      <c r="I34" s="602">
        <v>36833</v>
      </c>
      <c r="J34" s="637">
        <f t="shared" si="6"/>
        <v>36833</v>
      </c>
      <c r="K34" s="679">
        <v>36833</v>
      </c>
      <c r="L34" s="897">
        <f t="shared" si="2"/>
        <v>100</v>
      </c>
      <c r="M34" s="169"/>
      <c r="N34" s="543"/>
      <c r="O34" s="533"/>
      <c r="P34" s="637">
        <f>SUM(N34:O34)</f>
        <v>0</v>
      </c>
      <c r="Q34" s="679"/>
      <c r="R34" s="897"/>
      <c r="S34" s="170"/>
      <c r="T34" s="544">
        <f t="shared" si="0"/>
        <v>36833</v>
      </c>
      <c r="U34" s="679">
        <f t="shared" si="7"/>
        <v>36833</v>
      </c>
      <c r="V34" s="892">
        <f t="shared" si="4"/>
        <v>100</v>
      </c>
    </row>
    <row r="35" spans="8:22" ht="12.75">
      <c r="H35" s="19"/>
      <c r="J35" s="35"/>
      <c r="K35" s="35"/>
      <c r="L35" s="35"/>
      <c r="M35" s="169"/>
      <c r="T35" s="255"/>
      <c r="U35" s="171"/>
      <c r="V35" s="269"/>
    </row>
    <row r="36" spans="3:19" ht="12.75">
      <c r="C36"/>
      <c r="D36"/>
      <c r="K36" s="671"/>
      <c r="M36"/>
      <c r="Q36" s="19"/>
      <c r="S36"/>
    </row>
    <row r="37" spans="3:19" ht="12.75">
      <c r="C37"/>
      <c r="D37"/>
      <c r="M37"/>
      <c r="S37"/>
    </row>
    <row r="38" spans="3:19" ht="12.75">
      <c r="C38"/>
      <c r="D38"/>
      <c r="M38"/>
      <c r="S38"/>
    </row>
    <row r="39" spans="3:19" ht="12.75">
      <c r="C39"/>
      <c r="D39"/>
      <c r="M39"/>
      <c r="S39"/>
    </row>
    <row r="40" spans="3:19" ht="12.75">
      <c r="C40"/>
      <c r="D40"/>
      <c r="M40"/>
      <c r="S40"/>
    </row>
    <row r="41" spans="3:19" ht="12.75">
      <c r="C41"/>
      <c r="D41"/>
      <c r="M41"/>
      <c r="S41"/>
    </row>
    <row r="42" spans="3:19" ht="12.75">
      <c r="C42"/>
      <c r="D42"/>
      <c r="M42"/>
      <c r="S42"/>
    </row>
    <row r="43" spans="3:19" ht="12.75">
      <c r="C43"/>
      <c r="D43"/>
      <c r="M43"/>
      <c r="S43"/>
    </row>
    <row r="44" spans="3:19" ht="12.75">
      <c r="C44"/>
      <c r="D44"/>
      <c r="M44"/>
      <c r="S44"/>
    </row>
    <row r="45" spans="3:19" ht="12.75">
      <c r="C45"/>
      <c r="D45"/>
      <c r="M45"/>
      <c r="S45"/>
    </row>
    <row r="46" spans="3:19" ht="12.75">
      <c r="C46"/>
      <c r="D46"/>
      <c r="M46"/>
      <c r="S46"/>
    </row>
    <row r="47" spans="3:19" ht="12.75">
      <c r="C47"/>
      <c r="D47"/>
      <c r="M47"/>
      <c r="S47"/>
    </row>
    <row r="48" spans="3:19" ht="12.75">
      <c r="C48"/>
      <c r="D48"/>
      <c r="M48"/>
      <c r="S48"/>
    </row>
    <row r="49" spans="3:19" ht="12.75">
      <c r="C49"/>
      <c r="D49"/>
      <c r="M49"/>
      <c r="S49"/>
    </row>
    <row r="50" spans="3:19" ht="12.75">
      <c r="C50"/>
      <c r="D50"/>
      <c r="M50"/>
      <c r="S50"/>
    </row>
    <row r="51" spans="3:19" ht="12.75">
      <c r="C51"/>
      <c r="D51"/>
      <c r="M51"/>
      <c r="S51"/>
    </row>
    <row r="52" spans="3:19" ht="12.75">
      <c r="C52"/>
      <c r="D52"/>
      <c r="M52"/>
      <c r="S52"/>
    </row>
    <row r="53" spans="3:19" ht="12.75">
      <c r="C53"/>
      <c r="D53"/>
      <c r="M53"/>
      <c r="S53"/>
    </row>
    <row r="54" spans="3:19" ht="12.75">
      <c r="C54"/>
      <c r="D54"/>
      <c r="M54"/>
      <c r="S54"/>
    </row>
    <row r="55" spans="3:19" ht="12.75">
      <c r="C55"/>
      <c r="D55"/>
      <c r="M55"/>
      <c r="S55"/>
    </row>
    <row r="56" spans="3:19" ht="12.75">
      <c r="C56"/>
      <c r="D56"/>
      <c r="M56"/>
      <c r="S56"/>
    </row>
    <row r="57" spans="3:19" ht="12.75">
      <c r="C57"/>
      <c r="D57"/>
      <c r="M57"/>
      <c r="S57"/>
    </row>
    <row r="58" spans="3:19" ht="12.75">
      <c r="C58"/>
      <c r="D58"/>
      <c r="M58"/>
      <c r="S58"/>
    </row>
    <row r="59" spans="3:19" ht="12.75">
      <c r="C59"/>
      <c r="D59"/>
      <c r="M59"/>
      <c r="S59"/>
    </row>
    <row r="60" spans="3:19" ht="12.75">
      <c r="C60"/>
      <c r="D60"/>
      <c r="M60"/>
      <c r="S60"/>
    </row>
    <row r="61" spans="3:19" ht="12.75">
      <c r="C61"/>
      <c r="D61"/>
      <c r="M61"/>
      <c r="S61"/>
    </row>
    <row r="62" spans="3:19" ht="12.75">
      <c r="C62"/>
      <c r="D62"/>
      <c r="M62"/>
      <c r="S62"/>
    </row>
    <row r="63" spans="3:19" ht="12.75">
      <c r="C63"/>
      <c r="D63"/>
      <c r="M63"/>
      <c r="S63"/>
    </row>
    <row r="64" spans="3:19" ht="12.75">
      <c r="C64"/>
      <c r="D64"/>
      <c r="M64"/>
      <c r="S64"/>
    </row>
    <row r="65" spans="3:19" ht="12.75">
      <c r="C65"/>
      <c r="D65"/>
      <c r="M65"/>
      <c r="S65"/>
    </row>
    <row r="66" spans="3:19" ht="12.75">
      <c r="C66"/>
      <c r="D66"/>
      <c r="M66"/>
      <c r="S66"/>
    </row>
    <row r="67" spans="3:19" ht="12.75">
      <c r="C67"/>
      <c r="D67"/>
      <c r="M67"/>
      <c r="S67"/>
    </row>
    <row r="68" spans="3:19" ht="12.75">
      <c r="C68"/>
      <c r="D68"/>
      <c r="M68"/>
      <c r="S68"/>
    </row>
    <row r="69" spans="3:19" ht="12.75">
      <c r="C69"/>
      <c r="D69"/>
      <c r="M69"/>
      <c r="S69"/>
    </row>
    <row r="70" spans="3:19" ht="12.75">
      <c r="C70"/>
      <c r="D70"/>
      <c r="M70"/>
      <c r="S70"/>
    </row>
    <row r="71" spans="3:19" ht="12.75">
      <c r="C71"/>
      <c r="D71"/>
      <c r="M71"/>
      <c r="S71"/>
    </row>
    <row r="72" spans="3:19" ht="12.75">
      <c r="C72"/>
      <c r="D72"/>
      <c r="M72"/>
      <c r="S72"/>
    </row>
    <row r="73" spans="3:19" ht="12.75">
      <c r="C73"/>
      <c r="D73"/>
      <c r="M73"/>
      <c r="S73"/>
    </row>
    <row r="74" spans="3:19" ht="12.75">
      <c r="C74"/>
      <c r="D74"/>
      <c r="M74"/>
      <c r="S74"/>
    </row>
    <row r="75" spans="3:19" ht="12.75">
      <c r="C75"/>
      <c r="D75"/>
      <c r="M75"/>
      <c r="S75"/>
    </row>
    <row r="76" spans="3:19" ht="12.75">
      <c r="C76"/>
      <c r="D76"/>
      <c r="M76"/>
      <c r="S76"/>
    </row>
    <row r="77" spans="3:19" ht="12.75">
      <c r="C77"/>
      <c r="D77"/>
      <c r="M77"/>
      <c r="S77"/>
    </row>
    <row r="78" spans="3:19" ht="12.75">
      <c r="C78"/>
      <c r="D78"/>
      <c r="M78"/>
      <c r="S78"/>
    </row>
    <row r="79" spans="3:19" ht="12.75">
      <c r="C79"/>
      <c r="D79"/>
      <c r="M79"/>
      <c r="S79"/>
    </row>
    <row r="80" spans="3:19" ht="12.75">
      <c r="C80"/>
      <c r="D80"/>
      <c r="M80"/>
      <c r="S80"/>
    </row>
    <row r="81" spans="3:19" ht="12.75">
      <c r="C81"/>
      <c r="D81"/>
      <c r="M81"/>
      <c r="S81"/>
    </row>
    <row r="82" spans="3:19" ht="12.75">
      <c r="C82"/>
      <c r="D82"/>
      <c r="M82"/>
      <c r="S82"/>
    </row>
    <row r="83" spans="3:19" ht="12.75">
      <c r="C83"/>
      <c r="D83"/>
      <c r="M83"/>
      <c r="S83"/>
    </row>
    <row r="84" spans="3:19" ht="12.75">
      <c r="C84"/>
      <c r="D84"/>
      <c r="M84"/>
      <c r="S84"/>
    </row>
    <row r="85" spans="3:19" ht="12.75">
      <c r="C85"/>
      <c r="D85"/>
      <c r="M85"/>
      <c r="S85"/>
    </row>
    <row r="86" spans="3:19" ht="12.75">
      <c r="C86"/>
      <c r="D86"/>
      <c r="M86"/>
      <c r="S86"/>
    </row>
    <row r="87" spans="3:19" ht="12.75">
      <c r="C87"/>
      <c r="D87"/>
      <c r="M87"/>
      <c r="S87"/>
    </row>
    <row r="88" spans="3:19" ht="12.75">
      <c r="C88"/>
      <c r="D88"/>
      <c r="M88"/>
      <c r="S88"/>
    </row>
    <row r="89" spans="3:19" ht="12.75">
      <c r="C89"/>
      <c r="D89"/>
      <c r="M89"/>
      <c r="S89"/>
    </row>
    <row r="90" spans="3:19" ht="12.75">
      <c r="C90"/>
      <c r="D90"/>
      <c r="M90"/>
      <c r="S90"/>
    </row>
    <row r="91" spans="3:19" ht="12.75">
      <c r="C91"/>
      <c r="D91"/>
      <c r="M91"/>
      <c r="S91"/>
    </row>
    <row r="92" spans="3:19" ht="12.75">
      <c r="C92"/>
      <c r="D92"/>
      <c r="M92"/>
      <c r="S92"/>
    </row>
    <row r="93" spans="3:19" ht="12.75">
      <c r="C93"/>
      <c r="D93"/>
      <c r="M93"/>
      <c r="S93"/>
    </row>
    <row r="94" spans="3:19" ht="12.75">
      <c r="C94"/>
      <c r="D94"/>
      <c r="M94"/>
      <c r="S94"/>
    </row>
    <row r="95" spans="3:19" ht="12.75">
      <c r="C95"/>
      <c r="D95"/>
      <c r="M95"/>
      <c r="S95"/>
    </row>
    <row r="96" spans="3:19" ht="12.75">
      <c r="C96"/>
      <c r="D96"/>
      <c r="M96"/>
      <c r="S96"/>
    </row>
    <row r="97" spans="3:19" ht="12.75">
      <c r="C97"/>
      <c r="D97"/>
      <c r="M97"/>
      <c r="S97"/>
    </row>
    <row r="98" spans="3:19" ht="12.75">
      <c r="C98"/>
      <c r="D98"/>
      <c r="M98"/>
      <c r="S98"/>
    </row>
    <row r="99" spans="3:19" ht="12.75">
      <c r="C99"/>
      <c r="D99"/>
      <c r="M99"/>
      <c r="S99"/>
    </row>
    <row r="100" spans="3:19" ht="12.75">
      <c r="C100"/>
      <c r="D100"/>
      <c r="M100"/>
      <c r="S100"/>
    </row>
    <row r="101" spans="3:19" ht="12.75">
      <c r="C101"/>
      <c r="D101"/>
      <c r="M101"/>
      <c r="S101"/>
    </row>
    <row r="102" spans="3:19" ht="12.75">
      <c r="C102"/>
      <c r="D102"/>
      <c r="M102"/>
      <c r="S102"/>
    </row>
    <row r="103" spans="3:19" ht="12.75">
      <c r="C103"/>
      <c r="D103"/>
      <c r="M103"/>
      <c r="S103"/>
    </row>
    <row r="104" spans="3:19" ht="12.75">
      <c r="C104"/>
      <c r="D104"/>
      <c r="M104"/>
      <c r="S104"/>
    </row>
    <row r="105" spans="3:19" ht="12.75">
      <c r="C105"/>
      <c r="D105"/>
      <c r="M105"/>
      <c r="S105"/>
    </row>
    <row r="106" spans="3:19" ht="12.75">
      <c r="C106"/>
      <c r="D106"/>
      <c r="M106"/>
      <c r="S106"/>
    </row>
    <row r="107" spans="3:19" ht="12.75">
      <c r="C107"/>
      <c r="D107"/>
      <c r="M107"/>
      <c r="S107"/>
    </row>
    <row r="108" spans="3:19" ht="12.75">
      <c r="C108"/>
      <c r="D108"/>
      <c r="M108"/>
      <c r="S108"/>
    </row>
    <row r="109" spans="3:19" ht="12.75">
      <c r="C109"/>
      <c r="D109"/>
      <c r="M109"/>
      <c r="S109"/>
    </row>
    <row r="110" spans="3:19" ht="12.75">
      <c r="C110"/>
      <c r="D110"/>
      <c r="M110"/>
      <c r="S110"/>
    </row>
    <row r="111" spans="3:19" ht="12.75">
      <c r="C111"/>
      <c r="D111"/>
      <c r="M111"/>
      <c r="S111"/>
    </row>
    <row r="112" spans="3:19" ht="12.75">
      <c r="C112"/>
      <c r="D112"/>
      <c r="M112"/>
      <c r="S112"/>
    </row>
    <row r="113" spans="3:19" ht="12.75">
      <c r="C113"/>
      <c r="D113"/>
      <c r="M113"/>
      <c r="S113"/>
    </row>
    <row r="114" spans="3:19" ht="12.75">
      <c r="C114"/>
      <c r="D114"/>
      <c r="M114"/>
      <c r="S114"/>
    </row>
    <row r="115" spans="3:19" ht="12.75">
      <c r="C115"/>
      <c r="D115"/>
      <c r="M115"/>
      <c r="S115"/>
    </row>
    <row r="116" spans="3:19" ht="12.75">
      <c r="C116"/>
      <c r="D116"/>
      <c r="M116"/>
      <c r="S116"/>
    </row>
    <row r="117" spans="3:19" ht="12.75">
      <c r="C117"/>
      <c r="D117"/>
      <c r="M117"/>
      <c r="S117"/>
    </row>
    <row r="118" spans="3:19" ht="12.75">
      <c r="C118"/>
      <c r="D118"/>
      <c r="M118"/>
      <c r="S118"/>
    </row>
    <row r="119" spans="3:19" ht="12.75">
      <c r="C119"/>
      <c r="D119"/>
      <c r="M119"/>
      <c r="S119"/>
    </row>
    <row r="120" spans="3:19" ht="12.75">
      <c r="C120"/>
      <c r="D120"/>
      <c r="M120"/>
      <c r="S120"/>
    </row>
    <row r="121" spans="3:19" ht="12.75">
      <c r="C121"/>
      <c r="D121"/>
      <c r="M121"/>
      <c r="S121"/>
    </row>
    <row r="122" spans="3:19" ht="12.75">
      <c r="C122"/>
      <c r="D122"/>
      <c r="M122"/>
      <c r="S122"/>
    </row>
    <row r="123" spans="3:19" ht="12.75">
      <c r="C123"/>
      <c r="D123"/>
      <c r="M123"/>
      <c r="S123"/>
    </row>
    <row r="124" spans="3:19" ht="12.75">
      <c r="C124"/>
      <c r="D124"/>
      <c r="M124"/>
      <c r="S124"/>
    </row>
    <row r="125" spans="3:19" ht="12.75">
      <c r="C125"/>
      <c r="D125"/>
      <c r="M125"/>
      <c r="S125"/>
    </row>
    <row r="126" spans="3:19" ht="12.75">
      <c r="C126"/>
      <c r="D126"/>
      <c r="M126"/>
      <c r="S126"/>
    </row>
    <row r="127" spans="3:19" ht="12.75">
      <c r="C127"/>
      <c r="D127"/>
      <c r="M127"/>
      <c r="S127"/>
    </row>
    <row r="128" spans="3:19" ht="12.75">
      <c r="C128"/>
      <c r="D128"/>
      <c r="M128"/>
      <c r="S128"/>
    </row>
    <row r="129" spans="3:19" ht="12.75">
      <c r="C129"/>
      <c r="D129"/>
      <c r="M129"/>
      <c r="S129"/>
    </row>
    <row r="130" spans="3:19" ht="12.75">
      <c r="C130"/>
      <c r="D130"/>
      <c r="M130"/>
      <c r="S130"/>
    </row>
    <row r="131" spans="3:19" ht="12.75">
      <c r="C131"/>
      <c r="D131"/>
      <c r="M131"/>
      <c r="S131"/>
    </row>
    <row r="132" spans="3:19" ht="12.75">
      <c r="C132"/>
      <c r="D132"/>
      <c r="M132"/>
      <c r="S132"/>
    </row>
    <row r="133" spans="3:19" ht="12.75">
      <c r="C133"/>
      <c r="D133"/>
      <c r="M133"/>
      <c r="S133"/>
    </row>
    <row r="134" spans="3:19" ht="12.75">
      <c r="C134"/>
      <c r="D134"/>
      <c r="M134"/>
      <c r="S134"/>
    </row>
    <row r="135" spans="3:19" ht="12.75">
      <c r="C135"/>
      <c r="D135"/>
      <c r="M135"/>
      <c r="S135"/>
    </row>
    <row r="136" spans="3:19" ht="12.75">
      <c r="C136"/>
      <c r="D136"/>
      <c r="M136"/>
      <c r="S136"/>
    </row>
    <row r="137" spans="3:19" ht="12.75">
      <c r="C137"/>
      <c r="D137"/>
      <c r="M137"/>
      <c r="S137"/>
    </row>
    <row r="138" spans="3:19" ht="12.75">
      <c r="C138"/>
      <c r="D138"/>
      <c r="M138"/>
      <c r="S138"/>
    </row>
    <row r="139" spans="3:19" ht="12.75">
      <c r="C139"/>
      <c r="D139"/>
      <c r="M139"/>
      <c r="S139"/>
    </row>
    <row r="140" spans="3:19" ht="12.75">
      <c r="C140"/>
      <c r="D140"/>
      <c r="M140"/>
      <c r="S140"/>
    </row>
    <row r="141" spans="3:19" ht="12.75">
      <c r="C141"/>
      <c r="D141"/>
      <c r="M141"/>
      <c r="S141"/>
    </row>
    <row r="142" spans="3:19" ht="12.75">
      <c r="C142"/>
      <c r="D142"/>
      <c r="M142"/>
      <c r="S142"/>
    </row>
    <row r="143" spans="3:19" ht="12.75">
      <c r="C143"/>
      <c r="D143"/>
      <c r="M143"/>
      <c r="S143"/>
    </row>
    <row r="144" spans="3:19" ht="12.75">
      <c r="C144"/>
      <c r="D144"/>
      <c r="M144"/>
      <c r="S144"/>
    </row>
    <row r="145" spans="3:19" ht="12.75">
      <c r="C145"/>
      <c r="D145"/>
      <c r="M145"/>
      <c r="S145"/>
    </row>
    <row r="146" spans="3:19" ht="12.75">
      <c r="C146"/>
      <c r="D146"/>
      <c r="M146"/>
      <c r="S146"/>
    </row>
    <row r="147" spans="3:19" ht="12.75">
      <c r="C147"/>
      <c r="D147"/>
      <c r="M147"/>
      <c r="S147"/>
    </row>
    <row r="148" spans="3:19" ht="12.75">
      <c r="C148"/>
      <c r="D148"/>
      <c r="M148"/>
      <c r="S148"/>
    </row>
    <row r="149" spans="3:19" ht="12.75">
      <c r="C149"/>
      <c r="D149"/>
      <c r="M149"/>
      <c r="S149"/>
    </row>
    <row r="150" spans="3:19" ht="12.75">
      <c r="C150"/>
      <c r="D150"/>
      <c r="M150"/>
      <c r="S150"/>
    </row>
    <row r="151" spans="3:19" ht="12.75">
      <c r="C151"/>
      <c r="D151"/>
      <c r="M151"/>
      <c r="S151"/>
    </row>
    <row r="152" spans="3:19" ht="12.75">
      <c r="C152"/>
      <c r="D152"/>
      <c r="M152"/>
      <c r="S152"/>
    </row>
    <row r="153" spans="3:19" ht="12.75">
      <c r="C153"/>
      <c r="D153"/>
      <c r="M153"/>
      <c r="S153"/>
    </row>
    <row r="154" spans="3:19" ht="12.75">
      <c r="C154"/>
      <c r="D154"/>
      <c r="M154"/>
      <c r="S154"/>
    </row>
    <row r="155" spans="3:19" ht="12.75">
      <c r="C155"/>
      <c r="D155"/>
      <c r="M155"/>
      <c r="S155"/>
    </row>
    <row r="156" spans="3:19" ht="12.75">
      <c r="C156"/>
      <c r="D156"/>
      <c r="M156"/>
      <c r="S156"/>
    </row>
    <row r="157" spans="3:19" ht="12.75">
      <c r="C157"/>
      <c r="D157"/>
      <c r="M157"/>
      <c r="S157"/>
    </row>
    <row r="158" spans="3:19" ht="12.75">
      <c r="C158"/>
      <c r="D158"/>
      <c r="M158"/>
      <c r="S158"/>
    </row>
    <row r="159" spans="3:19" ht="12.75">
      <c r="C159"/>
      <c r="D159"/>
      <c r="M159"/>
      <c r="S159"/>
    </row>
    <row r="160" spans="3:19" ht="12.75">
      <c r="C160"/>
      <c r="D160"/>
      <c r="M160"/>
      <c r="S160"/>
    </row>
    <row r="161" spans="3:19" ht="12.75">
      <c r="C161"/>
      <c r="D161"/>
      <c r="M161"/>
      <c r="S161"/>
    </row>
    <row r="162" spans="3:19" ht="12.75">
      <c r="C162"/>
      <c r="D162"/>
      <c r="M162"/>
      <c r="S162"/>
    </row>
    <row r="163" spans="3:19" ht="12.75">
      <c r="C163"/>
      <c r="D163"/>
      <c r="M163"/>
      <c r="S163"/>
    </row>
    <row r="164" spans="3:19" ht="12.75">
      <c r="C164"/>
      <c r="D164"/>
      <c r="M164"/>
      <c r="S164"/>
    </row>
    <row r="165" spans="3:19" ht="12.75">
      <c r="C165"/>
      <c r="D165"/>
      <c r="M165"/>
      <c r="S165"/>
    </row>
    <row r="166" spans="3:19" ht="12.75">
      <c r="C166"/>
      <c r="D166"/>
      <c r="M166"/>
      <c r="S166"/>
    </row>
    <row r="167" spans="3:19" ht="12.75">
      <c r="C167"/>
      <c r="D167"/>
      <c r="M167"/>
      <c r="S167"/>
    </row>
    <row r="168" spans="3:19" ht="12.75">
      <c r="C168"/>
      <c r="D168"/>
      <c r="M168"/>
      <c r="S168"/>
    </row>
    <row r="169" spans="3:19" ht="12.75">
      <c r="C169"/>
      <c r="D169"/>
      <c r="M169"/>
      <c r="S169"/>
    </row>
    <row r="170" spans="3:19" ht="12.75">
      <c r="C170"/>
      <c r="D170"/>
      <c r="M170"/>
      <c r="S170"/>
    </row>
    <row r="171" spans="3:19" ht="12.75">
      <c r="C171"/>
      <c r="D171"/>
      <c r="M171"/>
      <c r="S171"/>
    </row>
    <row r="172" spans="3:19" ht="12.75">
      <c r="C172"/>
      <c r="D172"/>
      <c r="M172"/>
      <c r="S172"/>
    </row>
    <row r="173" spans="3:19" ht="12.75">
      <c r="C173"/>
      <c r="D173"/>
      <c r="M173"/>
      <c r="S173"/>
    </row>
    <row r="174" spans="3:19" ht="12.75">
      <c r="C174"/>
      <c r="D174"/>
      <c r="M174"/>
      <c r="S174"/>
    </row>
    <row r="175" spans="3:19" ht="12.75">
      <c r="C175"/>
      <c r="D175"/>
      <c r="M175"/>
      <c r="S175"/>
    </row>
    <row r="176" spans="3:19" ht="12.75">
      <c r="C176"/>
      <c r="D176"/>
      <c r="M176"/>
      <c r="S176"/>
    </row>
    <row r="177" spans="3:19" ht="12.75">
      <c r="C177"/>
      <c r="D177"/>
      <c r="M177"/>
      <c r="S177"/>
    </row>
    <row r="178" spans="3:19" ht="12.75">
      <c r="C178"/>
      <c r="D178"/>
      <c r="M178"/>
      <c r="S178"/>
    </row>
    <row r="179" spans="3:19" ht="12.75">
      <c r="C179"/>
      <c r="D179"/>
      <c r="M179"/>
      <c r="S179"/>
    </row>
    <row r="180" spans="3:19" ht="12.75">
      <c r="C180"/>
      <c r="D180"/>
      <c r="M180"/>
      <c r="S180"/>
    </row>
    <row r="181" spans="3:19" ht="12.75">
      <c r="C181"/>
      <c r="D181"/>
      <c r="M181"/>
      <c r="S181"/>
    </row>
    <row r="182" spans="3:19" ht="12.75">
      <c r="C182"/>
      <c r="D182"/>
      <c r="M182"/>
      <c r="S182"/>
    </row>
    <row r="183" spans="3:19" ht="12.75">
      <c r="C183"/>
      <c r="D183"/>
      <c r="M183"/>
      <c r="S183"/>
    </row>
    <row r="184" spans="3:19" ht="12.75">
      <c r="C184"/>
      <c r="D184"/>
      <c r="M184"/>
      <c r="S184"/>
    </row>
    <row r="185" spans="3:19" ht="12.75">
      <c r="C185"/>
      <c r="D185"/>
      <c r="M185"/>
      <c r="S185"/>
    </row>
    <row r="186" spans="3:19" ht="12.75">
      <c r="C186"/>
      <c r="D186"/>
      <c r="M186"/>
      <c r="S186"/>
    </row>
    <row r="187" spans="3:19" ht="12.75">
      <c r="C187"/>
      <c r="D187"/>
      <c r="M187"/>
      <c r="S187"/>
    </row>
    <row r="188" spans="3:19" ht="12.75">
      <c r="C188"/>
      <c r="D188"/>
      <c r="M188"/>
      <c r="S188"/>
    </row>
    <row r="189" spans="3:19" ht="12.75">
      <c r="C189"/>
      <c r="D189"/>
      <c r="M189"/>
      <c r="S189"/>
    </row>
    <row r="190" spans="3:19" ht="12.75">
      <c r="C190"/>
      <c r="D190"/>
      <c r="M190"/>
      <c r="S190"/>
    </row>
    <row r="191" spans="3:19" ht="12.75">
      <c r="C191"/>
      <c r="D191"/>
      <c r="M191"/>
      <c r="S191"/>
    </row>
    <row r="192" spans="3:19" ht="12.75">
      <c r="C192"/>
      <c r="D192"/>
      <c r="M192"/>
      <c r="S192"/>
    </row>
    <row r="193" spans="3:19" ht="12.75">
      <c r="C193"/>
      <c r="D193"/>
      <c r="M193"/>
      <c r="S193"/>
    </row>
    <row r="194" spans="3:19" ht="12.75">
      <c r="C194"/>
      <c r="D194"/>
      <c r="M194"/>
      <c r="S194"/>
    </row>
    <row r="195" spans="3:19" ht="12.75">
      <c r="C195"/>
      <c r="D195"/>
      <c r="M195"/>
      <c r="S195"/>
    </row>
    <row r="196" spans="3:19" ht="12.75">
      <c r="C196"/>
      <c r="D196"/>
      <c r="M196"/>
      <c r="S196"/>
    </row>
    <row r="197" spans="3:19" ht="12.75">
      <c r="C197"/>
      <c r="D197"/>
      <c r="M197"/>
      <c r="S197"/>
    </row>
    <row r="198" spans="3:19" ht="12.75">
      <c r="C198"/>
      <c r="D198"/>
      <c r="M198"/>
      <c r="S198"/>
    </row>
    <row r="199" spans="3:19" ht="12.75">
      <c r="C199"/>
      <c r="D199"/>
      <c r="M199"/>
      <c r="S199"/>
    </row>
    <row r="200" spans="3:19" ht="12.75">
      <c r="C200"/>
      <c r="D200"/>
      <c r="M200"/>
      <c r="S200"/>
    </row>
    <row r="201" spans="3:19" ht="12.75">
      <c r="C201"/>
      <c r="D201"/>
      <c r="M201"/>
      <c r="S201"/>
    </row>
    <row r="202" spans="3:19" ht="12.75">
      <c r="C202"/>
      <c r="D202"/>
      <c r="M202"/>
      <c r="S202"/>
    </row>
    <row r="203" spans="3:19" ht="12.75">
      <c r="C203"/>
      <c r="D203"/>
      <c r="M203"/>
      <c r="S203"/>
    </row>
    <row r="204" spans="3:19" ht="12.75">
      <c r="C204"/>
      <c r="D204"/>
      <c r="M204"/>
      <c r="S204"/>
    </row>
    <row r="205" spans="3:19" ht="12.75">
      <c r="C205"/>
      <c r="D205"/>
      <c r="M205"/>
      <c r="S205"/>
    </row>
    <row r="206" spans="3:19" ht="12.75">
      <c r="C206"/>
      <c r="D206"/>
      <c r="M206"/>
      <c r="S206"/>
    </row>
    <row r="207" spans="3:19" ht="12.75">
      <c r="C207"/>
      <c r="D207"/>
      <c r="M207"/>
      <c r="S207"/>
    </row>
    <row r="208" spans="3:19" ht="12.75">
      <c r="C208"/>
      <c r="D208"/>
      <c r="M208"/>
      <c r="S208"/>
    </row>
    <row r="209" spans="3:19" ht="12.75">
      <c r="C209"/>
      <c r="D209"/>
      <c r="M209"/>
      <c r="S209"/>
    </row>
    <row r="210" spans="3:19" ht="12.75">
      <c r="C210"/>
      <c r="D210"/>
      <c r="M210"/>
      <c r="S210"/>
    </row>
    <row r="211" spans="3:19" ht="12.75">
      <c r="C211"/>
      <c r="D211"/>
      <c r="M211"/>
      <c r="S211"/>
    </row>
    <row r="212" spans="3:19" ht="12.75">
      <c r="C212"/>
      <c r="D212"/>
      <c r="M212"/>
      <c r="S212"/>
    </row>
    <row r="213" spans="3:19" ht="12.75">
      <c r="C213"/>
      <c r="D213"/>
      <c r="M213"/>
      <c r="S213"/>
    </row>
    <row r="214" spans="3:19" ht="12.75">
      <c r="C214"/>
      <c r="D214"/>
      <c r="M214"/>
      <c r="S214"/>
    </row>
    <row r="215" spans="3:19" ht="12.75">
      <c r="C215"/>
      <c r="D215"/>
      <c r="M215"/>
      <c r="S215"/>
    </row>
    <row r="216" spans="3:19" ht="12.75">
      <c r="C216"/>
      <c r="D216"/>
      <c r="M216"/>
      <c r="S216"/>
    </row>
    <row r="217" spans="3:19" ht="12.75">
      <c r="C217"/>
      <c r="D217"/>
      <c r="M217"/>
      <c r="S217"/>
    </row>
    <row r="218" spans="3:19" ht="12.75">
      <c r="C218"/>
      <c r="D218"/>
      <c r="M218"/>
      <c r="S218"/>
    </row>
    <row r="219" spans="3:19" ht="12.75">
      <c r="C219"/>
      <c r="D219"/>
      <c r="M219"/>
      <c r="S219"/>
    </row>
    <row r="220" spans="3:19" ht="12.75">
      <c r="C220"/>
      <c r="D220"/>
      <c r="M220"/>
      <c r="S220"/>
    </row>
    <row r="221" spans="3:19" ht="12.75">
      <c r="C221"/>
      <c r="D221"/>
      <c r="M221"/>
      <c r="S221"/>
    </row>
    <row r="222" spans="3:19" ht="12.75">
      <c r="C222"/>
      <c r="D222"/>
      <c r="M222"/>
      <c r="S222"/>
    </row>
    <row r="223" spans="3:19" ht="12.75">
      <c r="C223"/>
      <c r="D223"/>
      <c r="M223"/>
      <c r="S223"/>
    </row>
    <row r="224" spans="3:19" ht="12.75">
      <c r="C224"/>
      <c r="D224"/>
      <c r="M224"/>
      <c r="S224"/>
    </row>
    <row r="225" spans="3:19" ht="12.75">
      <c r="C225"/>
      <c r="D225"/>
      <c r="M225"/>
      <c r="S225"/>
    </row>
    <row r="226" spans="3:19" ht="12.75">
      <c r="C226"/>
      <c r="D226"/>
      <c r="M226"/>
      <c r="S226"/>
    </row>
    <row r="227" spans="3:19" ht="12.75">
      <c r="C227"/>
      <c r="D227"/>
      <c r="M227"/>
      <c r="S227"/>
    </row>
    <row r="228" spans="3:19" ht="12.75">
      <c r="C228"/>
      <c r="D228"/>
      <c r="M228"/>
      <c r="S228"/>
    </row>
    <row r="229" spans="3:19" ht="12.75">
      <c r="C229"/>
      <c r="D229"/>
      <c r="M229"/>
      <c r="S229"/>
    </row>
    <row r="230" spans="3:19" ht="12.75">
      <c r="C230"/>
      <c r="D230"/>
      <c r="M230"/>
      <c r="S230"/>
    </row>
    <row r="231" spans="3:19" ht="12.75">
      <c r="C231"/>
      <c r="D231"/>
      <c r="M231"/>
      <c r="S231"/>
    </row>
    <row r="232" spans="3:19" ht="12.75">
      <c r="C232"/>
      <c r="D232"/>
      <c r="M232"/>
      <c r="S232"/>
    </row>
    <row r="233" spans="3:19" ht="12.75">
      <c r="C233"/>
      <c r="D233"/>
      <c r="M233"/>
      <c r="S233"/>
    </row>
    <row r="234" spans="3:19" ht="12.75">
      <c r="C234"/>
      <c r="D234"/>
      <c r="M234"/>
      <c r="S234"/>
    </row>
    <row r="235" spans="3:19" ht="12.75">
      <c r="C235"/>
      <c r="D235"/>
      <c r="M235"/>
      <c r="S235"/>
    </row>
    <row r="236" spans="3:19" ht="12.75">
      <c r="C236"/>
      <c r="D236"/>
      <c r="M236"/>
      <c r="S236"/>
    </row>
    <row r="237" spans="3:19" ht="12.75">
      <c r="C237"/>
      <c r="D237"/>
      <c r="M237"/>
      <c r="S237"/>
    </row>
    <row r="238" spans="3:19" ht="12.75">
      <c r="C238"/>
      <c r="D238"/>
      <c r="M238"/>
      <c r="S238"/>
    </row>
    <row r="239" spans="3:19" ht="12.75">
      <c r="C239"/>
      <c r="D239"/>
      <c r="M239"/>
      <c r="S239"/>
    </row>
    <row r="240" spans="3:19" ht="12.75">
      <c r="C240"/>
      <c r="D240"/>
      <c r="M240"/>
      <c r="S240"/>
    </row>
    <row r="241" spans="3:19" ht="12.75">
      <c r="C241"/>
      <c r="D241"/>
      <c r="M241"/>
      <c r="S241"/>
    </row>
    <row r="242" spans="3:19" ht="12.75">
      <c r="C242"/>
      <c r="D242"/>
      <c r="M242"/>
      <c r="S242"/>
    </row>
    <row r="243" spans="3:19" ht="12.75">
      <c r="C243"/>
      <c r="D243"/>
      <c r="M243"/>
      <c r="S243"/>
    </row>
    <row r="244" spans="3:19" ht="12.75">
      <c r="C244"/>
      <c r="D244"/>
      <c r="M244"/>
      <c r="S244"/>
    </row>
    <row r="245" spans="3:19" ht="12.75">
      <c r="C245"/>
      <c r="D245"/>
      <c r="M245"/>
      <c r="S245"/>
    </row>
    <row r="246" spans="3:19" ht="12.75">
      <c r="C246"/>
      <c r="D246"/>
      <c r="M246"/>
      <c r="S246"/>
    </row>
    <row r="247" spans="3:19" ht="12.75">
      <c r="C247"/>
      <c r="D247"/>
      <c r="M247"/>
      <c r="S247"/>
    </row>
    <row r="248" spans="3:19" ht="12.75">
      <c r="C248"/>
      <c r="D248"/>
      <c r="M248"/>
      <c r="S248"/>
    </row>
    <row r="249" spans="3:19" ht="12.75">
      <c r="C249"/>
      <c r="D249"/>
      <c r="M249"/>
      <c r="S249"/>
    </row>
    <row r="250" spans="3:19" ht="12.75">
      <c r="C250"/>
      <c r="D250"/>
      <c r="M250"/>
      <c r="S250"/>
    </row>
    <row r="251" spans="3:19" ht="12.75">
      <c r="C251"/>
      <c r="D251"/>
      <c r="M251"/>
      <c r="S251"/>
    </row>
    <row r="252" spans="3:19" ht="12.75">
      <c r="C252"/>
      <c r="D252"/>
      <c r="M252"/>
      <c r="S252"/>
    </row>
    <row r="253" spans="3:19" ht="12.75">
      <c r="C253"/>
      <c r="D253"/>
      <c r="M253"/>
      <c r="S253"/>
    </row>
    <row r="254" spans="3:19" ht="12.75">
      <c r="C254"/>
      <c r="D254"/>
      <c r="M254"/>
      <c r="S254"/>
    </row>
    <row r="255" spans="3:19" ht="12.75">
      <c r="C255"/>
      <c r="D255"/>
      <c r="M255"/>
      <c r="S255"/>
    </row>
    <row r="256" spans="3:19" ht="12.75">
      <c r="C256"/>
      <c r="D256"/>
      <c r="M256"/>
      <c r="S256"/>
    </row>
    <row r="257" spans="3:19" ht="12.75">
      <c r="C257"/>
      <c r="D257"/>
      <c r="M257"/>
      <c r="S257"/>
    </row>
    <row r="258" spans="3:19" ht="12.75">
      <c r="C258"/>
      <c r="D258"/>
      <c r="M258"/>
      <c r="S258"/>
    </row>
    <row r="259" spans="3:19" ht="12.75">
      <c r="C259"/>
      <c r="D259"/>
      <c r="M259"/>
      <c r="S259"/>
    </row>
    <row r="260" spans="3:19" ht="12.75">
      <c r="C260"/>
      <c r="D260"/>
      <c r="M260"/>
      <c r="S260"/>
    </row>
    <row r="261" spans="3:19" ht="12.75">
      <c r="C261"/>
      <c r="D261"/>
      <c r="M261"/>
      <c r="S261"/>
    </row>
    <row r="262" spans="3:19" ht="12.75">
      <c r="C262"/>
      <c r="D262"/>
      <c r="M262"/>
      <c r="S262"/>
    </row>
    <row r="263" spans="3:19" ht="12.75">
      <c r="C263"/>
      <c r="D263"/>
      <c r="M263"/>
      <c r="S263"/>
    </row>
    <row r="264" spans="3:19" ht="12.75">
      <c r="C264"/>
      <c r="D264"/>
      <c r="M264"/>
      <c r="S264"/>
    </row>
  </sheetData>
  <sheetProtection/>
  <mergeCells count="23">
    <mergeCell ref="O7:O8"/>
    <mergeCell ref="P7:P8"/>
    <mergeCell ref="T4:T8"/>
    <mergeCell ref="N5:Q5"/>
    <mergeCell ref="B4:Q4"/>
    <mergeCell ref="F7:F8"/>
    <mergeCell ref="Q7:Q8"/>
    <mergeCell ref="N6:Q6"/>
    <mergeCell ref="D6:D8"/>
    <mergeCell ref="N7:N8"/>
    <mergeCell ref="R7:R8"/>
    <mergeCell ref="R4:R6"/>
    <mergeCell ref="V4:V8"/>
    <mergeCell ref="U4:U8"/>
    <mergeCell ref="B5:K5"/>
    <mergeCell ref="J7:J8"/>
    <mergeCell ref="L7:L8"/>
    <mergeCell ref="E6:K6"/>
    <mergeCell ref="C6:C8"/>
    <mergeCell ref="H7:H8"/>
    <mergeCell ref="I7:I8"/>
    <mergeCell ref="G7:G8"/>
    <mergeCell ref="K7:K8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3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7109375" style="6" customWidth="1"/>
    <col min="3" max="3" width="2.28125" style="5" customWidth="1"/>
    <col min="4" max="4" width="2.140625" style="0" customWidth="1"/>
    <col min="5" max="5" width="31.57421875" style="0" customWidth="1"/>
    <col min="6" max="6" width="8.57421875" style="0" customWidth="1"/>
    <col min="7" max="7" width="8.7109375" style="0" customWidth="1"/>
    <col min="8" max="8" width="10.00390625" style="0" customWidth="1"/>
    <col min="9" max="9" width="6.00390625" style="0" customWidth="1"/>
    <col min="10" max="10" width="13.57421875" style="0" customWidth="1"/>
    <col min="11" max="11" width="10.28125" style="487" customWidth="1"/>
    <col min="12" max="12" width="6.421875" style="487" customWidth="1"/>
    <col min="13" max="13" width="2.57421875" style="269" customWidth="1"/>
    <col min="14" max="14" width="7.421875" style="0" customWidth="1"/>
    <col min="15" max="15" width="10.140625" style="0" customWidth="1"/>
    <col min="16" max="16" width="14.57421875" style="0" customWidth="1"/>
    <col min="17" max="17" width="11.140625" style="487" customWidth="1"/>
    <col min="18" max="18" width="7.28125" style="976" customWidth="1"/>
    <col min="19" max="19" width="1.421875" style="524" customWidth="1"/>
    <col min="20" max="20" width="10.8515625" style="0" customWidth="1"/>
    <col min="21" max="21" width="11.8515625" style="487" customWidth="1"/>
    <col min="22" max="22" width="7.140625" style="989" customWidth="1"/>
    <col min="23" max="23" width="9.8515625" style="0" bestFit="1" customWidth="1"/>
  </cols>
  <sheetData>
    <row r="1" spans="10:20" ht="15.75" customHeight="1">
      <c r="J1" s="188"/>
      <c r="K1" s="50"/>
      <c r="L1" s="50"/>
      <c r="M1" s="192"/>
      <c r="N1" s="44"/>
      <c r="O1" s="44"/>
      <c r="P1" s="188"/>
      <c r="Q1" s="50"/>
      <c r="R1" s="975"/>
      <c r="S1" s="301"/>
      <c r="T1" s="263"/>
    </row>
    <row r="2" spans="3:20" ht="27">
      <c r="C2" s="264" t="s">
        <v>169</v>
      </c>
      <c r="I2" s="866"/>
      <c r="J2" s="196"/>
      <c r="K2" s="682"/>
      <c r="L2" s="682"/>
      <c r="M2" s="297"/>
      <c r="N2" s="866"/>
      <c r="P2" s="248"/>
      <c r="Q2" s="708"/>
      <c r="R2" s="1020"/>
      <c r="T2" s="248"/>
    </row>
    <row r="3" ht="13.5" thickBot="1"/>
    <row r="4" spans="2:22" ht="12.75" customHeight="1" thickBot="1">
      <c r="B4" s="1137" t="s">
        <v>306</v>
      </c>
      <c r="C4" s="1138"/>
      <c r="D4" s="1138"/>
      <c r="E4" s="1138"/>
      <c r="F4" s="1138"/>
      <c r="G4" s="1138"/>
      <c r="H4" s="1138"/>
      <c r="I4" s="1138"/>
      <c r="J4" s="1138"/>
      <c r="K4" s="1138"/>
      <c r="L4" s="1138"/>
      <c r="M4" s="1138"/>
      <c r="N4" s="1138"/>
      <c r="O4" s="1138"/>
      <c r="P4" s="1138"/>
      <c r="Q4" s="1139"/>
      <c r="R4" s="1163"/>
      <c r="S4" s="525"/>
      <c r="T4" s="1100" t="s">
        <v>405</v>
      </c>
      <c r="U4" s="1096" t="s">
        <v>465</v>
      </c>
      <c r="V4" s="1134" t="s">
        <v>406</v>
      </c>
    </row>
    <row r="5" spans="2:22" ht="18.75" customHeight="1" thickTop="1">
      <c r="B5" s="1143" t="s">
        <v>11</v>
      </c>
      <c r="C5" s="1147"/>
      <c r="D5" s="1147"/>
      <c r="E5" s="1147"/>
      <c r="F5" s="1147"/>
      <c r="G5" s="1147"/>
      <c r="H5" s="1147"/>
      <c r="I5" s="1147"/>
      <c r="J5" s="1147"/>
      <c r="K5" s="1148"/>
      <c r="L5" s="1161"/>
      <c r="M5" s="526"/>
      <c r="N5" s="1166" t="s">
        <v>294</v>
      </c>
      <c r="O5" s="1167"/>
      <c r="P5" s="1167"/>
      <c r="Q5" s="1168"/>
      <c r="R5" s="1164"/>
      <c r="S5" s="526"/>
      <c r="T5" s="1101"/>
      <c r="U5" s="1097"/>
      <c r="V5" s="1135"/>
    </row>
    <row r="6" spans="2:22" ht="12.75" customHeight="1">
      <c r="B6" s="691"/>
      <c r="C6" s="1156" t="s">
        <v>147</v>
      </c>
      <c r="D6" s="1156" t="s">
        <v>148</v>
      </c>
      <c r="E6" s="1088" t="s">
        <v>10</v>
      </c>
      <c r="F6" s="1089"/>
      <c r="G6" s="1089"/>
      <c r="H6" s="1089"/>
      <c r="I6" s="1089"/>
      <c r="J6" s="1089"/>
      <c r="K6" s="1090"/>
      <c r="L6" s="1162"/>
      <c r="M6" s="292"/>
      <c r="N6" s="1118" t="s">
        <v>10</v>
      </c>
      <c r="O6" s="1089"/>
      <c r="P6" s="1089"/>
      <c r="Q6" s="1090"/>
      <c r="R6" s="1165"/>
      <c r="S6" s="292"/>
      <c r="T6" s="1101"/>
      <c r="U6" s="1097"/>
      <c r="V6" s="1135"/>
    </row>
    <row r="7" spans="2:22" ht="27.75" customHeight="1">
      <c r="B7" s="691"/>
      <c r="C7" s="1157"/>
      <c r="D7" s="1157"/>
      <c r="E7" s="692" t="s">
        <v>4</v>
      </c>
      <c r="F7" s="1158">
        <v>610</v>
      </c>
      <c r="G7" s="1160">
        <v>620</v>
      </c>
      <c r="H7" s="1160">
        <v>630</v>
      </c>
      <c r="I7" s="1160">
        <v>640</v>
      </c>
      <c r="J7" s="1125" t="s">
        <v>492</v>
      </c>
      <c r="K7" s="1094" t="s">
        <v>465</v>
      </c>
      <c r="L7" s="1127" t="s">
        <v>406</v>
      </c>
      <c r="M7" s="554"/>
      <c r="N7" s="1146">
        <v>716</v>
      </c>
      <c r="O7" s="1113">
        <v>717</v>
      </c>
      <c r="P7" s="1125" t="s">
        <v>492</v>
      </c>
      <c r="Q7" s="1094" t="s">
        <v>465</v>
      </c>
      <c r="R7" s="1127" t="s">
        <v>406</v>
      </c>
      <c r="S7" s="527"/>
      <c r="T7" s="1101"/>
      <c r="U7" s="1097"/>
      <c r="V7" s="1135"/>
    </row>
    <row r="8" spans="2:22" ht="31.5" customHeight="1" thickBot="1">
      <c r="B8" s="691"/>
      <c r="C8" s="1157"/>
      <c r="D8" s="1157"/>
      <c r="E8" s="438"/>
      <c r="F8" s="1159"/>
      <c r="G8" s="1098"/>
      <c r="H8" s="1098"/>
      <c r="I8" s="1098"/>
      <c r="J8" s="1110"/>
      <c r="K8" s="1095"/>
      <c r="L8" s="1128"/>
      <c r="M8" s="307"/>
      <c r="N8" s="1122"/>
      <c r="O8" s="1099"/>
      <c r="P8" s="1110"/>
      <c r="Q8" s="1095"/>
      <c r="R8" s="1128"/>
      <c r="S8" s="307"/>
      <c r="T8" s="1101"/>
      <c r="U8" s="1097"/>
      <c r="V8" s="1135"/>
    </row>
    <row r="9" spans="2:23" s="241" customFormat="1" ht="26.25" customHeight="1" thickBot="1" thickTop="1">
      <c r="B9" s="693">
        <v>1</v>
      </c>
      <c r="C9" s="694" t="s">
        <v>170</v>
      </c>
      <c r="D9" s="695"/>
      <c r="E9" s="441"/>
      <c r="F9" s="285">
        <f>F10+F13+F18+F19+F22</f>
        <v>530000</v>
      </c>
      <c r="G9" s="285">
        <f>G10+G13+G18+G19+G22</f>
        <v>185000</v>
      </c>
      <c r="H9" s="285">
        <f>H10+H13+H18+H19+H22</f>
        <v>784840</v>
      </c>
      <c r="I9" s="285">
        <f>I10+I13+I18+I19+I22</f>
        <v>6160</v>
      </c>
      <c r="J9" s="867">
        <f>SUM(F9:I9)</f>
        <v>1506000</v>
      </c>
      <c r="K9" s="676">
        <f>K10+K13+K18+K19+K22</f>
        <v>663540</v>
      </c>
      <c r="L9" s="888">
        <f>K9/J9*100</f>
        <v>44.059760956175296</v>
      </c>
      <c r="M9" s="308"/>
      <c r="N9" s="279">
        <f>N10+N18</f>
        <v>0</v>
      </c>
      <c r="O9" s="277">
        <f>O10+O13+O18+O19+O22</f>
        <v>1195670</v>
      </c>
      <c r="P9" s="642">
        <f aca="true" t="shared" si="0" ref="P9:P24">SUM(N9:O9)</f>
        <v>1195670</v>
      </c>
      <c r="Q9" s="676">
        <f>Q10+Q13+Q18+Q19+Q22</f>
        <v>593751</v>
      </c>
      <c r="R9" s="888">
        <f>Q9/P9*100</f>
        <v>49.6584341833449</v>
      </c>
      <c r="S9" s="308"/>
      <c r="T9" s="1021">
        <f aca="true" t="shared" si="1" ref="T9:T25">J9+P9</f>
        <v>2701670</v>
      </c>
      <c r="U9" s="676">
        <f>U10+U13+U18+U19+U22</f>
        <v>1257291</v>
      </c>
      <c r="V9" s="888">
        <f>U9/T9*100</f>
        <v>46.53754899747193</v>
      </c>
      <c r="W9" s="662"/>
    </row>
    <row r="10" spans="2:22" ht="15.75" thickTop="1">
      <c r="B10" s="696">
        <f aca="true" t="shared" si="2" ref="B10:B25">B9+1</f>
        <v>2</v>
      </c>
      <c r="C10" s="697">
        <v>1</v>
      </c>
      <c r="D10" s="37" t="s">
        <v>171</v>
      </c>
      <c r="E10" s="136"/>
      <c r="F10" s="153">
        <f>F11</f>
        <v>530000</v>
      </c>
      <c r="G10" s="153">
        <f>G11</f>
        <v>185000</v>
      </c>
      <c r="H10" s="153">
        <f>H11+H12</f>
        <v>134840</v>
      </c>
      <c r="I10" s="153">
        <f>I11</f>
        <v>160</v>
      </c>
      <c r="J10" s="868">
        <f aca="true" t="shared" si="3" ref="J10:J25">SUM(F10:I10)</f>
        <v>850000</v>
      </c>
      <c r="K10" s="675">
        <f>K11+K12</f>
        <v>381589</v>
      </c>
      <c r="L10" s="889">
        <f aca="true" t="shared" si="4" ref="L10:L25">K10/J10*100</f>
        <v>44.892823529411764</v>
      </c>
      <c r="M10" s="528"/>
      <c r="N10" s="254"/>
      <c r="O10" s="157"/>
      <c r="P10" s="859">
        <f t="shared" si="0"/>
        <v>0</v>
      </c>
      <c r="Q10" s="675"/>
      <c r="R10" s="889"/>
      <c r="S10" s="528"/>
      <c r="T10" s="860">
        <f t="shared" si="1"/>
        <v>850000</v>
      </c>
      <c r="U10" s="675">
        <f aca="true" t="shared" si="5" ref="U10:U25">K10+Q10</f>
        <v>381589</v>
      </c>
      <c r="V10" s="889">
        <f aca="true" t="shared" si="6" ref="V10:V25">U10/T10*100</f>
        <v>44.892823529411764</v>
      </c>
    </row>
    <row r="11" spans="2:22" ht="12.75">
      <c r="B11" s="696">
        <f t="shared" si="2"/>
        <v>3</v>
      </c>
      <c r="C11" s="143"/>
      <c r="D11" s="143"/>
      <c r="E11" s="699" t="s">
        <v>383</v>
      </c>
      <c r="F11" s="327">
        <v>530000</v>
      </c>
      <c r="G11" s="328">
        <v>185000</v>
      </c>
      <c r="H11" s="329">
        <v>125304</v>
      </c>
      <c r="I11" s="328">
        <v>160</v>
      </c>
      <c r="J11" s="627">
        <f t="shared" si="3"/>
        <v>840464</v>
      </c>
      <c r="K11" s="621">
        <f>381589-5358</f>
        <v>376231</v>
      </c>
      <c r="L11" s="898">
        <f t="shared" si="4"/>
        <v>44.764677606655376</v>
      </c>
      <c r="M11" s="169"/>
      <c r="N11" s="542"/>
      <c r="O11" s="531"/>
      <c r="P11" s="627">
        <f>SUM(N11:O11)</f>
        <v>0</v>
      </c>
      <c r="Q11" s="621"/>
      <c r="R11" s="898"/>
      <c r="S11" s="170"/>
      <c r="T11" s="450">
        <f t="shared" si="1"/>
        <v>840464</v>
      </c>
      <c r="U11" s="621">
        <f t="shared" si="5"/>
        <v>376231</v>
      </c>
      <c r="V11" s="898">
        <f t="shared" si="6"/>
        <v>44.764677606655376</v>
      </c>
    </row>
    <row r="12" spans="2:22" ht="12.75">
      <c r="B12" s="696">
        <f t="shared" si="2"/>
        <v>4</v>
      </c>
      <c r="C12" s="143"/>
      <c r="D12" s="2"/>
      <c r="E12" s="699" t="s">
        <v>353</v>
      </c>
      <c r="F12" s="327"/>
      <c r="G12" s="328"/>
      <c r="H12" s="329">
        <v>9536</v>
      </c>
      <c r="I12" s="328"/>
      <c r="J12" s="627">
        <f t="shared" si="3"/>
        <v>9536</v>
      </c>
      <c r="K12" s="621">
        <v>5358</v>
      </c>
      <c r="L12" s="898">
        <f t="shared" si="4"/>
        <v>56.187080536912745</v>
      </c>
      <c r="M12" s="517"/>
      <c r="N12" s="542"/>
      <c r="O12" s="531"/>
      <c r="P12" s="643">
        <f t="shared" si="0"/>
        <v>0</v>
      </c>
      <c r="Q12" s="621"/>
      <c r="R12" s="898"/>
      <c r="S12" s="409"/>
      <c r="T12" s="534">
        <f t="shared" si="1"/>
        <v>9536</v>
      </c>
      <c r="U12" s="621">
        <f t="shared" si="5"/>
        <v>5358</v>
      </c>
      <c r="V12" s="898">
        <f t="shared" si="6"/>
        <v>56.187080536912745</v>
      </c>
    </row>
    <row r="13" spans="2:22" ht="15">
      <c r="B13" s="696">
        <f t="shared" si="2"/>
        <v>5</v>
      </c>
      <c r="C13" s="697">
        <v>2</v>
      </c>
      <c r="D13" s="37" t="s">
        <v>111</v>
      </c>
      <c r="E13" s="698"/>
      <c r="F13" s="159"/>
      <c r="G13" s="159"/>
      <c r="H13" s="159">
        <v>630000</v>
      </c>
      <c r="I13" s="159"/>
      <c r="J13" s="869">
        <f t="shared" si="3"/>
        <v>630000</v>
      </c>
      <c r="K13" s="707">
        <f>SUM(K14:K17)</f>
        <v>275606</v>
      </c>
      <c r="L13" s="899">
        <f t="shared" si="4"/>
        <v>43.74698412698413</v>
      </c>
      <c r="M13" s="528"/>
      <c r="N13" s="259"/>
      <c r="O13" s="159">
        <f>SUM(O15:O17)</f>
        <v>1195670</v>
      </c>
      <c r="P13" s="859">
        <f t="shared" si="0"/>
        <v>1195670</v>
      </c>
      <c r="Q13" s="707">
        <f>SUM(Q14:Q17)</f>
        <v>593751</v>
      </c>
      <c r="R13" s="899">
        <f>Q13/P13*100</f>
        <v>49.6584341833449</v>
      </c>
      <c r="S13" s="528"/>
      <c r="T13" s="860">
        <f t="shared" si="1"/>
        <v>1825670</v>
      </c>
      <c r="U13" s="707">
        <f t="shared" si="5"/>
        <v>869357</v>
      </c>
      <c r="V13" s="899">
        <f t="shared" si="6"/>
        <v>47.61851813306895</v>
      </c>
    </row>
    <row r="14" spans="2:22" ht="12.75">
      <c r="B14" s="696">
        <f t="shared" si="2"/>
        <v>6</v>
      </c>
      <c r="C14" s="143"/>
      <c r="D14" s="143"/>
      <c r="E14" s="699" t="s">
        <v>383</v>
      </c>
      <c r="F14" s="327"/>
      <c r="G14" s="328"/>
      <c r="H14" s="329">
        <f>H13-H16</f>
        <v>544534</v>
      </c>
      <c r="I14" s="700"/>
      <c r="J14" s="627">
        <f t="shared" si="3"/>
        <v>544534</v>
      </c>
      <c r="K14" s="621">
        <f>275606-50229</f>
        <v>225377</v>
      </c>
      <c r="L14" s="898">
        <f t="shared" si="4"/>
        <v>41.38896744739539</v>
      </c>
      <c r="M14" s="169"/>
      <c r="N14" s="542"/>
      <c r="O14" s="531"/>
      <c r="P14" s="627">
        <f>SUM(N14:O14)</f>
        <v>0</v>
      </c>
      <c r="Q14" s="621"/>
      <c r="R14" s="898"/>
      <c r="S14" s="170"/>
      <c r="T14" s="450">
        <f t="shared" si="1"/>
        <v>544534</v>
      </c>
      <c r="U14" s="621">
        <f t="shared" si="5"/>
        <v>225377</v>
      </c>
      <c r="V14" s="898">
        <f t="shared" si="6"/>
        <v>41.38896744739539</v>
      </c>
    </row>
    <row r="15" spans="2:22" ht="12.75">
      <c r="B15" s="696">
        <f t="shared" si="2"/>
        <v>7</v>
      </c>
      <c r="C15" s="701"/>
      <c r="D15" s="2"/>
      <c r="E15" s="440" t="s">
        <v>297</v>
      </c>
      <c r="F15" s="327"/>
      <c r="G15" s="328"/>
      <c r="H15" s="329"/>
      <c r="I15" s="328"/>
      <c r="J15" s="621">
        <f t="shared" si="3"/>
        <v>0</v>
      </c>
      <c r="K15" s="621"/>
      <c r="L15" s="898"/>
      <c r="M15" s="169"/>
      <c r="N15" s="296"/>
      <c r="O15" s="155">
        <v>1165000</v>
      </c>
      <c r="P15" s="643">
        <f t="shared" si="0"/>
        <v>1165000</v>
      </c>
      <c r="Q15" s="621">
        <v>581400</v>
      </c>
      <c r="R15" s="898">
        <f>Q15/P15*100</f>
        <v>49.90557939914163</v>
      </c>
      <c r="S15" s="255"/>
      <c r="T15" s="312">
        <f t="shared" si="1"/>
        <v>1165000</v>
      </c>
      <c r="U15" s="621">
        <f t="shared" si="5"/>
        <v>581400</v>
      </c>
      <c r="V15" s="898">
        <f t="shared" si="6"/>
        <v>49.90557939914163</v>
      </c>
    </row>
    <row r="16" spans="2:22" ht="12.75">
      <c r="B16" s="696">
        <f t="shared" si="2"/>
        <v>8</v>
      </c>
      <c r="C16" s="143"/>
      <c r="D16" s="2"/>
      <c r="E16" s="699" t="s">
        <v>353</v>
      </c>
      <c r="F16" s="327"/>
      <c r="G16" s="328"/>
      <c r="H16" s="329">
        <v>85466</v>
      </c>
      <c r="I16" s="328"/>
      <c r="J16" s="627">
        <f t="shared" si="3"/>
        <v>85466</v>
      </c>
      <c r="K16" s="621">
        <v>50229</v>
      </c>
      <c r="L16" s="898">
        <f t="shared" si="4"/>
        <v>58.77073924133573</v>
      </c>
      <c r="M16" s="517"/>
      <c r="N16" s="542"/>
      <c r="O16" s="541"/>
      <c r="P16" s="643">
        <f t="shared" si="0"/>
        <v>0</v>
      </c>
      <c r="Q16" s="621"/>
      <c r="R16" s="898"/>
      <c r="S16" s="409"/>
      <c r="T16" s="398">
        <f t="shared" si="1"/>
        <v>85466</v>
      </c>
      <c r="U16" s="621">
        <f t="shared" si="5"/>
        <v>50229</v>
      </c>
      <c r="V16" s="898">
        <f t="shared" si="6"/>
        <v>58.77073924133573</v>
      </c>
    </row>
    <row r="17" spans="2:22" ht="12.75">
      <c r="B17" s="696">
        <f t="shared" si="2"/>
        <v>9</v>
      </c>
      <c r="C17" s="701"/>
      <c r="D17" s="2"/>
      <c r="E17" s="581" t="s">
        <v>363</v>
      </c>
      <c r="F17" s="327"/>
      <c r="G17" s="328"/>
      <c r="H17" s="329"/>
      <c r="I17" s="328"/>
      <c r="J17" s="627">
        <f t="shared" si="3"/>
        <v>0</v>
      </c>
      <c r="K17" s="621"/>
      <c r="L17" s="898"/>
      <c r="M17" s="169"/>
      <c r="N17" s="296"/>
      <c r="O17" s="541">
        <v>30670</v>
      </c>
      <c r="P17" s="643">
        <f t="shared" si="0"/>
        <v>30670</v>
      </c>
      <c r="Q17" s="927">
        <f>11711+640</f>
        <v>12351</v>
      </c>
      <c r="R17" s="898">
        <f>Q17/P17*100</f>
        <v>40.270622758395824</v>
      </c>
      <c r="S17" s="255"/>
      <c r="T17" s="398">
        <f t="shared" si="1"/>
        <v>30670</v>
      </c>
      <c r="U17" s="621">
        <f t="shared" si="5"/>
        <v>12351</v>
      </c>
      <c r="V17" s="898">
        <f t="shared" si="6"/>
        <v>40.270622758395824</v>
      </c>
    </row>
    <row r="18" spans="2:22" ht="15">
      <c r="B18" s="696">
        <f t="shared" si="2"/>
        <v>10</v>
      </c>
      <c r="C18" s="697">
        <v>3</v>
      </c>
      <c r="D18" s="37" t="s">
        <v>172</v>
      </c>
      <c r="E18" s="698"/>
      <c r="F18" s="158"/>
      <c r="G18" s="159"/>
      <c r="H18" s="159">
        <v>4000</v>
      </c>
      <c r="I18" s="159"/>
      <c r="J18" s="869">
        <f t="shared" si="3"/>
        <v>4000</v>
      </c>
      <c r="K18" s="707">
        <v>190</v>
      </c>
      <c r="L18" s="899">
        <f t="shared" si="4"/>
        <v>4.75</v>
      </c>
      <c r="M18" s="528"/>
      <c r="N18" s="254"/>
      <c r="O18" s="157"/>
      <c r="P18" s="859">
        <f t="shared" si="0"/>
        <v>0</v>
      </c>
      <c r="Q18" s="707"/>
      <c r="R18" s="899"/>
      <c r="S18" s="528"/>
      <c r="T18" s="860">
        <f t="shared" si="1"/>
        <v>4000</v>
      </c>
      <c r="U18" s="707">
        <f t="shared" si="5"/>
        <v>190</v>
      </c>
      <c r="V18" s="899">
        <f t="shared" si="6"/>
        <v>4.75</v>
      </c>
    </row>
    <row r="19" spans="2:22" ht="15">
      <c r="B19" s="696">
        <f t="shared" si="2"/>
        <v>11</v>
      </c>
      <c r="C19" s="697">
        <v>4</v>
      </c>
      <c r="D19" s="37" t="s">
        <v>118</v>
      </c>
      <c r="E19" s="698"/>
      <c r="F19" s="158"/>
      <c r="G19" s="159"/>
      <c r="H19" s="159">
        <v>6000</v>
      </c>
      <c r="I19" s="159"/>
      <c r="J19" s="869">
        <f t="shared" si="3"/>
        <v>6000</v>
      </c>
      <c r="K19" s="707">
        <v>1733</v>
      </c>
      <c r="L19" s="899">
        <f t="shared" si="4"/>
        <v>28.883333333333333</v>
      </c>
      <c r="M19" s="169"/>
      <c r="N19" s="254"/>
      <c r="O19" s="157"/>
      <c r="P19" s="859">
        <f t="shared" si="0"/>
        <v>0</v>
      </c>
      <c r="Q19" s="707"/>
      <c r="R19" s="899"/>
      <c r="S19" s="528"/>
      <c r="T19" s="860">
        <f t="shared" si="1"/>
        <v>6000</v>
      </c>
      <c r="U19" s="707">
        <f t="shared" si="5"/>
        <v>1733</v>
      </c>
      <c r="V19" s="899">
        <f t="shared" si="6"/>
        <v>28.883333333333333</v>
      </c>
    </row>
    <row r="20" spans="2:22" ht="12.75">
      <c r="B20" s="696">
        <f t="shared" si="2"/>
        <v>12</v>
      </c>
      <c r="C20" s="143"/>
      <c r="D20" s="143"/>
      <c r="E20" s="699" t="s">
        <v>383</v>
      </c>
      <c r="F20" s="327"/>
      <c r="G20" s="328"/>
      <c r="H20" s="329">
        <f>H19-H21</f>
        <v>5378</v>
      </c>
      <c r="I20" s="700"/>
      <c r="J20" s="627">
        <f t="shared" si="3"/>
        <v>5378</v>
      </c>
      <c r="K20" s="621">
        <v>1733</v>
      </c>
      <c r="L20" s="898">
        <f t="shared" si="4"/>
        <v>32.22387504648568</v>
      </c>
      <c r="M20" s="169"/>
      <c r="N20" s="542"/>
      <c r="O20" s="531"/>
      <c r="P20" s="627">
        <f>SUM(N20:O20)</f>
        <v>0</v>
      </c>
      <c r="Q20" s="621"/>
      <c r="R20" s="898"/>
      <c r="S20" s="170"/>
      <c r="T20" s="450">
        <f t="shared" si="1"/>
        <v>5378</v>
      </c>
      <c r="U20" s="621">
        <f t="shared" si="5"/>
        <v>1733</v>
      </c>
      <c r="V20" s="898">
        <f t="shared" si="6"/>
        <v>32.22387504648568</v>
      </c>
    </row>
    <row r="21" spans="2:22" ht="12.75">
      <c r="B21" s="696">
        <f t="shared" si="2"/>
        <v>13</v>
      </c>
      <c r="C21" s="143"/>
      <c r="D21" s="2"/>
      <c r="E21" s="699" t="s">
        <v>353</v>
      </c>
      <c r="F21" s="327"/>
      <c r="G21" s="328"/>
      <c r="H21" s="329">
        <v>622</v>
      </c>
      <c r="I21" s="328"/>
      <c r="J21" s="627">
        <f t="shared" si="3"/>
        <v>622</v>
      </c>
      <c r="K21" s="621"/>
      <c r="L21" s="898">
        <f t="shared" si="4"/>
        <v>0</v>
      </c>
      <c r="M21" s="517"/>
      <c r="N21" s="542"/>
      <c r="O21" s="531"/>
      <c r="P21" s="643">
        <f t="shared" si="0"/>
        <v>0</v>
      </c>
      <c r="Q21" s="621"/>
      <c r="R21" s="898"/>
      <c r="S21" s="409"/>
      <c r="T21" s="398">
        <f t="shared" si="1"/>
        <v>622</v>
      </c>
      <c r="U21" s="621">
        <f t="shared" si="5"/>
        <v>0</v>
      </c>
      <c r="V21" s="898">
        <f t="shared" si="6"/>
        <v>0</v>
      </c>
    </row>
    <row r="22" spans="2:22" ht="15">
      <c r="B22" s="696">
        <f t="shared" si="2"/>
        <v>14</v>
      </c>
      <c r="C22" s="697">
        <v>5</v>
      </c>
      <c r="D22" s="37" t="s">
        <v>109</v>
      </c>
      <c r="E22" s="698"/>
      <c r="F22" s="158"/>
      <c r="G22" s="159"/>
      <c r="H22" s="159">
        <v>10000</v>
      </c>
      <c r="I22" s="159">
        <f>I24</f>
        <v>6000</v>
      </c>
      <c r="J22" s="869">
        <f t="shared" si="3"/>
        <v>16000</v>
      </c>
      <c r="K22" s="707">
        <f>SUM(K23:K25)</f>
        <v>4422</v>
      </c>
      <c r="L22" s="899">
        <f t="shared" si="4"/>
        <v>27.6375</v>
      </c>
      <c r="M22" s="528"/>
      <c r="N22" s="254"/>
      <c r="O22" s="157"/>
      <c r="P22" s="859">
        <f t="shared" si="0"/>
        <v>0</v>
      </c>
      <c r="Q22" s="707"/>
      <c r="R22" s="899"/>
      <c r="S22" s="528"/>
      <c r="T22" s="860">
        <f t="shared" si="1"/>
        <v>16000</v>
      </c>
      <c r="U22" s="707">
        <f t="shared" si="5"/>
        <v>4422</v>
      </c>
      <c r="V22" s="899">
        <f t="shared" si="6"/>
        <v>27.6375</v>
      </c>
    </row>
    <row r="23" spans="2:22" ht="12.75">
      <c r="B23" s="696">
        <f t="shared" si="2"/>
        <v>15</v>
      </c>
      <c r="C23" s="143"/>
      <c r="D23" s="143"/>
      <c r="E23" s="699" t="s">
        <v>383</v>
      </c>
      <c r="F23" s="327"/>
      <c r="G23" s="328"/>
      <c r="H23" s="329">
        <f>H22-H25</f>
        <v>8877</v>
      </c>
      <c r="I23" s="700"/>
      <c r="J23" s="627">
        <f t="shared" si="3"/>
        <v>8877</v>
      </c>
      <c r="K23" s="621">
        <f>2422-K25</f>
        <v>1884</v>
      </c>
      <c r="L23" s="898">
        <f t="shared" si="4"/>
        <v>21.22338627914836</v>
      </c>
      <c r="M23" s="169"/>
      <c r="N23" s="542"/>
      <c r="O23" s="531"/>
      <c r="P23" s="627">
        <f>SUM(N23:O23)</f>
        <v>0</v>
      </c>
      <c r="Q23" s="621"/>
      <c r="R23" s="898"/>
      <c r="S23" s="170"/>
      <c r="T23" s="450">
        <f t="shared" si="1"/>
        <v>8877</v>
      </c>
      <c r="U23" s="621">
        <f t="shared" si="5"/>
        <v>1884</v>
      </c>
      <c r="V23" s="898">
        <f t="shared" si="6"/>
        <v>21.22338627914836</v>
      </c>
    </row>
    <row r="24" spans="2:22" ht="12.75">
      <c r="B24" s="696">
        <f t="shared" si="2"/>
        <v>16</v>
      </c>
      <c r="C24" s="28"/>
      <c r="D24" s="2"/>
      <c r="E24" s="439" t="s">
        <v>384</v>
      </c>
      <c r="F24" s="327"/>
      <c r="G24" s="328"/>
      <c r="H24" s="329"/>
      <c r="I24" s="328">
        <v>6000</v>
      </c>
      <c r="J24" s="621">
        <f t="shared" si="3"/>
        <v>6000</v>
      </c>
      <c r="K24" s="621">
        <v>2000</v>
      </c>
      <c r="L24" s="898">
        <f t="shared" si="4"/>
        <v>33.33333333333333</v>
      </c>
      <c r="M24" s="169"/>
      <c r="N24" s="274"/>
      <c r="O24" s="155"/>
      <c r="P24" s="643">
        <f t="shared" si="0"/>
        <v>0</v>
      </c>
      <c r="Q24" s="621"/>
      <c r="R24" s="898"/>
      <c r="S24" s="169"/>
      <c r="T24" s="312">
        <f t="shared" si="1"/>
        <v>6000</v>
      </c>
      <c r="U24" s="621">
        <f t="shared" si="5"/>
        <v>2000</v>
      </c>
      <c r="V24" s="898">
        <f t="shared" si="6"/>
        <v>33.33333333333333</v>
      </c>
    </row>
    <row r="25" spans="2:22" ht="13.5" thickBot="1">
      <c r="B25" s="702">
        <f t="shared" si="2"/>
        <v>17</v>
      </c>
      <c r="C25" s="703"/>
      <c r="D25" s="55"/>
      <c r="E25" s="704" t="s">
        <v>353</v>
      </c>
      <c r="F25" s="350"/>
      <c r="G25" s="351"/>
      <c r="H25" s="352">
        <v>1123</v>
      </c>
      <c r="I25" s="351"/>
      <c r="J25" s="644">
        <f t="shared" si="3"/>
        <v>1123</v>
      </c>
      <c r="K25" s="648">
        <v>538</v>
      </c>
      <c r="L25" s="900">
        <f t="shared" si="4"/>
        <v>47.90739091718611</v>
      </c>
      <c r="M25" s="517"/>
      <c r="N25" s="543"/>
      <c r="O25" s="533"/>
      <c r="P25" s="641"/>
      <c r="Q25" s="648"/>
      <c r="R25" s="900"/>
      <c r="S25" s="409"/>
      <c r="T25" s="555">
        <f t="shared" si="1"/>
        <v>1123</v>
      </c>
      <c r="U25" s="648">
        <f t="shared" si="5"/>
        <v>538</v>
      </c>
      <c r="V25" s="900">
        <f t="shared" si="6"/>
        <v>47.90739091718611</v>
      </c>
    </row>
    <row r="26" spans="3:20" ht="12.75">
      <c r="C26" s="6"/>
      <c r="D26" s="6"/>
      <c r="E26" s="6"/>
      <c r="F26" s="6"/>
      <c r="G26" s="6"/>
      <c r="H26" s="6"/>
      <c r="I26" s="6"/>
      <c r="J26" s="484"/>
      <c r="K26" s="484"/>
      <c r="L26" s="484"/>
      <c r="M26" s="483"/>
      <c r="N26" s="6"/>
      <c r="O26" s="6"/>
      <c r="P26" s="6"/>
      <c r="Q26" s="6"/>
      <c r="R26" s="6"/>
      <c r="S26" s="483"/>
      <c r="T26" s="6"/>
    </row>
    <row r="27" spans="3:12" ht="12.75">
      <c r="C27" s="407"/>
      <c r="D27" s="556"/>
      <c r="E27" s="171"/>
      <c r="F27" s="557"/>
      <c r="G27" s="171"/>
      <c r="H27" s="558"/>
      <c r="I27" s="559"/>
      <c r="J27" s="171"/>
      <c r="K27" s="684"/>
      <c r="L27" s="684"/>
    </row>
    <row r="28" spans="3:12" ht="12.75">
      <c r="C28" s="407"/>
      <c r="D28" s="556"/>
      <c r="E28" s="171"/>
      <c r="F28" s="557"/>
      <c r="G28" s="171"/>
      <c r="H28" s="558"/>
      <c r="I28" s="559"/>
      <c r="J28" s="171"/>
      <c r="K28" s="737"/>
      <c r="L28" s="684"/>
    </row>
    <row r="29" spans="3:12" ht="12.75">
      <c r="C29" s="407"/>
      <c r="D29" s="556"/>
      <c r="E29" s="171"/>
      <c r="F29" s="557"/>
      <c r="G29" s="171"/>
      <c r="H29" s="558"/>
      <c r="I29" s="559"/>
      <c r="J29" s="171"/>
      <c r="K29" s="684"/>
      <c r="L29" s="684"/>
    </row>
    <row r="30" spans="3:12" ht="12.75">
      <c r="C30" s="407"/>
      <c r="D30" s="556"/>
      <c r="E30" s="171"/>
      <c r="F30" s="557"/>
      <c r="G30" s="171"/>
      <c r="H30" s="558"/>
      <c r="I30" s="559"/>
      <c r="J30" s="171"/>
      <c r="K30" s="684"/>
      <c r="L30" s="684"/>
    </row>
    <row r="31" spans="3:17" ht="12.75">
      <c r="C31" s="407"/>
      <c r="D31" s="556"/>
      <c r="E31" s="171"/>
      <c r="F31" s="557"/>
      <c r="G31" s="171"/>
      <c r="H31" s="558"/>
      <c r="I31" s="559"/>
      <c r="J31" s="171"/>
      <c r="K31" s="684"/>
      <c r="L31" s="684"/>
      <c r="Q31" s="671"/>
    </row>
    <row r="32" spans="3:12" ht="12.75">
      <c r="C32" s="407"/>
      <c r="D32" s="556"/>
      <c r="E32" s="171"/>
      <c r="F32" s="557"/>
      <c r="G32" s="171"/>
      <c r="H32" s="558"/>
      <c r="I32" s="559"/>
      <c r="J32" s="171"/>
      <c r="K32" s="684"/>
      <c r="L32" s="684"/>
    </row>
    <row r="33" spans="3:12" ht="12.75">
      <c r="C33" s="407"/>
      <c r="D33" s="171"/>
      <c r="E33" s="171"/>
      <c r="F33" s="171"/>
      <c r="G33" s="171"/>
      <c r="H33" s="552"/>
      <c r="I33" s="171"/>
      <c r="J33" s="171"/>
      <c r="K33" s="684"/>
      <c r="L33" s="684"/>
    </row>
    <row r="34" spans="3:12" ht="12.75">
      <c r="C34" s="407"/>
      <c r="D34" s="171"/>
      <c r="E34" s="171"/>
      <c r="F34" s="171"/>
      <c r="G34" s="171"/>
      <c r="H34" s="171"/>
      <c r="I34" s="171"/>
      <c r="J34" s="171"/>
      <c r="K34" s="684"/>
      <c r="L34" s="684"/>
    </row>
  </sheetData>
  <sheetProtection/>
  <mergeCells count="24">
    <mergeCell ref="R4:R6"/>
    <mergeCell ref="U4:U8"/>
    <mergeCell ref="T4:T8"/>
    <mergeCell ref="P7:P8"/>
    <mergeCell ref="N5:Q5"/>
    <mergeCell ref="B4:Q4"/>
    <mergeCell ref="N7:N8"/>
    <mergeCell ref="Q7:Q8"/>
    <mergeCell ref="G7:G8"/>
    <mergeCell ref="O7:O8"/>
    <mergeCell ref="V4:V8"/>
    <mergeCell ref="C6:C8"/>
    <mergeCell ref="F7:F8"/>
    <mergeCell ref="L7:L8"/>
    <mergeCell ref="I7:I8"/>
    <mergeCell ref="N6:Q6"/>
    <mergeCell ref="J7:J8"/>
    <mergeCell ref="L5:L6"/>
    <mergeCell ref="R7:R8"/>
    <mergeCell ref="H7:H8"/>
    <mergeCell ref="B5:K5"/>
    <mergeCell ref="D6:D8"/>
    <mergeCell ref="E6:K6"/>
    <mergeCell ref="K7:K8"/>
  </mergeCells>
  <printOptions/>
  <pageMargins left="0.28" right="0.1968503937007874" top="0.87" bottom="1.12" header="0.5511811023622047" footer="0.5118110236220472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23"/>
  <sheetViews>
    <sheetView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7109375" style="6" customWidth="1"/>
    <col min="3" max="3" width="2.421875" style="5" customWidth="1"/>
    <col min="4" max="4" width="2.28125" style="0" customWidth="1"/>
    <col min="5" max="5" width="44.140625" style="0" customWidth="1"/>
    <col min="6" max="6" width="11.28125" style="0" customWidth="1"/>
    <col min="7" max="7" width="6.8515625" style="0" customWidth="1"/>
    <col min="8" max="8" width="11.00390625" style="0" customWidth="1"/>
    <col min="9" max="9" width="11.00390625" style="487" customWidth="1"/>
    <col min="10" max="10" width="6.421875" style="487" customWidth="1"/>
    <col min="11" max="11" width="1.28515625" style="269" customWidth="1"/>
    <col min="12" max="12" width="7.7109375" style="0" customWidth="1"/>
    <col min="13" max="13" width="8.7109375" style="0" customWidth="1"/>
    <col min="14" max="14" width="8.57421875" style="0" customWidth="1"/>
    <col min="15" max="15" width="10.7109375" style="0" customWidth="1"/>
    <col min="16" max="16" width="12.00390625" style="487" customWidth="1"/>
    <col min="17" max="17" width="6.8515625" style="487" customWidth="1"/>
    <col min="18" max="18" width="1.57421875" style="269" customWidth="1"/>
    <col min="19" max="19" width="10.28125" style="0" customWidth="1"/>
    <col min="20" max="20" width="10.8515625" style="487" customWidth="1"/>
    <col min="21" max="21" width="8.00390625" style="989" customWidth="1"/>
  </cols>
  <sheetData>
    <row r="1" spans="8:19" ht="15.75" customHeight="1">
      <c r="H1" s="188"/>
      <c r="I1" s="50"/>
      <c r="J1" s="50"/>
      <c r="K1" s="192"/>
      <c r="L1" s="44"/>
      <c r="M1" s="44"/>
      <c r="N1" s="263"/>
      <c r="O1" s="50"/>
      <c r="P1" s="50"/>
      <c r="Q1" s="50"/>
      <c r="R1" s="193"/>
      <c r="S1" s="263"/>
    </row>
    <row r="2" spans="3:19" ht="27">
      <c r="C2" s="264" t="s">
        <v>232</v>
      </c>
      <c r="G2" s="856"/>
      <c r="H2" s="196"/>
      <c r="I2" s="682"/>
      <c r="J2" s="682"/>
      <c r="K2" s="297"/>
      <c r="L2" s="856"/>
      <c r="M2" s="856"/>
      <c r="O2" s="248"/>
      <c r="P2" s="708"/>
      <c r="Q2" s="708"/>
      <c r="S2" s="248"/>
    </row>
    <row r="3" ht="5.25" customHeight="1" thickBot="1"/>
    <row r="4" spans="2:21" ht="12.75" customHeight="1">
      <c r="B4" s="1173" t="s">
        <v>306</v>
      </c>
      <c r="C4" s="1174"/>
      <c r="D4" s="1174"/>
      <c r="E4" s="1174"/>
      <c r="F4" s="1174"/>
      <c r="G4" s="1174"/>
      <c r="H4" s="1174"/>
      <c r="I4" s="1174"/>
      <c r="J4" s="1174"/>
      <c r="K4" s="1174"/>
      <c r="L4" s="1174"/>
      <c r="M4" s="1174"/>
      <c r="N4" s="1174"/>
      <c r="O4" s="1174"/>
      <c r="P4" s="1175"/>
      <c r="Q4" s="1131" t="s">
        <v>406</v>
      </c>
      <c r="R4" s="270"/>
      <c r="S4" s="1100" t="s">
        <v>405</v>
      </c>
      <c r="T4" s="1096" t="s">
        <v>465</v>
      </c>
      <c r="U4" s="1134" t="s">
        <v>406</v>
      </c>
    </row>
    <row r="5" spans="2:21" ht="18.75" customHeight="1">
      <c r="B5" s="1170" t="s">
        <v>11</v>
      </c>
      <c r="C5" s="1171"/>
      <c r="D5" s="1171"/>
      <c r="E5" s="1171"/>
      <c r="F5" s="1171"/>
      <c r="G5" s="1171"/>
      <c r="H5" s="1171"/>
      <c r="I5" s="1172"/>
      <c r="J5" s="1176" t="s">
        <v>406</v>
      </c>
      <c r="K5" s="271"/>
      <c r="L5" s="1170" t="s">
        <v>294</v>
      </c>
      <c r="M5" s="1171"/>
      <c r="N5" s="1171"/>
      <c r="O5" s="1171"/>
      <c r="P5" s="1172"/>
      <c r="Q5" s="1132"/>
      <c r="R5" s="271"/>
      <c r="S5" s="1101"/>
      <c r="T5" s="1097"/>
      <c r="U5" s="1135"/>
    </row>
    <row r="6" spans="2:21" ht="12.75" customHeight="1">
      <c r="B6" s="709"/>
      <c r="C6" s="1169" t="s">
        <v>147</v>
      </c>
      <c r="D6" s="1169" t="s">
        <v>148</v>
      </c>
      <c r="E6" s="1088" t="s">
        <v>10</v>
      </c>
      <c r="F6" s="1089"/>
      <c r="G6" s="1089"/>
      <c r="H6" s="1089"/>
      <c r="I6" s="1090"/>
      <c r="J6" s="1132"/>
      <c r="K6" s="15"/>
      <c r="L6" s="1118" t="s">
        <v>10</v>
      </c>
      <c r="M6" s="1089"/>
      <c r="N6" s="1089"/>
      <c r="O6" s="1089"/>
      <c r="P6" s="1090"/>
      <c r="Q6" s="1132"/>
      <c r="R6" s="15"/>
      <c r="S6" s="1101"/>
      <c r="T6" s="1097"/>
      <c r="U6" s="1135"/>
    </row>
    <row r="7" spans="2:21" ht="33" customHeight="1">
      <c r="B7" s="40"/>
      <c r="C7" s="1107"/>
      <c r="D7" s="1107"/>
      <c r="E7" s="438" t="s">
        <v>4</v>
      </c>
      <c r="F7" s="1111">
        <v>630</v>
      </c>
      <c r="G7" s="1113">
        <v>640</v>
      </c>
      <c r="H7" s="1125" t="s">
        <v>492</v>
      </c>
      <c r="I7" s="1094" t="s">
        <v>465</v>
      </c>
      <c r="J7" s="1132"/>
      <c r="K7" s="266"/>
      <c r="L7" s="1146">
        <v>716</v>
      </c>
      <c r="M7" s="1113">
        <v>711</v>
      </c>
      <c r="N7" s="1113">
        <v>717</v>
      </c>
      <c r="O7" s="1125" t="s">
        <v>492</v>
      </c>
      <c r="P7" s="1094" t="s">
        <v>465</v>
      </c>
      <c r="Q7" s="1132"/>
      <c r="R7" s="272"/>
      <c r="S7" s="1101"/>
      <c r="T7" s="1097"/>
      <c r="U7" s="1135"/>
    </row>
    <row r="8" spans="2:21" ht="36.75" customHeight="1" thickBot="1">
      <c r="B8" s="45"/>
      <c r="C8" s="1108"/>
      <c r="D8" s="1108"/>
      <c r="E8" s="123"/>
      <c r="F8" s="1112"/>
      <c r="G8" s="1099"/>
      <c r="H8" s="1110"/>
      <c r="I8" s="1095"/>
      <c r="J8" s="1177"/>
      <c r="K8" s="195"/>
      <c r="L8" s="1122"/>
      <c r="M8" s="1099"/>
      <c r="N8" s="1099"/>
      <c r="O8" s="1110"/>
      <c r="P8" s="1095"/>
      <c r="Q8" s="1177"/>
      <c r="R8" s="195"/>
      <c r="S8" s="1102"/>
      <c r="T8" s="1097"/>
      <c r="U8" s="1135"/>
    </row>
    <row r="9" spans="2:22" ht="25.5" customHeight="1" thickBot="1" thickTop="1">
      <c r="B9" s="30">
        <v>1</v>
      </c>
      <c r="C9" s="198" t="s">
        <v>233</v>
      </c>
      <c r="D9" s="280"/>
      <c r="E9" s="298"/>
      <c r="F9" s="276">
        <f>F10+F14+F17</f>
        <v>3721300</v>
      </c>
      <c r="G9" s="277">
        <f>G10+G14+G17</f>
        <v>0</v>
      </c>
      <c r="H9" s="642">
        <f aca="true" t="shared" si="0" ref="H9:H19">SUM(F9:G9)</f>
        <v>3721300</v>
      </c>
      <c r="I9" s="676">
        <f>I10+I14+I17</f>
        <v>869752</v>
      </c>
      <c r="J9" s="902">
        <f>I9/H9*100</f>
        <v>23.372262381425845</v>
      </c>
      <c r="K9" s="278"/>
      <c r="L9" s="279">
        <f>L10+L14+L17</f>
        <v>50000</v>
      </c>
      <c r="M9" s="277">
        <f>M10+M14+M17</f>
        <v>281615</v>
      </c>
      <c r="N9" s="277">
        <f>N10+N14+N17</f>
        <v>200000</v>
      </c>
      <c r="O9" s="642">
        <f aca="true" t="shared" si="1" ref="O9:O19">SUM(L9:N9)</f>
        <v>531615</v>
      </c>
      <c r="P9" s="676">
        <f>P10+P14+P17</f>
        <v>43951</v>
      </c>
      <c r="Q9" s="901">
        <f>P9/O9*100</f>
        <v>8.26744918785211</v>
      </c>
      <c r="R9" s="278"/>
      <c r="S9" s="864">
        <f aca="true" t="shared" si="2" ref="S9:S19">H9+O9</f>
        <v>4252915</v>
      </c>
      <c r="T9" s="676">
        <f>I9+P9</f>
        <v>913703</v>
      </c>
      <c r="U9" s="901">
        <f>T9/S9*100</f>
        <v>21.484158512455576</v>
      </c>
      <c r="V9" s="617"/>
    </row>
    <row r="10" spans="2:22" ht="15.75" thickTop="1">
      <c r="B10" s="30">
        <f aca="true" t="shared" si="3" ref="B10:B19">B9+1</f>
        <v>2</v>
      </c>
      <c r="C10" s="41">
        <v>1</v>
      </c>
      <c r="D10" s="42" t="s">
        <v>226</v>
      </c>
      <c r="E10" s="136"/>
      <c r="F10" s="153">
        <f>SUM(F11:F13)</f>
        <v>2286877</v>
      </c>
      <c r="G10" s="157"/>
      <c r="H10" s="858">
        <f t="shared" si="0"/>
        <v>2286877</v>
      </c>
      <c r="I10" s="675">
        <f>I11</f>
        <v>644742</v>
      </c>
      <c r="J10" s="903">
        <f aca="true" t="shared" si="4" ref="J10:J16">I10/H10*100</f>
        <v>28.193121011755334</v>
      </c>
      <c r="K10" s="194"/>
      <c r="L10" s="299"/>
      <c r="M10" s="519"/>
      <c r="N10" s="167"/>
      <c r="O10" s="865">
        <f t="shared" si="1"/>
        <v>0</v>
      </c>
      <c r="P10" s="675"/>
      <c r="Q10" s="903"/>
      <c r="R10" s="194"/>
      <c r="S10" s="860">
        <f t="shared" si="2"/>
        <v>2286877</v>
      </c>
      <c r="T10" s="675">
        <f aca="true" t="shared" si="5" ref="T10:T19">I10+P10</f>
        <v>644742</v>
      </c>
      <c r="U10" s="889">
        <f aca="true" t="shared" si="6" ref="U10:U19">T10/S10*100</f>
        <v>28.193121011755334</v>
      </c>
      <c r="V10" s="617"/>
    </row>
    <row r="11" spans="2:22" ht="12.75">
      <c r="B11" s="30">
        <f t="shared" si="3"/>
        <v>3</v>
      </c>
      <c r="C11" s="29"/>
      <c r="D11" s="14"/>
      <c r="E11" s="440" t="s">
        <v>357</v>
      </c>
      <c r="F11" s="560">
        <f>107457*12</f>
        <v>1289484</v>
      </c>
      <c r="G11" s="328"/>
      <c r="H11" s="627">
        <f t="shared" si="0"/>
        <v>1289484</v>
      </c>
      <c r="I11" s="669">
        <v>644742</v>
      </c>
      <c r="J11" s="904">
        <f t="shared" si="4"/>
        <v>50</v>
      </c>
      <c r="K11" s="35"/>
      <c r="L11" s="348"/>
      <c r="M11" s="327"/>
      <c r="N11" s="328"/>
      <c r="O11" s="627">
        <f t="shared" si="1"/>
        <v>0</v>
      </c>
      <c r="P11" s="669"/>
      <c r="Q11" s="904"/>
      <c r="R11" s="35"/>
      <c r="S11" s="450">
        <f t="shared" si="2"/>
        <v>1289484</v>
      </c>
      <c r="T11" s="669">
        <f t="shared" si="5"/>
        <v>644742</v>
      </c>
      <c r="U11" s="890">
        <f t="shared" si="6"/>
        <v>50</v>
      </c>
      <c r="V11" s="617"/>
    </row>
    <row r="12" spans="2:22" ht="12.75">
      <c r="B12" s="30">
        <f t="shared" si="3"/>
        <v>4</v>
      </c>
      <c r="C12" s="29"/>
      <c r="D12" s="14"/>
      <c r="E12" s="530" t="s">
        <v>356</v>
      </c>
      <c r="F12" s="357">
        <v>782479</v>
      </c>
      <c r="G12" s="331"/>
      <c r="H12" s="627">
        <f t="shared" si="0"/>
        <v>782479</v>
      </c>
      <c r="I12" s="669"/>
      <c r="J12" s="904">
        <f t="shared" si="4"/>
        <v>0</v>
      </c>
      <c r="K12" s="35"/>
      <c r="L12" s="387"/>
      <c r="M12" s="330"/>
      <c r="N12" s="331"/>
      <c r="O12" s="627"/>
      <c r="P12" s="669"/>
      <c r="Q12" s="904"/>
      <c r="R12" s="35"/>
      <c r="S12" s="450">
        <f t="shared" si="2"/>
        <v>782479</v>
      </c>
      <c r="T12" s="669">
        <f t="shared" si="5"/>
        <v>0</v>
      </c>
      <c r="U12" s="890">
        <f t="shared" si="6"/>
        <v>0</v>
      </c>
      <c r="V12" s="617"/>
    </row>
    <row r="13" spans="2:22" ht="12.75">
      <c r="B13" s="30">
        <f t="shared" si="3"/>
        <v>5</v>
      </c>
      <c r="C13" s="29"/>
      <c r="D13" s="14"/>
      <c r="E13" s="530" t="s">
        <v>353</v>
      </c>
      <c r="F13" s="330">
        <v>214914</v>
      </c>
      <c r="G13" s="331"/>
      <c r="H13" s="627">
        <f t="shared" si="0"/>
        <v>214914</v>
      </c>
      <c r="I13" s="669"/>
      <c r="J13" s="904">
        <f t="shared" si="4"/>
        <v>0</v>
      </c>
      <c r="K13" s="35"/>
      <c r="L13" s="387"/>
      <c r="M13" s="331"/>
      <c r="N13" s="331"/>
      <c r="O13" s="627">
        <f t="shared" si="1"/>
        <v>0</v>
      </c>
      <c r="P13" s="669"/>
      <c r="Q13" s="904"/>
      <c r="R13" s="35"/>
      <c r="S13" s="450">
        <f t="shared" si="2"/>
        <v>214914</v>
      </c>
      <c r="T13" s="669">
        <f t="shared" si="5"/>
        <v>0</v>
      </c>
      <c r="U13" s="890">
        <f t="shared" si="6"/>
        <v>0</v>
      </c>
      <c r="V13" s="617"/>
    </row>
    <row r="14" spans="2:22" ht="15">
      <c r="B14" s="30">
        <f t="shared" si="3"/>
        <v>6</v>
      </c>
      <c r="C14" s="41">
        <v>2</v>
      </c>
      <c r="D14" s="42" t="s">
        <v>103</v>
      </c>
      <c r="E14" s="136"/>
      <c r="F14" s="153">
        <f>SUM(F15:F16)</f>
        <v>1434423</v>
      </c>
      <c r="G14" s="157"/>
      <c r="H14" s="852">
        <f t="shared" si="0"/>
        <v>1434423</v>
      </c>
      <c r="I14" s="672">
        <f>SUM(I15:I16)</f>
        <v>225010</v>
      </c>
      <c r="J14" s="903">
        <f t="shared" si="4"/>
        <v>15.686446745485815</v>
      </c>
      <c r="K14" s="194"/>
      <c r="L14" s="254"/>
      <c r="M14" s="153"/>
      <c r="N14" s="157"/>
      <c r="O14" s="859">
        <f t="shared" si="1"/>
        <v>0</v>
      </c>
      <c r="P14" s="672"/>
      <c r="Q14" s="903"/>
      <c r="R14" s="194"/>
      <c r="S14" s="860">
        <f t="shared" si="2"/>
        <v>1434423</v>
      </c>
      <c r="T14" s="672">
        <f t="shared" si="5"/>
        <v>225010</v>
      </c>
      <c r="U14" s="891">
        <f t="shared" si="6"/>
        <v>15.686446745485815</v>
      </c>
      <c r="V14" s="617"/>
    </row>
    <row r="15" spans="2:22" ht="12.75">
      <c r="B15" s="30">
        <f t="shared" si="3"/>
        <v>7</v>
      </c>
      <c r="C15" s="29"/>
      <c r="D15" s="14"/>
      <c r="E15" s="440" t="s">
        <v>358</v>
      </c>
      <c r="F15" s="560">
        <v>416000</v>
      </c>
      <c r="G15" s="328"/>
      <c r="H15" s="627">
        <f t="shared" si="0"/>
        <v>416000</v>
      </c>
      <c r="I15" s="669">
        <f>127132+30412+48195+19271-100109</f>
        <v>124901</v>
      </c>
      <c r="J15" s="904">
        <f t="shared" si="4"/>
        <v>30.024278846153845</v>
      </c>
      <c r="K15" s="35"/>
      <c r="L15" s="348"/>
      <c r="M15" s="327"/>
      <c r="N15" s="328"/>
      <c r="O15" s="627">
        <f>SUM(L15:N15)</f>
        <v>0</v>
      </c>
      <c r="P15" s="669"/>
      <c r="Q15" s="904"/>
      <c r="R15" s="35"/>
      <c r="S15" s="450">
        <f t="shared" si="2"/>
        <v>416000</v>
      </c>
      <c r="T15" s="669">
        <f t="shared" si="5"/>
        <v>124901</v>
      </c>
      <c r="U15" s="890">
        <f t="shared" si="6"/>
        <v>30.024278846153845</v>
      </c>
      <c r="V15" s="617"/>
    </row>
    <row r="16" spans="2:22" ht="12.75">
      <c r="B16" s="30">
        <f t="shared" si="3"/>
        <v>8</v>
      </c>
      <c r="C16" s="29"/>
      <c r="D16" s="14"/>
      <c r="E16" s="530" t="s">
        <v>353</v>
      </c>
      <c r="F16" s="330">
        <f>1151746-133330-1+3+5</f>
        <v>1018423</v>
      </c>
      <c r="G16" s="331"/>
      <c r="H16" s="627">
        <f t="shared" si="0"/>
        <v>1018423</v>
      </c>
      <c r="I16" s="669">
        <v>100109</v>
      </c>
      <c r="J16" s="904">
        <f t="shared" si="4"/>
        <v>9.82980549339518</v>
      </c>
      <c r="K16" s="35"/>
      <c r="L16" s="387"/>
      <c r="M16" s="330"/>
      <c r="N16" s="331"/>
      <c r="O16" s="627">
        <f t="shared" si="1"/>
        <v>0</v>
      </c>
      <c r="P16" s="669"/>
      <c r="Q16" s="904"/>
      <c r="R16" s="35"/>
      <c r="S16" s="450">
        <f t="shared" si="2"/>
        <v>1018423</v>
      </c>
      <c r="T16" s="669">
        <f t="shared" si="5"/>
        <v>100109</v>
      </c>
      <c r="U16" s="890">
        <f t="shared" si="6"/>
        <v>9.82980549339518</v>
      </c>
      <c r="V16" s="617"/>
    </row>
    <row r="17" spans="2:22" ht="15">
      <c r="B17" s="30">
        <f t="shared" si="3"/>
        <v>9</v>
      </c>
      <c r="C17" s="41">
        <v>3</v>
      </c>
      <c r="D17" s="42" t="s">
        <v>173</v>
      </c>
      <c r="E17" s="136"/>
      <c r="F17" s="153"/>
      <c r="G17" s="157"/>
      <c r="H17" s="852">
        <f t="shared" si="0"/>
        <v>0</v>
      </c>
      <c r="I17" s="672"/>
      <c r="J17" s="903"/>
      <c r="K17" s="194"/>
      <c r="L17" s="254">
        <f>L19</f>
        <v>50000</v>
      </c>
      <c r="M17" s="157">
        <f>SUM(M18:M19)</f>
        <v>281615</v>
      </c>
      <c r="N17" s="157">
        <f>SUM(N18:N19)</f>
        <v>200000</v>
      </c>
      <c r="O17" s="859">
        <f t="shared" si="1"/>
        <v>531615</v>
      </c>
      <c r="P17" s="672">
        <f>SUM(P18:P19)</f>
        <v>43951</v>
      </c>
      <c r="Q17" s="891">
        <f>P17/O17*100</f>
        <v>8.26744918785211</v>
      </c>
      <c r="R17" s="194"/>
      <c r="S17" s="860">
        <f t="shared" si="2"/>
        <v>531615</v>
      </c>
      <c r="T17" s="672">
        <f t="shared" si="5"/>
        <v>43951</v>
      </c>
      <c r="U17" s="891">
        <f t="shared" si="6"/>
        <v>8.26744918785211</v>
      </c>
      <c r="V17" s="617"/>
    </row>
    <row r="18" spans="2:22" ht="12.75">
      <c r="B18" s="30">
        <f t="shared" si="3"/>
        <v>10</v>
      </c>
      <c r="C18" s="29"/>
      <c r="D18" s="14"/>
      <c r="E18" s="560" t="s">
        <v>359</v>
      </c>
      <c r="F18" s="560"/>
      <c r="G18" s="328"/>
      <c r="H18" s="627">
        <f t="shared" si="0"/>
        <v>0</v>
      </c>
      <c r="I18" s="669"/>
      <c r="J18" s="904"/>
      <c r="K18" s="35"/>
      <c r="L18" s="348"/>
      <c r="M18" s="330">
        <v>281615</v>
      </c>
      <c r="N18" s="328"/>
      <c r="O18" s="627">
        <f>SUM(L18:N18)</f>
        <v>281615</v>
      </c>
      <c r="P18" s="669"/>
      <c r="Q18" s="890">
        <f>P18/O18*100</f>
        <v>0</v>
      </c>
      <c r="R18" s="35"/>
      <c r="S18" s="450">
        <f t="shared" si="2"/>
        <v>281615</v>
      </c>
      <c r="T18" s="669">
        <f t="shared" si="5"/>
        <v>0</v>
      </c>
      <c r="U18" s="890">
        <f t="shared" si="6"/>
        <v>0</v>
      </c>
      <c r="V18" s="617"/>
    </row>
    <row r="19" spans="2:22" ht="13.5" thickBot="1">
      <c r="B19" s="31">
        <f t="shared" si="3"/>
        <v>11</v>
      </c>
      <c r="C19" s="34"/>
      <c r="D19" s="55"/>
      <c r="E19" s="532" t="s">
        <v>360</v>
      </c>
      <c r="F19" s="561"/>
      <c r="G19" s="351"/>
      <c r="H19" s="644">
        <f t="shared" si="0"/>
        <v>0</v>
      </c>
      <c r="I19" s="710"/>
      <c r="J19" s="905"/>
      <c r="K19" s="35"/>
      <c r="L19" s="485">
        <v>50000</v>
      </c>
      <c r="M19" s="350"/>
      <c r="N19" s="351">
        <f>380000-180000</f>
        <v>200000</v>
      </c>
      <c r="O19" s="644">
        <f t="shared" si="1"/>
        <v>250000</v>
      </c>
      <c r="P19" s="710">
        <f>1784+940+41227</f>
        <v>43951</v>
      </c>
      <c r="Q19" s="892">
        <f>P19/O19*100</f>
        <v>17.580399999999997</v>
      </c>
      <c r="R19" s="35"/>
      <c r="S19" s="486">
        <f t="shared" si="2"/>
        <v>250000</v>
      </c>
      <c r="T19" s="679">
        <f t="shared" si="5"/>
        <v>43951</v>
      </c>
      <c r="U19" s="892">
        <f t="shared" si="6"/>
        <v>17.580399999999997</v>
      </c>
      <c r="V19" s="617"/>
    </row>
    <row r="20" spans="12:19" ht="12.75">
      <c r="L20" s="33"/>
      <c r="M20" s="33"/>
      <c r="N20" s="33"/>
      <c r="O20" s="33"/>
      <c r="P20" s="670"/>
      <c r="Q20" s="670"/>
      <c r="S20" s="33"/>
    </row>
    <row r="22" ht="12.75">
      <c r="I22" s="671"/>
    </row>
    <row r="23" ht="12.75">
      <c r="P23" s="671"/>
    </row>
  </sheetData>
  <sheetProtection/>
  <mergeCells count="21">
    <mergeCell ref="I7:I8"/>
    <mergeCell ref="U4:U8"/>
    <mergeCell ref="L6:P6"/>
    <mergeCell ref="P7:P8"/>
    <mergeCell ref="B4:P4"/>
    <mergeCell ref="G7:G8"/>
    <mergeCell ref="E6:I6"/>
    <mergeCell ref="L7:L8"/>
    <mergeCell ref="O7:O8"/>
    <mergeCell ref="S4:S8"/>
    <mergeCell ref="J5:J8"/>
    <mergeCell ref="D6:D8"/>
    <mergeCell ref="B5:I5"/>
    <mergeCell ref="T4:T8"/>
    <mergeCell ref="C6:C8"/>
    <mergeCell ref="M7:M8"/>
    <mergeCell ref="L5:P5"/>
    <mergeCell ref="N7:N8"/>
    <mergeCell ref="F7:F8"/>
    <mergeCell ref="Q4:Q8"/>
    <mergeCell ref="H7:H8"/>
  </mergeCells>
  <printOptions/>
  <pageMargins left="0.15748031496062992" right="0.1968503937007874" top="0.6692913385826772" bottom="0.984251968503937" header="0.6692913385826772" footer="0.5118110236220472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7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28125" style="6" customWidth="1"/>
    <col min="3" max="3" width="2.28125" style="5" customWidth="1"/>
    <col min="4" max="4" width="2.28125" style="0" customWidth="1"/>
    <col min="5" max="5" width="39.421875" style="0" customWidth="1"/>
    <col min="6" max="8" width="10.140625" style="0" customWidth="1"/>
    <col min="9" max="9" width="8.57421875" style="0" customWidth="1"/>
    <col min="10" max="10" width="11.57421875" style="0" customWidth="1"/>
    <col min="11" max="11" width="12.421875" style="487" customWidth="1"/>
    <col min="12" max="12" width="7.140625" style="487" customWidth="1"/>
    <col min="13" max="13" width="0.9921875" style="46" customWidth="1"/>
    <col min="14" max="14" width="6.140625" style="0" customWidth="1"/>
    <col min="15" max="15" width="10.140625" style="0" customWidth="1"/>
    <col min="16" max="16" width="10.57421875" style="0" customWidth="1"/>
    <col min="17" max="17" width="12.28125" style="487" customWidth="1"/>
    <col min="18" max="18" width="7.421875" style="487" customWidth="1"/>
    <col min="19" max="19" width="1.421875" style="46" customWidth="1"/>
    <col min="20" max="20" width="11.00390625" style="0" customWidth="1"/>
    <col min="21" max="21" width="12.140625" style="717" customWidth="1"/>
    <col min="22" max="22" width="7.140625" style="989" customWidth="1"/>
  </cols>
  <sheetData>
    <row r="1" spans="2:20" ht="15.75" customHeight="1">
      <c r="B1" s="33"/>
      <c r="C1" s="33"/>
      <c r="D1" s="33"/>
      <c r="E1" s="33"/>
      <c r="F1" s="33"/>
      <c r="G1" s="248"/>
      <c r="H1" s="248"/>
      <c r="I1" s="248"/>
      <c r="J1" s="248"/>
      <c r="K1" s="708"/>
      <c r="L1" s="708"/>
      <c r="M1" s="48"/>
      <c r="N1" s="46"/>
      <c r="O1" s="46"/>
      <c r="P1" s="48"/>
      <c r="Q1" s="48"/>
      <c r="R1" s="48"/>
      <c r="S1" s="262"/>
      <c r="T1" s="262"/>
    </row>
    <row r="2" spans="2:20" ht="27">
      <c r="B2" s="33"/>
      <c r="C2" s="389" t="s">
        <v>234</v>
      </c>
      <c r="D2" s="33"/>
      <c r="E2" s="33"/>
      <c r="F2" s="33"/>
      <c r="G2" s="248"/>
      <c r="H2" s="33"/>
      <c r="I2" s="171"/>
      <c r="J2" s="196"/>
      <c r="K2" s="682"/>
      <c r="L2" s="682"/>
      <c r="M2" s="171"/>
      <c r="N2" s="171"/>
      <c r="O2" s="33"/>
      <c r="P2" s="248"/>
      <c r="Q2" s="708"/>
      <c r="R2" s="708"/>
      <c r="S2" s="171"/>
      <c r="T2" s="248"/>
    </row>
    <row r="3" spans="2:20" ht="11.25" customHeight="1" thickBot="1">
      <c r="B3" s="33"/>
      <c r="C3" s="33"/>
      <c r="D3" s="33"/>
      <c r="E3" s="33"/>
      <c r="F3" s="33"/>
      <c r="G3" s="248"/>
      <c r="H3" s="33"/>
      <c r="I3" s="33"/>
      <c r="J3" s="33"/>
      <c r="K3" s="670"/>
      <c r="L3" s="670"/>
      <c r="N3" s="33"/>
      <c r="O3" s="33"/>
      <c r="P3" s="33"/>
      <c r="Q3" s="670"/>
      <c r="R3" s="670"/>
      <c r="S3" s="171"/>
      <c r="T3" s="33"/>
    </row>
    <row r="4" spans="2:22" ht="12.75" customHeight="1" thickBot="1">
      <c r="B4" s="1184" t="s">
        <v>306</v>
      </c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6"/>
      <c r="N4" s="1186"/>
      <c r="O4" s="1186"/>
      <c r="P4" s="1187"/>
      <c r="Q4" s="715"/>
      <c r="R4" s="1131" t="s">
        <v>406</v>
      </c>
      <c r="S4" s="265"/>
      <c r="T4" s="1100" t="s">
        <v>405</v>
      </c>
      <c r="U4" s="1096" t="s">
        <v>465</v>
      </c>
      <c r="V4" s="1134" t="s">
        <v>406</v>
      </c>
    </row>
    <row r="5" spans="2:22" ht="18.75" customHeight="1" thickTop="1">
      <c r="B5" s="1143" t="s">
        <v>11</v>
      </c>
      <c r="C5" s="1144"/>
      <c r="D5" s="1144"/>
      <c r="E5" s="1144"/>
      <c r="F5" s="1144"/>
      <c r="G5" s="1144"/>
      <c r="H5" s="1144"/>
      <c r="I5" s="1144"/>
      <c r="J5" s="1145"/>
      <c r="K5" s="683"/>
      <c r="L5" s="1176" t="s">
        <v>406</v>
      </c>
      <c r="M5" s="250"/>
      <c r="N5" s="1181" t="s">
        <v>294</v>
      </c>
      <c r="O5" s="1182"/>
      <c r="P5" s="1183"/>
      <c r="Q5" s="716"/>
      <c r="R5" s="1132"/>
      <c r="S5" s="291"/>
      <c r="T5" s="1101"/>
      <c r="U5" s="1097"/>
      <c r="V5" s="1135"/>
    </row>
    <row r="6" spans="2:22" ht="12.75" customHeight="1">
      <c r="B6" s="40"/>
      <c r="C6" s="1106" t="s">
        <v>147</v>
      </c>
      <c r="D6" s="1106" t="s">
        <v>148</v>
      </c>
      <c r="E6" s="1178" t="s">
        <v>10</v>
      </c>
      <c r="F6" s="1179"/>
      <c r="G6" s="1179"/>
      <c r="H6" s="1179"/>
      <c r="I6" s="1179"/>
      <c r="J6" s="1180"/>
      <c r="K6" s="714"/>
      <c r="L6" s="1132"/>
      <c r="M6" s="15"/>
      <c r="N6" s="1188" t="s">
        <v>10</v>
      </c>
      <c r="O6" s="1179"/>
      <c r="P6" s="1180"/>
      <c r="Q6" s="714"/>
      <c r="R6" s="1132"/>
      <c r="S6" s="292"/>
      <c r="T6" s="1101"/>
      <c r="U6" s="1097"/>
      <c r="V6" s="1135"/>
    </row>
    <row r="7" spans="2:22" ht="36.75" customHeight="1">
      <c r="B7" s="40"/>
      <c r="C7" s="1107"/>
      <c r="D7" s="1107"/>
      <c r="E7" s="51" t="s">
        <v>4</v>
      </c>
      <c r="F7" s="1111">
        <v>610</v>
      </c>
      <c r="G7" s="1113">
        <v>620</v>
      </c>
      <c r="H7" s="1113">
        <v>630</v>
      </c>
      <c r="I7" s="1113">
        <v>640</v>
      </c>
      <c r="J7" s="1125" t="s">
        <v>492</v>
      </c>
      <c r="K7" s="1094" t="s">
        <v>465</v>
      </c>
      <c r="L7" s="1132"/>
      <c r="M7" s="266"/>
      <c r="N7" s="1146">
        <v>716</v>
      </c>
      <c r="O7" s="1113">
        <v>717</v>
      </c>
      <c r="P7" s="1125" t="s">
        <v>492</v>
      </c>
      <c r="Q7" s="1094" t="s">
        <v>465</v>
      </c>
      <c r="R7" s="1132"/>
      <c r="S7" s="168"/>
      <c r="T7" s="1101"/>
      <c r="U7" s="1097"/>
      <c r="V7" s="1135"/>
    </row>
    <row r="8" spans="2:22" ht="44.25" customHeight="1" thickBot="1">
      <c r="B8" s="45"/>
      <c r="C8" s="1108"/>
      <c r="D8" s="1108"/>
      <c r="E8" s="52"/>
      <c r="F8" s="1112"/>
      <c r="G8" s="1099"/>
      <c r="H8" s="1099"/>
      <c r="I8" s="1099"/>
      <c r="J8" s="1110"/>
      <c r="K8" s="1095"/>
      <c r="L8" s="1177"/>
      <c r="M8" s="195"/>
      <c r="N8" s="1122"/>
      <c r="O8" s="1099"/>
      <c r="P8" s="1110"/>
      <c r="Q8" s="1095"/>
      <c r="R8" s="1177"/>
      <c r="S8" s="307"/>
      <c r="T8" s="1102"/>
      <c r="U8" s="1097"/>
      <c r="V8" s="1135"/>
    </row>
    <row r="9" spans="2:22" ht="25.5" customHeight="1" thickBot="1" thickTop="1">
      <c r="B9" s="30">
        <v>1</v>
      </c>
      <c r="C9" s="198" t="s">
        <v>235</v>
      </c>
      <c r="D9" s="252"/>
      <c r="E9" s="253"/>
      <c r="F9" s="276">
        <f>F10+F20+F32+F53+F63</f>
        <v>5615345</v>
      </c>
      <c r="G9" s="286">
        <f>G10+G20+G32+G53+G63</f>
        <v>1989064</v>
      </c>
      <c r="H9" s="286">
        <f>H10+H20+H32+H53+H63</f>
        <v>1876961</v>
      </c>
      <c r="I9" s="286">
        <f>I10+I20+I32+I53+I63</f>
        <v>500130</v>
      </c>
      <c r="J9" s="654">
        <f>SUM(F9:I9)</f>
        <v>9981500</v>
      </c>
      <c r="K9" s="676">
        <f>K10+K20+K32+K53+K63</f>
        <v>4473258</v>
      </c>
      <c r="L9" s="901">
        <f>K9/J9*100</f>
        <v>44.81548865400992</v>
      </c>
      <c r="M9" s="278"/>
      <c r="N9" s="287">
        <f>N10+N20+N32+N53+N63</f>
        <v>4718</v>
      </c>
      <c r="O9" s="286">
        <f>O10+O20+O32+O53+O63</f>
        <v>2378891</v>
      </c>
      <c r="P9" s="649">
        <f>SUM(N9:O9)</f>
        <v>2383609</v>
      </c>
      <c r="Q9" s="676">
        <f>Q10+Q20+Q32+Q53+Q63</f>
        <v>1986791</v>
      </c>
      <c r="R9" s="901">
        <f>Q9/P9*100</f>
        <v>83.35221926079319</v>
      </c>
      <c r="S9" s="308"/>
      <c r="T9" s="864">
        <f>J9+P9</f>
        <v>12365109</v>
      </c>
      <c r="U9" s="676">
        <f>K9+Q9</f>
        <v>6460049</v>
      </c>
      <c r="V9" s="901">
        <f>U9/T9*100</f>
        <v>52.24417350465734</v>
      </c>
    </row>
    <row r="10" spans="2:22" ht="15.75" thickTop="1">
      <c r="B10" s="30">
        <v>2</v>
      </c>
      <c r="C10" s="41">
        <v>1</v>
      </c>
      <c r="D10" s="42" t="s">
        <v>120</v>
      </c>
      <c r="E10" s="43"/>
      <c r="F10" s="153">
        <v>1262132</v>
      </c>
      <c r="G10" s="153">
        <v>456590</v>
      </c>
      <c r="H10" s="153">
        <v>515931</v>
      </c>
      <c r="I10" s="157">
        <v>103275</v>
      </c>
      <c r="J10" s="870">
        <f aca="true" t="shared" si="0" ref="J10:J61">SUM(F10:I10)</f>
        <v>2337928</v>
      </c>
      <c r="K10" s="675">
        <v>1099666</v>
      </c>
      <c r="L10" s="891">
        <f aca="true" t="shared" si="1" ref="L10:L66">K10/J10*100</f>
        <v>47.035922406506955</v>
      </c>
      <c r="M10" s="194"/>
      <c r="N10" s="254"/>
      <c r="O10" s="157">
        <f>SUM(O11:O19)</f>
        <v>8783</v>
      </c>
      <c r="P10" s="859">
        <f>SUM(N10:O10)</f>
        <v>8783</v>
      </c>
      <c r="Q10" s="675">
        <f>SUM(Q11:Q19)</f>
        <v>4392</v>
      </c>
      <c r="R10" s="891">
        <f>Q10/P10*100</f>
        <v>50.00569281566663</v>
      </c>
      <c r="S10" s="186"/>
      <c r="T10" s="860">
        <f>J10+P10</f>
        <v>2346711</v>
      </c>
      <c r="U10" s="675">
        <f>K10+Q10</f>
        <v>1104058</v>
      </c>
      <c r="V10" s="891">
        <f aca="true" t="shared" si="2" ref="V10:V66">U10/T10*100</f>
        <v>47.04703732159605</v>
      </c>
    </row>
    <row r="11" spans="2:22" s="44" customFormat="1" ht="12.75">
      <c r="B11" s="127">
        <f>B10+1</f>
        <v>3</v>
      </c>
      <c r="C11" s="128"/>
      <c r="D11" s="129"/>
      <c r="E11" s="146" t="s">
        <v>238</v>
      </c>
      <c r="F11" s="154"/>
      <c r="G11" s="154"/>
      <c r="H11" s="154"/>
      <c r="I11" s="166"/>
      <c r="J11" s="645"/>
      <c r="K11" s="732"/>
      <c r="L11" s="891"/>
      <c r="M11" s="260"/>
      <c r="N11" s="304"/>
      <c r="O11" s="305"/>
      <c r="P11" s="650"/>
      <c r="Q11" s="711"/>
      <c r="R11" s="891"/>
      <c r="S11" s="186"/>
      <c r="T11" s="309"/>
      <c r="U11" s="711"/>
      <c r="V11" s="891"/>
    </row>
    <row r="12" spans="2:22" ht="12.75">
      <c r="B12" s="127">
        <f aca="true" t="shared" si="3" ref="B12:B66">B11+1</f>
        <v>4</v>
      </c>
      <c r="C12" s="39"/>
      <c r="D12" s="14"/>
      <c r="E12" s="140" t="s">
        <v>208</v>
      </c>
      <c r="F12" s="330">
        <v>47132</v>
      </c>
      <c r="G12" s="331">
        <v>16590</v>
      </c>
      <c r="H12" s="332">
        <v>15931</v>
      </c>
      <c r="I12" s="331"/>
      <c r="J12" s="621">
        <f>SUM(F12:I12)</f>
        <v>79653</v>
      </c>
      <c r="K12" s="669">
        <v>33188</v>
      </c>
      <c r="L12" s="890">
        <f t="shared" si="1"/>
        <v>41.66572508254554</v>
      </c>
      <c r="M12" s="35"/>
      <c r="N12" s="362"/>
      <c r="O12" s="349"/>
      <c r="P12" s="626">
        <f aca="true" t="shared" si="4" ref="P12:P17">SUM(N12:O12)</f>
        <v>0</v>
      </c>
      <c r="Q12" s="669"/>
      <c r="R12" s="890"/>
      <c r="S12" s="169"/>
      <c r="T12" s="288">
        <f aca="true" t="shared" si="5" ref="T12:T17">J12+P12</f>
        <v>79653</v>
      </c>
      <c r="U12" s="669">
        <f aca="true" t="shared" si="6" ref="U12:U17">K12+Q12</f>
        <v>33188</v>
      </c>
      <c r="V12" s="890">
        <f t="shared" si="2"/>
        <v>41.66572508254554</v>
      </c>
    </row>
    <row r="13" spans="2:22" ht="12.75">
      <c r="B13" s="127">
        <f t="shared" si="3"/>
        <v>5</v>
      </c>
      <c r="C13" s="39"/>
      <c r="D13" s="14"/>
      <c r="E13" s="140" t="s">
        <v>209</v>
      </c>
      <c r="F13" s="330"/>
      <c r="G13" s="331"/>
      <c r="H13" s="332"/>
      <c r="I13" s="331"/>
      <c r="J13" s="621"/>
      <c r="K13" s="669"/>
      <c r="L13" s="890"/>
      <c r="M13" s="35"/>
      <c r="N13" s="362"/>
      <c r="O13" s="349"/>
      <c r="P13" s="626">
        <f t="shared" si="4"/>
        <v>0</v>
      </c>
      <c r="Q13" s="669"/>
      <c r="R13" s="890"/>
      <c r="S13" s="169"/>
      <c r="T13" s="288">
        <f t="shared" si="5"/>
        <v>0</v>
      </c>
      <c r="U13" s="669">
        <f t="shared" si="6"/>
        <v>0</v>
      </c>
      <c r="V13" s="890"/>
    </row>
    <row r="14" spans="2:22" ht="12.75">
      <c r="B14" s="127">
        <f t="shared" si="3"/>
        <v>6</v>
      </c>
      <c r="C14" s="39"/>
      <c r="D14" s="14"/>
      <c r="E14" s="316" t="s">
        <v>417</v>
      </c>
      <c r="F14" s="353"/>
      <c r="G14" s="354"/>
      <c r="H14" s="355"/>
      <c r="I14" s="354">
        <v>32930</v>
      </c>
      <c r="J14" s="646">
        <f t="shared" si="0"/>
        <v>32930</v>
      </c>
      <c r="K14" s="712">
        <v>14968</v>
      </c>
      <c r="L14" s="890">
        <f t="shared" si="1"/>
        <v>45.45399331916185</v>
      </c>
      <c r="M14" s="35"/>
      <c r="N14" s="363"/>
      <c r="O14" s="364"/>
      <c r="P14" s="651">
        <f t="shared" si="4"/>
        <v>0</v>
      </c>
      <c r="Q14" s="712"/>
      <c r="R14" s="890"/>
      <c r="S14" s="169"/>
      <c r="T14" s="319">
        <f t="shared" si="5"/>
        <v>32930</v>
      </c>
      <c r="U14" s="712">
        <f t="shared" si="6"/>
        <v>14968</v>
      </c>
      <c r="V14" s="890">
        <f t="shared" si="2"/>
        <v>45.45399331916185</v>
      </c>
    </row>
    <row r="15" spans="2:22" ht="12.75">
      <c r="B15" s="127">
        <f t="shared" si="3"/>
        <v>7</v>
      </c>
      <c r="C15" s="39"/>
      <c r="D15" s="14"/>
      <c r="E15" s="318" t="s">
        <v>314</v>
      </c>
      <c r="F15" s="353"/>
      <c r="G15" s="354"/>
      <c r="H15" s="355"/>
      <c r="I15" s="354">
        <v>16465</v>
      </c>
      <c r="J15" s="646">
        <f t="shared" si="0"/>
        <v>16465</v>
      </c>
      <c r="K15" s="712">
        <v>2352</v>
      </c>
      <c r="L15" s="890">
        <f t="shared" si="1"/>
        <v>14.284846644397206</v>
      </c>
      <c r="M15" s="35"/>
      <c r="N15" s="363"/>
      <c r="O15" s="364"/>
      <c r="P15" s="651">
        <f t="shared" si="4"/>
        <v>0</v>
      </c>
      <c r="Q15" s="712"/>
      <c r="R15" s="890"/>
      <c r="S15" s="169"/>
      <c r="T15" s="319">
        <f t="shared" si="5"/>
        <v>16465</v>
      </c>
      <c r="U15" s="712">
        <f t="shared" si="6"/>
        <v>2352</v>
      </c>
      <c r="V15" s="890">
        <f t="shared" si="2"/>
        <v>14.284846644397206</v>
      </c>
    </row>
    <row r="16" spans="2:22" ht="12.75">
      <c r="B16" s="127">
        <f t="shared" si="3"/>
        <v>8</v>
      </c>
      <c r="C16" s="39"/>
      <c r="D16" s="14"/>
      <c r="E16" s="318" t="s">
        <v>418</v>
      </c>
      <c r="F16" s="353"/>
      <c r="G16" s="354"/>
      <c r="H16" s="355"/>
      <c r="I16" s="354">
        <v>53880</v>
      </c>
      <c r="J16" s="646">
        <f t="shared" si="0"/>
        <v>53880</v>
      </c>
      <c r="K16" s="712">
        <v>21454</v>
      </c>
      <c r="L16" s="890">
        <f t="shared" si="1"/>
        <v>39.8181143281366</v>
      </c>
      <c r="M16" s="35"/>
      <c r="N16" s="470"/>
      <c r="O16" s="359"/>
      <c r="P16" s="652">
        <f t="shared" si="4"/>
        <v>0</v>
      </c>
      <c r="Q16" s="712"/>
      <c r="R16" s="890"/>
      <c r="S16" s="169"/>
      <c r="T16" s="471">
        <f t="shared" si="5"/>
        <v>53880</v>
      </c>
      <c r="U16" s="712">
        <f t="shared" si="6"/>
        <v>21454</v>
      </c>
      <c r="V16" s="890">
        <f t="shared" si="2"/>
        <v>39.8181143281366</v>
      </c>
    </row>
    <row r="17" spans="2:22" ht="12.75">
      <c r="B17" s="127">
        <f t="shared" si="3"/>
        <v>9</v>
      </c>
      <c r="C17" s="39"/>
      <c r="D17" s="14"/>
      <c r="E17" s="535" t="s">
        <v>366</v>
      </c>
      <c r="F17" s="302"/>
      <c r="G17" s="300"/>
      <c r="H17" s="331"/>
      <c r="I17" s="300"/>
      <c r="J17" s="621"/>
      <c r="K17" s="669"/>
      <c r="L17" s="890"/>
      <c r="M17" s="156"/>
      <c r="N17" s="508"/>
      <c r="O17" s="331">
        <v>8783</v>
      </c>
      <c r="P17" s="627">
        <f t="shared" si="4"/>
        <v>8783</v>
      </c>
      <c r="Q17" s="669">
        <v>4392</v>
      </c>
      <c r="R17" s="890">
        <f>Q17/P17*100</f>
        <v>50.00569281566663</v>
      </c>
      <c r="S17" s="258"/>
      <c r="T17" s="606">
        <f t="shared" si="5"/>
        <v>8783</v>
      </c>
      <c r="U17" s="669">
        <f t="shared" si="6"/>
        <v>4392</v>
      </c>
      <c r="V17" s="890">
        <f t="shared" si="2"/>
        <v>50.00569281566663</v>
      </c>
    </row>
    <row r="18" spans="2:22" ht="12.75">
      <c r="B18" s="127">
        <f t="shared" si="3"/>
        <v>10</v>
      </c>
      <c r="C18" s="32"/>
      <c r="D18" s="14"/>
      <c r="E18" s="140" t="s">
        <v>419</v>
      </c>
      <c r="F18" s="302"/>
      <c r="G18" s="302"/>
      <c r="H18" s="330"/>
      <c r="I18" s="300"/>
      <c r="J18" s="621"/>
      <c r="K18" s="669">
        <f>67+5575+8241</f>
        <v>13883</v>
      </c>
      <c r="L18" s="890"/>
      <c r="M18" s="156"/>
      <c r="N18" s="718"/>
      <c r="O18" s="331"/>
      <c r="P18" s="628"/>
      <c r="Q18" s="669"/>
      <c r="R18" s="890"/>
      <c r="S18" s="258"/>
      <c r="T18" s="719"/>
      <c r="U18" s="669"/>
      <c r="V18" s="890"/>
    </row>
    <row r="19" spans="2:22" ht="12.75">
      <c r="B19" s="127">
        <f t="shared" si="3"/>
        <v>11</v>
      </c>
      <c r="C19" s="32"/>
      <c r="D19" s="14"/>
      <c r="E19" s="147"/>
      <c r="F19" s="330"/>
      <c r="G19" s="330"/>
      <c r="H19" s="357"/>
      <c r="I19" s="331"/>
      <c r="J19" s="621"/>
      <c r="K19" s="669"/>
      <c r="L19" s="890"/>
      <c r="M19" s="35"/>
      <c r="N19" s="368"/>
      <c r="O19" s="331"/>
      <c r="P19" s="628"/>
      <c r="Q19" s="669"/>
      <c r="R19" s="890"/>
      <c r="S19" s="169"/>
      <c r="T19" s="398"/>
      <c r="U19" s="669"/>
      <c r="V19" s="890"/>
    </row>
    <row r="20" spans="2:22" ht="15">
      <c r="B20" s="127">
        <f t="shared" si="3"/>
        <v>12</v>
      </c>
      <c r="C20" s="41">
        <v>2</v>
      </c>
      <c r="D20" s="42" t="s">
        <v>121</v>
      </c>
      <c r="E20" s="43"/>
      <c r="F20" s="153">
        <v>2956493</v>
      </c>
      <c r="G20" s="157">
        <v>1040739</v>
      </c>
      <c r="H20" s="157">
        <v>1188283</v>
      </c>
      <c r="I20" s="157">
        <v>12000</v>
      </c>
      <c r="J20" s="869">
        <f t="shared" si="0"/>
        <v>5197515</v>
      </c>
      <c r="K20" s="672">
        <v>2186033</v>
      </c>
      <c r="L20" s="891">
        <f t="shared" si="1"/>
        <v>42.05919559635711</v>
      </c>
      <c r="M20" s="194"/>
      <c r="N20" s="254">
        <f>SUM(N21:N31)</f>
        <v>4718</v>
      </c>
      <c r="O20" s="157">
        <f>SUM(O21:O31)</f>
        <v>2367862</v>
      </c>
      <c r="P20" s="859">
        <f>SUM(N20:O20)</f>
        <v>2372580</v>
      </c>
      <c r="Q20" s="672">
        <f>SUM(Q21:Q31)</f>
        <v>1981276</v>
      </c>
      <c r="R20" s="891">
        <f>Q20/P20*100</f>
        <v>83.50723684765107</v>
      </c>
      <c r="S20" s="186"/>
      <c r="T20" s="860">
        <f>J20+P20</f>
        <v>7570095</v>
      </c>
      <c r="U20" s="672">
        <f>K20+Q20</f>
        <v>4167309</v>
      </c>
      <c r="V20" s="891">
        <f t="shared" si="2"/>
        <v>55.04962619359467</v>
      </c>
    </row>
    <row r="21" spans="2:22" ht="12.75">
      <c r="B21" s="127">
        <f t="shared" si="3"/>
        <v>13</v>
      </c>
      <c r="C21" s="39"/>
      <c r="D21" s="14"/>
      <c r="E21" s="148" t="s">
        <v>239</v>
      </c>
      <c r="F21" s="330"/>
      <c r="G21" s="330"/>
      <c r="H21" s="330"/>
      <c r="I21" s="331"/>
      <c r="J21" s="621"/>
      <c r="K21" s="669"/>
      <c r="L21" s="890"/>
      <c r="M21" s="156"/>
      <c r="N21" s="366"/>
      <c r="O21" s="367"/>
      <c r="P21" s="653"/>
      <c r="Q21" s="669"/>
      <c r="R21" s="890"/>
      <c r="S21" s="258"/>
      <c r="T21" s="310"/>
      <c r="U21" s="669"/>
      <c r="V21" s="890"/>
    </row>
    <row r="22" spans="2:22" ht="12.75">
      <c r="B22" s="127">
        <f t="shared" si="3"/>
        <v>14</v>
      </c>
      <c r="C22" s="39"/>
      <c r="D22" s="14"/>
      <c r="E22" s="147" t="s">
        <v>144</v>
      </c>
      <c r="F22" s="330">
        <v>2904978</v>
      </c>
      <c r="G22" s="330">
        <v>1022584</v>
      </c>
      <c r="H22" s="330">
        <v>977318</v>
      </c>
      <c r="I22" s="331"/>
      <c r="J22" s="621">
        <f t="shared" si="0"/>
        <v>4904880</v>
      </c>
      <c r="K22" s="669">
        <v>1534795</v>
      </c>
      <c r="L22" s="890">
        <f t="shared" si="1"/>
        <v>31.291183474417316</v>
      </c>
      <c r="M22" s="156"/>
      <c r="N22" s="366"/>
      <c r="O22" s="367"/>
      <c r="P22" s="626">
        <f aca="true" t="shared" si="7" ref="P22:P28">SUM(N22:O22)</f>
        <v>0</v>
      </c>
      <c r="Q22" s="669"/>
      <c r="R22" s="890"/>
      <c r="S22" s="258"/>
      <c r="T22" s="311">
        <f aca="true" t="shared" si="8" ref="T22:T30">J22+P22</f>
        <v>4904880</v>
      </c>
      <c r="U22" s="669">
        <f aca="true" t="shared" si="9" ref="U22:U30">K22+Q22</f>
        <v>1534795</v>
      </c>
      <c r="V22" s="890">
        <f t="shared" si="2"/>
        <v>31.291183474417316</v>
      </c>
    </row>
    <row r="23" spans="2:22" ht="12.75">
      <c r="B23" s="127">
        <f t="shared" si="3"/>
        <v>15</v>
      </c>
      <c r="C23" s="39"/>
      <c r="D23" s="14"/>
      <c r="E23" s="809" t="s">
        <v>202</v>
      </c>
      <c r="F23" s="302"/>
      <c r="G23" s="300"/>
      <c r="H23" s="331">
        <v>89712</v>
      </c>
      <c r="I23" s="331">
        <v>12000</v>
      </c>
      <c r="J23" s="621">
        <f>SUM(F23:I23)</f>
        <v>101712</v>
      </c>
      <c r="K23" s="669">
        <f>33134+7978</f>
        <v>41112</v>
      </c>
      <c r="L23" s="890">
        <f t="shared" si="1"/>
        <v>40.42000943841435</v>
      </c>
      <c r="M23" s="156"/>
      <c r="N23" s="366"/>
      <c r="O23" s="367"/>
      <c r="P23" s="626">
        <f t="shared" si="7"/>
        <v>0</v>
      </c>
      <c r="Q23" s="669"/>
      <c r="R23" s="890"/>
      <c r="S23" s="258"/>
      <c r="T23" s="311">
        <f t="shared" si="8"/>
        <v>101712</v>
      </c>
      <c r="U23" s="669">
        <f t="shared" si="9"/>
        <v>41112</v>
      </c>
      <c r="V23" s="890">
        <f t="shared" si="2"/>
        <v>40.42000943841435</v>
      </c>
    </row>
    <row r="24" spans="2:22" ht="12.75">
      <c r="B24" s="127">
        <f t="shared" si="3"/>
        <v>16</v>
      </c>
      <c r="C24" s="39"/>
      <c r="D24" s="14"/>
      <c r="E24" s="810" t="s">
        <v>203</v>
      </c>
      <c r="F24" s="330">
        <v>15975</v>
      </c>
      <c r="G24" s="330">
        <v>5625</v>
      </c>
      <c r="H24" s="331"/>
      <c r="I24" s="331"/>
      <c r="J24" s="621">
        <f t="shared" si="0"/>
        <v>21600</v>
      </c>
      <c r="K24" s="669">
        <v>3320</v>
      </c>
      <c r="L24" s="890">
        <f t="shared" si="1"/>
        <v>15.37037037037037</v>
      </c>
      <c r="M24" s="156"/>
      <c r="N24" s="366"/>
      <c r="O24" s="367"/>
      <c r="P24" s="626">
        <f t="shared" si="7"/>
        <v>0</v>
      </c>
      <c r="Q24" s="669"/>
      <c r="R24" s="890"/>
      <c r="S24" s="258"/>
      <c r="T24" s="311">
        <f t="shared" si="8"/>
        <v>21600</v>
      </c>
      <c r="U24" s="669">
        <f t="shared" si="9"/>
        <v>3320</v>
      </c>
      <c r="V24" s="890">
        <f t="shared" si="2"/>
        <v>15.37037037037037</v>
      </c>
    </row>
    <row r="25" spans="2:22" ht="12.75">
      <c r="B25" s="127">
        <f t="shared" si="3"/>
        <v>17</v>
      </c>
      <c r="C25" s="39"/>
      <c r="D25" s="14"/>
      <c r="E25" s="811" t="s">
        <v>366</v>
      </c>
      <c r="F25" s="302"/>
      <c r="G25" s="300"/>
      <c r="H25" s="331"/>
      <c r="I25" s="300"/>
      <c r="J25" s="621"/>
      <c r="K25" s="669"/>
      <c r="L25" s="890"/>
      <c r="M25" s="156"/>
      <c r="N25" s="366"/>
      <c r="O25" s="349">
        <v>33580</v>
      </c>
      <c r="P25" s="626">
        <f t="shared" si="7"/>
        <v>33580</v>
      </c>
      <c r="Q25" s="669">
        <v>16788</v>
      </c>
      <c r="R25" s="890">
        <f>Q25/P25*100</f>
        <v>49.99404407385348</v>
      </c>
      <c r="S25" s="258"/>
      <c r="T25" s="311">
        <f t="shared" si="8"/>
        <v>33580</v>
      </c>
      <c r="U25" s="669">
        <f t="shared" si="9"/>
        <v>16788</v>
      </c>
      <c r="V25" s="890">
        <f t="shared" si="2"/>
        <v>49.99404407385348</v>
      </c>
    </row>
    <row r="26" spans="2:22" ht="12.75">
      <c r="B26" s="127">
        <f t="shared" si="3"/>
        <v>18</v>
      </c>
      <c r="C26" s="39"/>
      <c r="D26" s="14"/>
      <c r="E26" s="811" t="s">
        <v>367</v>
      </c>
      <c r="F26" s="302"/>
      <c r="G26" s="300"/>
      <c r="H26" s="331"/>
      <c r="I26" s="300"/>
      <c r="J26" s="621"/>
      <c r="K26" s="669"/>
      <c r="L26" s="890"/>
      <c r="M26" s="156"/>
      <c r="N26" s="362">
        <v>2618</v>
      </c>
      <c r="O26" s="349">
        <v>1950000</v>
      </c>
      <c r="P26" s="626">
        <f t="shared" si="7"/>
        <v>1952618</v>
      </c>
      <c r="Q26" s="669">
        <f>241688+124357+67463+573432+33731+923817-11870</f>
        <v>1952618</v>
      </c>
      <c r="R26" s="890">
        <f>Q26/P26*100</f>
        <v>100</v>
      </c>
      <c r="S26" s="258"/>
      <c r="T26" s="311">
        <f t="shared" si="8"/>
        <v>1952618</v>
      </c>
      <c r="U26" s="669">
        <f t="shared" si="9"/>
        <v>1952618</v>
      </c>
      <c r="V26" s="890">
        <f t="shared" si="2"/>
        <v>100</v>
      </c>
    </row>
    <row r="27" spans="2:22" ht="12.75">
      <c r="B27" s="127">
        <f t="shared" si="3"/>
        <v>19</v>
      </c>
      <c r="C27" s="39"/>
      <c r="D27" s="14"/>
      <c r="E27" s="140" t="s">
        <v>385</v>
      </c>
      <c r="F27" s="302"/>
      <c r="G27" s="300"/>
      <c r="H27" s="331"/>
      <c r="I27" s="300"/>
      <c r="J27" s="621"/>
      <c r="K27" s="669"/>
      <c r="L27" s="890"/>
      <c r="M27" s="156"/>
      <c r="N27" s="362"/>
      <c r="O27" s="349">
        <v>323382</v>
      </c>
      <c r="P27" s="626">
        <f t="shared" si="7"/>
        <v>323382</v>
      </c>
      <c r="Q27" s="669">
        <v>11870</v>
      </c>
      <c r="R27" s="890">
        <f>Q27/P27*100</f>
        <v>3.6705815413350154</v>
      </c>
      <c r="S27" s="258"/>
      <c r="T27" s="311">
        <f t="shared" si="8"/>
        <v>323382</v>
      </c>
      <c r="U27" s="669">
        <f t="shared" si="9"/>
        <v>11870</v>
      </c>
      <c r="V27" s="890">
        <f t="shared" si="2"/>
        <v>3.6705815413350154</v>
      </c>
    </row>
    <row r="28" spans="2:22" ht="12.75">
      <c r="B28" s="127">
        <f t="shared" si="3"/>
        <v>20</v>
      </c>
      <c r="C28" s="39"/>
      <c r="D28" s="14"/>
      <c r="E28" s="140" t="s">
        <v>330</v>
      </c>
      <c r="F28" s="302"/>
      <c r="G28" s="300"/>
      <c r="H28" s="331"/>
      <c r="I28" s="300"/>
      <c r="J28" s="621"/>
      <c r="K28" s="669"/>
      <c r="L28" s="890"/>
      <c r="M28" s="156"/>
      <c r="N28" s="362">
        <v>2100</v>
      </c>
      <c r="O28" s="349">
        <v>60900</v>
      </c>
      <c r="P28" s="626">
        <f t="shared" si="7"/>
        <v>63000</v>
      </c>
      <c r="Q28" s="669"/>
      <c r="R28" s="890">
        <f>Q28/P28*100</f>
        <v>0</v>
      </c>
      <c r="S28" s="258"/>
      <c r="T28" s="311">
        <f t="shared" si="8"/>
        <v>63000</v>
      </c>
      <c r="U28" s="669">
        <f t="shared" si="9"/>
        <v>0</v>
      </c>
      <c r="V28" s="890">
        <f t="shared" si="2"/>
        <v>0</v>
      </c>
    </row>
    <row r="29" spans="2:22" ht="12.75">
      <c r="B29" s="127">
        <f t="shared" si="3"/>
        <v>21</v>
      </c>
      <c r="C29" s="39"/>
      <c r="D29" s="14"/>
      <c r="E29" s="140" t="s">
        <v>419</v>
      </c>
      <c r="F29" s="302"/>
      <c r="G29" s="300"/>
      <c r="H29" s="331"/>
      <c r="I29" s="300"/>
      <c r="J29" s="621"/>
      <c r="K29" s="669">
        <f>59142+33300</f>
        <v>92442</v>
      </c>
      <c r="L29" s="890"/>
      <c r="M29" s="156"/>
      <c r="N29" s="366"/>
      <c r="O29" s="349"/>
      <c r="P29" s="626"/>
      <c r="Q29" s="669"/>
      <c r="R29" s="890"/>
      <c r="S29" s="258"/>
      <c r="T29" s="311">
        <f t="shared" si="8"/>
        <v>0</v>
      </c>
      <c r="U29" s="669">
        <f t="shared" si="9"/>
        <v>92442</v>
      </c>
      <c r="V29" s="890"/>
    </row>
    <row r="30" spans="2:22" ht="12.75">
      <c r="B30" s="127">
        <f t="shared" si="3"/>
        <v>22</v>
      </c>
      <c r="C30" s="39"/>
      <c r="D30" s="14"/>
      <c r="E30" s="140" t="s">
        <v>420</v>
      </c>
      <c r="F30" s="302"/>
      <c r="G30" s="300"/>
      <c r="H30" s="331"/>
      <c r="I30" s="300"/>
      <c r="J30" s="621"/>
      <c r="K30" s="669">
        <v>421</v>
      </c>
      <c r="L30" s="890"/>
      <c r="M30" s="156"/>
      <c r="N30" s="366"/>
      <c r="O30" s="349"/>
      <c r="P30" s="626"/>
      <c r="Q30" s="669"/>
      <c r="R30" s="890"/>
      <c r="S30" s="258"/>
      <c r="T30" s="311">
        <f t="shared" si="8"/>
        <v>0</v>
      </c>
      <c r="U30" s="669">
        <f t="shared" si="9"/>
        <v>421</v>
      </c>
      <c r="V30" s="890"/>
    </row>
    <row r="31" spans="2:22" ht="12.75">
      <c r="B31" s="127">
        <f t="shared" si="3"/>
        <v>23</v>
      </c>
      <c r="C31" s="39"/>
      <c r="D31" s="14"/>
      <c r="E31" s="140"/>
      <c r="F31" s="302"/>
      <c r="G31" s="300"/>
      <c r="H31" s="331"/>
      <c r="I31" s="300"/>
      <c r="J31" s="621"/>
      <c r="K31" s="669"/>
      <c r="L31" s="890"/>
      <c r="M31" s="156"/>
      <c r="N31" s="366"/>
      <c r="O31" s="349"/>
      <c r="P31" s="626"/>
      <c r="Q31" s="669"/>
      <c r="R31" s="890"/>
      <c r="S31" s="258"/>
      <c r="T31" s="311"/>
      <c r="U31" s="669"/>
      <c r="V31" s="890"/>
    </row>
    <row r="32" spans="2:22" ht="15">
      <c r="B32" s="127">
        <f t="shared" si="3"/>
        <v>24</v>
      </c>
      <c r="C32" s="41">
        <v>3</v>
      </c>
      <c r="D32" s="37" t="s">
        <v>174</v>
      </c>
      <c r="E32" s="38"/>
      <c r="F32" s="158">
        <f>F33+F34+F36+F42+F47+F48+F49+F50+F51</f>
        <v>799950</v>
      </c>
      <c r="G32" s="158">
        <f>G33+G34+G36+G42+G47+G48+G49+G50+G51</f>
        <v>281540</v>
      </c>
      <c r="H32" s="158">
        <f>H33+H34+H36+H42+H47+H48+H49+H50+H51</f>
        <v>113220</v>
      </c>
      <c r="I32" s="158">
        <f>I33+I34+I36+I42+I47+I48+I49+I50+I51</f>
        <v>253570</v>
      </c>
      <c r="J32" s="869">
        <f t="shared" si="0"/>
        <v>1448280</v>
      </c>
      <c r="K32" s="672">
        <f>K33+K34+K36+K42+K47+K48+K49+K50+K51</f>
        <v>720586</v>
      </c>
      <c r="L32" s="891">
        <f t="shared" si="1"/>
        <v>49.75460546303201</v>
      </c>
      <c r="M32" s="260"/>
      <c r="N32" s="259"/>
      <c r="O32" s="159">
        <f>O33+O34+O36+O42+O47+O48+O49+O50+O51</f>
        <v>2246</v>
      </c>
      <c r="P32" s="862">
        <f aca="true" t="shared" si="10" ref="P32:P54">SUM(N32:O32)</f>
        <v>2246</v>
      </c>
      <c r="Q32" s="672">
        <f>Q36</f>
        <v>1123</v>
      </c>
      <c r="R32" s="891">
        <f>Q32/P32*100</f>
        <v>50</v>
      </c>
      <c r="S32" s="186"/>
      <c r="T32" s="861">
        <f aca="true" t="shared" si="11" ref="T32:U34">J32+P32</f>
        <v>1450526</v>
      </c>
      <c r="U32" s="672">
        <f t="shared" si="11"/>
        <v>721709</v>
      </c>
      <c r="V32" s="891">
        <f t="shared" si="2"/>
        <v>49.754985432870555</v>
      </c>
    </row>
    <row r="33" spans="2:22" ht="12.75">
      <c r="B33" s="127">
        <f t="shared" si="3"/>
        <v>25</v>
      </c>
      <c r="C33" s="132"/>
      <c r="D33" s="54"/>
      <c r="E33" s="314" t="s">
        <v>298</v>
      </c>
      <c r="F33" s="333">
        <v>6400</v>
      </c>
      <c r="G33" s="334">
        <v>2250</v>
      </c>
      <c r="H33" s="335">
        <v>980</v>
      </c>
      <c r="I33" s="334"/>
      <c r="J33" s="620">
        <f t="shared" si="0"/>
        <v>9630</v>
      </c>
      <c r="K33" s="668">
        <v>3948</v>
      </c>
      <c r="L33" s="890">
        <f t="shared" si="1"/>
        <v>40.99688473520249</v>
      </c>
      <c r="M33" s="35"/>
      <c r="N33" s="342"/>
      <c r="O33" s="343"/>
      <c r="P33" s="625">
        <f t="shared" si="10"/>
        <v>0</v>
      </c>
      <c r="Q33" s="668"/>
      <c r="R33" s="890"/>
      <c r="S33" s="169"/>
      <c r="T33" s="313">
        <f t="shared" si="11"/>
        <v>9630</v>
      </c>
      <c r="U33" s="668">
        <f t="shared" si="11"/>
        <v>3948</v>
      </c>
      <c r="V33" s="890">
        <f t="shared" si="2"/>
        <v>40.99688473520249</v>
      </c>
    </row>
    <row r="34" spans="2:22" ht="12.75">
      <c r="B34" s="127">
        <f t="shared" si="3"/>
        <v>26</v>
      </c>
      <c r="C34" s="39"/>
      <c r="D34" s="54"/>
      <c r="E34" s="314" t="s">
        <v>299</v>
      </c>
      <c r="F34" s="333">
        <v>324850</v>
      </c>
      <c r="G34" s="334">
        <v>114300</v>
      </c>
      <c r="H34" s="334">
        <v>24500</v>
      </c>
      <c r="I34" s="334"/>
      <c r="J34" s="620">
        <f t="shared" si="0"/>
        <v>463650</v>
      </c>
      <c r="K34" s="668">
        <v>218391</v>
      </c>
      <c r="L34" s="890">
        <f t="shared" si="1"/>
        <v>47.10255580718214</v>
      </c>
      <c r="M34" s="35"/>
      <c r="N34" s="342"/>
      <c r="O34" s="343"/>
      <c r="P34" s="625">
        <f t="shared" si="10"/>
        <v>0</v>
      </c>
      <c r="Q34" s="668"/>
      <c r="R34" s="890"/>
      <c r="S34" s="169"/>
      <c r="T34" s="313">
        <f t="shared" si="11"/>
        <v>463650</v>
      </c>
      <c r="U34" s="668">
        <f t="shared" si="11"/>
        <v>218391</v>
      </c>
      <c r="V34" s="890">
        <f t="shared" si="2"/>
        <v>47.10255580718214</v>
      </c>
    </row>
    <row r="35" spans="2:22" ht="12.75">
      <c r="B35" s="127">
        <f t="shared" si="3"/>
        <v>27</v>
      </c>
      <c r="C35" s="39"/>
      <c r="D35" s="14"/>
      <c r="E35" s="147"/>
      <c r="F35" s="330"/>
      <c r="G35" s="331"/>
      <c r="H35" s="332"/>
      <c r="I35" s="331"/>
      <c r="J35" s="621"/>
      <c r="K35" s="669"/>
      <c r="L35" s="890"/>
      <c r="M35" s="35"/>
      <c r="N35" s="362"/>
      <c r="O35" s="349"/>
      <c r="P35" s="626">
        <f t="shared" si="10"/>
        <v>0</v>
      </c>
      <c r="Q35" s="669"/>
      <c r="R35" s="890"/>
      <c r="S35" s="169"/>
      <c r="T35" s="311"/>
      <c r="U35" s="669"/>
      <c r="V35" s="890"/>
    </row>
    <row r="36" spans="2:22" ht="12.75">
      <c r="B36" s="127">
        <f t="shared" si="3"/>
        <v>28</v>
      </c>
      <c r="C36" s="39"/>
      <c r="D36" s="14"/>
      <c r="E36" s="314" t="s">
        <v>139</v>
      </c>
      <c r="F36" s="333">
        <v>419000</v>
      </c>
      <c r="G36" s="334">
        <v>147490</v>
      </c>
      <c r="H36" s="334">
        <v>73400</v>
      </c>
      <c r="I36" s="334"/>
      <c r="J36" s="620">
        <f t="shared" si="0"/>
        <v>639890</v>
      </c>
      <c r="K36" s="668">
        <f>SUM(K37:K41)+348682</f>
        <v>354543</v>
      </c>
      <c r="L36" s="890">
        <f t="shared" si="1"/>
        <v>55.40686680523215</v>
      </c>
      <c r="M36" s="35"/>
      <c r="N36" s="342"/>
      <c r="O36" s="343">
        <f>SUM(O37:O39)</f>
        <v>2246</v>
      </c>
      <c r="P36" s="625">
        <f t="shared" si="10"/>
        <v>2246</v>
      </c>
      <c r="Q36" s="668">
        <f>SUM(Q37:Q41)</f>
        <v>1123</v>
      </c>
      <c r="R36" s="890">
        <f>Q36/P36*100</f>
        <v>50</v>
      </c>
      <c r="S36" s="169"/>
      <c r="T36" s="313">
        <f>J36+P36</f>
        <v>642136</v>
      </c>
      <c r="U36" s="668">
        <f>K36+Q36</f>
        <v>355666</v>
      </c>
      <c r="V36" s="890">
        <f t="shared" si="2"/>
        <v>55.3879551995216</v>
      </c>
    </row>
    <row r="37" spans="2:22" ht="12.75">
      <c r="B37" s="127">
        <f t="shared" si="3"/>
        <v>29</v>
      </c>
      <c r="C37" s="133"/>
      <c r="D37" s="14"/>
      <c r="E37" s="147" t="s">
        <v>238</v>
      </c>
      <c r="F37" s="330"/>
      <c r="G37" s="331"/>
      <c r="H37" s="332"/>
      <c r="I37" s="331"/>
      <c r="J37" s="621"/>
      <c r="K37" s="669"/>
      <c r="L37" s="890"/>
      <c r="M37" s="35"/>
      <c r="N37" s="362"/>
      <c r="O37" s="349"/>
      <c r="P37" s="626">
        <f t="shared" si="10"/>
        <v>0</v>
      </c>
      <c r="Q37" s="669"/>
      <c r="R37" s="890"/>
      <c r="S37" s="169"/>
      <c r="T37" s="311"/>
      <c r="U37" s="669">
        <f>K37+Q37</f>
        <v>0</v>
      </c>
      <c r="V37" s="890"/>
    </row>
    <row r="38" spans="2:22" ht="12.75">
      <c r="B38" s="127">
        <f t="shared" si="3"/>
        <v>30</v>
      </c>
      <c r="C38" s="39"/>
      <c r="D38" s="14"/>
      <c r="E38" s="140" t="s">
        <v>201</v>
      </c>
      <c r="F38" s="330"/>
      <c r="G38" s="331"/>
      <c r="H38" s="332"/>
      <c r="I38" s="331"/>
      <c r="J38" s="621">
        <f t="shared" si="0"/>
        <v>0</v>
      </c>
      <c r="K38" s="669"/>
      <c r="L38" s="890"/>
      <c r="M38" s="35"/>
      <c r="N38" s="362"/>
      <c r="O38" s="349"/>
      <c r="P38" s="626">
        <f t="shared" si="10"/>
        <v>0</v>
      </c>
      <c r="Q38" s="669"/>
      <c r="R38" s="890"/>
      <c r="S38" s="169"/>
      <c r="T38" s="311">
        <f>J38+P38</f>
        <v>0</v>
      </c>
      <c r="U38" s="669">
        <f>K38+Q38</f>
        <v>0</v>
      </c>
      <c r="V38" s="890"/>
    </row>
    <row r="39" spans="2:22" ht="12.75">
      <c r="B39" s="127">
        <f t="shared" si="3"/>
        <v>31</v>
      </c>
      <c r="C39" s="39"/>
      <c r="D39" s="14"/>
      <c r="E39" s="530" t="s">
        <v>366</v>
      </c>
      <c r="F39" s="330"/>
      <c r="G39" s="331"/>
      <c r="H39" s="332"/>
      <c r="I39" s="331"/>
      <c r="J39" s="621"/>
      <c r="K39" s="669"/>
      <c r="L39" s="890"/>
      <c r="M39" s="35"/>
      <c r="N39" s="362"/>
      <c r="O39" s="349">
        <v>2246</v>
      </c>
      <c r="P39" s="626">
        <f t="shared" si="10"/>
        <v>2246</v>
      </c>
      <c r="Q39" s="669">
        <v>1123</v>
      </c>
      <c r="R39" s="890">
        <f>Q39/P39*100</f>
        <v>50</v>
      </c>
      <c r="S39" s="169"/>
      <c r="T39" s="311"/>
      <c r="U39" s="669">
        <f>K39+Q39</f>
        <v>1123</v>
      </c>
      <c r="V39" s="890"/>
    </row>
    <row r="40" spans="2:22" ht="12.75">
      <c r="B40" s="127">
        <f t="shared" si="3"/>
        <v>32</v>
      </c>
      <c r="C40" s="39"/>
      <c r="D40" s="14"/>
      <c r="E40" s="720" t="s">
        <v>426</v>
      </c>
      <c r="F40" s="330"/>
      <c r="G40" s="331"/>
      <c r="H40" s="332"/>
      <c r="I40" s="331"/>
      <c r="J40" s="621"/>
      <c r="K40" s="669">
        <f>2684+3177</f>
        <v>5861</v>
      </c>
      <c r="L40" s="890"/>
      <c r="M40" s="35"/>
      <c r="N40" s="362"/>
      <c r="O40" s="349"/>
      <c r="P40" s="626"/>
      <c r="Q40" s="669"/>
      <c r="R40" s="890"/>
      <c r="S40" s="169"/>
      <c r="T40" s="311"/>
      <c r="U40" s="669"/>
      <c r="V40" s="890"/>
    </row>
    <row r="41" spans="2:22" ht="12.75">
      <c r="B41" s="127">
        <f t="shared" si="3"/>
        <v>33</v>
      </c>
      <c r="C41" s="39"/>
      <c r="D41" s="14"/>
      <c r="E41" s="721"/>
      <c r="F41" s="330"/>
      <c r="G41" s="331"/>
      <c r="H41" s="332"/>
      <c r="I41" s="331"/>
      <c r="J41" s="621"/>
      <c r="K41" s="669"/>
      <c r="L41" s="890"/>
      <c r="M41" s="35"/>
      <c r="N41" s="362"/>
      <c r="O41" s="349"/>
      <c r="P41" s="626"/>
      <c r="Q41" s="669"/>
      <c r="R41" s="890"/>
      <c r="S41" s="169"/>
      <c r="T41" s="311"/>
      <c r="U41" s="669"/>
      <c r="V41" s="890"/>
    </row>
    <row r="42" spans="2:22" ht="12.75">
      <c r="B42" s="127">
        <f t="shared" si="3"/>
        <v>34</v>
      </c>
      <c r="C42" s="39"/>
      <c r="D42" s="14"/>
      <c r="E42" s="314" t="s">
        <v>204</v>
      </c>
      <c r="F42" s="333">
        <v>49700</v>
      </c>
      <c r="G42" s="334">
        <v>17500</v>
      </c>
      <c r="H42" s="334">
        <v>14340</v>
      </c>
      <c r="I42" s="334"/>
      <c r="J42" s="620">
        <f t="shared" si="0"/>
        <v>81540</v>
      </c>
      <c r="K42" s="668">
        <v>45413</v>
      </c>
      <c r="L42" s="890">
        <f t="shared" si="1"/>
        <v>55.694137846455725</v>
      </c>
      <c r="M42" s="35"/>
      <c r="N42" s="342"/>
      <c r="O42" s="343">
        <f>SUM(O43:O46)</f>
        <v>0</v>
      </c>
      <c r="P42" s="625">
        <f t="shared" si="10"/>
        <v>0</v>
      </c>
      <c r="Q42" s="668"/>
      <c r="R42" s="890"/>
      <c r="S42" s="169"/>
      <c r="T42" s="313">
        <f>J42+P42</f>
        <v>81540</v>
      </c>
      <c r="U42" s="668">
        <f>K42+Q42</f>
        <v>45413</v>
      </c>
      <c r="V42" s="890">
        <f t="shared" si="2"/>
        <v>55.694137846455725</v>
      </c>
    </row>
    <row r="43" spans="2:22" ht="12.75">
      <c r="B43" s="127">
        <f t="shared" si="3"/>
        <v>35</v>
      </c>
      <c r="C43" s="133"/>
      <c r="D43" s="14"/>
      <c r="E43" s="147" t="s">
        <v>238</v>
      </c>
      <c r="F43" s="330"/>
      <c r="G43" s="331"/>
      <c r="H43" s="332"/>
      <c r="I43" s="331"/>
      <c r="J43" s="621"/>
      <c r="K43" s="669"/>
      <c r="L43" s="890"/>
      <c r="M43" s="35"/>
      <c r="N43" s="362"/>
      <c r="O43" s="349"/>
      <c r="P43" s="626">
        <f t="shared" si="10"/>
        <v>0</v>
      </c>
      <c r="Q43" s="669"/>
      <c r="R43" s="890"/>
      <c r="S43" s="169"/>
      <c r="T43" s="311"/>
      <c r="U43" s="669">
        <f>K43+Q43</f>
        <v>0</v>
      </c>
      <c r="V43" s="890"/>
    </row>
    <row r="44" spans="2:22" ht="12.75">
      <c r="B44" s="127">
        <f t="shared" si="3"/>
        <v>36</v>
      </c>
      <c r="C44" s="39"/>
      <c r="D44" s="14"/>
      <c r="E44" s="140" t="s">
        <v>201</v>
      </c>
      <c r="F44" s="330"/>
      <c r="G44" s="331"/>
      <c r="H44" s="332"/>
      <c r="I44" s="331"/>
      <c r="J44" s="621"/>
      <c r="K44" s="669"/>
      <c r="L44" s="890"/>
      <c r="M44" s="35"/>
      <c r="N44" s="362"/>
      <c r="O44" s="349"/>
      <c r="P44" s="626">
        <f t="shared" si="10"/>
        <v>0</v>
      </c>
      <c r="Q44" s="669"/>
      <c r="R44" s="890"/>
      <c r="S44" s="169"/>
      <c r="T44" s="311">
        <f>J44+P44</f>
        <v>0</v>
      </c>
      <c r="U44" s="669">
        <f>K44+Q44</f>
        <v>0</v>
      </c>
      <c r="V44" s="890"/>
    </row>
    <row r="45" spans="2:22" ht="12.75">
      <c r="B45" s="127">
        <f t="shared" si="3"/>
        <v>37</v>
      </c>
      <c r="C45" s="28"/>
      <c r="D45" s="14"/>
      <c r="E45" s="320" t="s">
        <v>137</v>
      </c>
      <c r="F45" s="330"/>
      <c r="G45" s="331"/>
      <c r="H45" s="332">
        <v>340</v>
      </c>
      <c r="I45" s="331"/>
      <c r="J45" s="621">
        <f t="shared" si="0"/>
        <v>340</v>
      </c>
      <c r="K45" s="669">
        <v>202</v>
      </c>
      <c r="L45" s="890">
        <f t="shared" si="1"/>
        <v>59.411764705882355</v>
      </c>
      <c r="M45" s="35"/>
      <c r="N45" s="362"/>
      <c r="O45" s="349"/>
      <c r="P45" s="626">
        <f t="shared" si="10"/>
        <v>0</v>
      </c>
      <c r="Q45" s="669"/>
      <c r="R45" s="890"/>
      <c r="S45" s="169"/>
      <c r="T45" s="311">
        <f>J45+P45</f>
        <v>340</v>
      </c>
      <c r="U45" s="669">
        <f>K45+Q45</f>
        <v>202</v>
      </c>
      <c r="V45" s="890">
        <f t="shared" si="2"/>
        <v>59.411764705882355</v>
      </c>
    </row>
    <row r="46" spans="2:22" ht="12.75">
      <c r="B46" s="127">
        <f t="shared" si="3"/>
        <v>38</v>
      </c>
      <c r="C46" s="28"/>
      <c r="D46" s="14"/>
      <c r="E46" s="149"/>
      <c r="F46" s="330"/>
      <c r="G46" s="331"/>
      <c r="H46" s="332"/>
      <c r="I46" s="331"/>
      <c r="J46" s="621"/>
      <c r="K46" s="669"/>
      <c r="L46" s="890"/>
      <c r="M46" s="35"/>
      <c r="N46" s="362"/>
      <c r="O46" s="349"/>
      <c r="P46" s="626">
        <f t="shared" si="10"/>
        <v>0</v>
      </c>
      <c r="Q46" s="669"/>
      <c r="R46" s="890"/>
      <c r="S46" s="169"/>
      <c r="T46" s="311"/>
      <c r="U46" s="669"/>
      <c r="V46" s="890"/>
    </row>
    <row r="47" spans="2:22" ht="12.75">
      <c r="B47" s="127">
        <f t="shared" si="3"/>
        <v>39</v>
      </c>
      <c r="C47" s="28"/>
      <c r="D47" s="14"/>
      <c r="E47" s="317" t="s">
        <v>421</v>
      </c>
      <c r="F47" s="353"/>
      <c r="G47" s="354"/>
      <c r="H47" s="355"/>
      <c r="I47" s="354">
        <v>29740</v>
      </c>
      <c r="J47" s="620">
        <f t="shared" si="0"/>
        <v>29740</v>
      </c>
      <c r="K47" s="668">
        <v>11348</v>
      </c>
      <c r="L47" s="890">
        <f t="shared" si="1"/>
        <v>38.15736381977135</v>
      </c>
      <c r="M47" s="35"/>
      <c r="N47" s="363"/>
      <c r="O47" s="364"/>
      <c r="P47" s="651">
        <f t="shared" si="10"/>
        <v>0</v>
      </c>
      <c r="Q47" s="668"/>
      <c r="R47" s="890"/>
      <c r="S47" s="169"/>
      <c r="T47" s="315">
        <f aca="true" t="shared" si="12" ref="T47:U51">J47+P47</f>
        <v>29740</v>
      </c>
      <c r="U47" s="668">
        <f t="shared" si="12"/>
        <v>11348</v>
      </c>
      <c r="V47" s="890">
        <f t="shared" si="2"/>
        <v>38.15736381977135</v>
      </c>
    </row>
    <row r="48" spans="2:22" ht="12.75">
      <c r="B48" s="127">
        <f t="shared" si="3"/>
        <v>40</v>
      </c>
      <c r="C48" s="131"/>
      <c r="D48" s="14"/>
      <c r="E48" s="317" t="s">
        <v>422</v>
      </c>
      <c r="F48" s="353"/>
      <c r="G48" s="354"/>
      <c r="H48" s="355"/>
      <c r="I48" s="354">
        <v>23895</v>
      </c>
      <c r="J48" s="620">
        <f t="shared" si="0"/>
        <v>23895</v>
      </c>
      <c r="K48" s="668">
        <v>13999</v>
      </c>
      <c r="L48" s="890">
        <f t="shared" si="1"/>
        <v>58.585478133500736</v>
      </c>
      <c r="M48" s="35"/>
      <c r="N48" s="363"/>
      <c r="O48" s="364"/>
      <c r="P48" s="651">
        <f t="shared" si="10"/>
        <v>0</v>
      </c>
      <c r="Q48" s="668"/>
      <c r="R48" s="890"/>
      <c r="S48" s="169"/>
      <c r="T48" s="315">
        <f t="shared" si="12"/>
        <v>23895</v>
      </c>
      <c r="U48" s="668">
        <f t="shared" si="12"/>
        <v>13999</v>
      </c>
      <c r="V48" s="890">
        <f t="shared" si="2"/>
        <v>58.585478133500736</v>
      </c>
    </row>
    <row r="49" spans="2:22" ht="12.75">
      <c r="B49" s="127">
        <f t="shared" si="3"/>
        <v>41</v>
      </c>
      <c r="C49" s="131"/>
      <c r="D49" s="14"/>
      <c r="E49" s="317" t="s">
        <v>423</v>
      </c>
      <c r="F49" s="353"/>
      <c r="G49" s="354"/>
      <c r="H49" s="355"/>
      <c r="I49" s="354">
        <v>66985</v>
      </c>
      <c r="J49" s="620">
        <f t="shared" si="0"/>
        <v>66985</v>
      </c>
      <c r="K49" s="668">
        <v>23733</v>
      </c>
      <c r="L49" s="890">
        <f t="shared" si="1"/>
        <v>35.43032022094499</v>
      </c>
      <c r="M49" s="35"/>
      <c r="N49" s="363"/>
      <c r="O49" s="364"/>
      <c r="P49" s="651">
        <f t="shared" si="10"/>
        <v>0</v>
      </c>
      <c r="Q49" s="668"/>
      <c r="R49" s="890"/>
      <c r="S49" s="169"/>
      <c r="T49" s="315">
        <f t="shared" si="12"/>
        <v>66985</v>
      </c>
      <c r="U49" s="668">
        <f t="shared" si="12"/>
        <v>23733</v>
      </c>
      <c r="V49" s="890">
        <f t="shared" si="2"/>
        <v>35.43032022094499</v>
      </c>
    </row>
    <row r="50" spans="2:22" ht="12.75">
      <c r="B50" s="127">
        <f t="shared" si="3"/>
        <v>42</v>
      </c>
      <c r="C50" s="131"/>
      <c r="D50" s="14"/>
      <c r="E50" s="317" t="s">
        <v>424</v>
      </c>
      <c r="F50" s="353"/>
      <c r="G50" s="354"/>
      <c r="H50" s="355"/>
      <c r="I50" s="354">
        <v>114730</v>
      </c>
      <c r="J50" s="620">
        <f t="shared" si="0"/>
        <v>114730</v>
      </c>
      <c r="K50" s="668">
        <v>41277</v>
      </c>
      <c r="L50" s="890">
        <f t="shared" si="1"/>
        <v>35.97751242046544</v>
      </c>
      <c r="M50" s="35"/>
      <c r="N50" s="363"/>
      <c r="O50" s="364"/>
      <c r="P50" s="651">
        <f t="shared" si="10"/>
        <v>0</v>
      </c>
      <c r="Q50" s="668"/>
      <c r="R50" s="890"/>
      <c r="S50" s="169"/>
      <c r="T50" s="315">
        <f t="shared" si="12"/>
        <v>114730</v>
      </c>
      <c r="U50" s="668">
        <f t="shared" si="12"/>
        <v>41277</v>
      </c>
      <c r="V50" s="890">
        <f t="shared" si="2"/>
        <v>35.97751242046544</v>
      </c>
    </row>
    <row r="51" spans="2:22" ht="12.75">
      <c r="B51" s="127">
        <f t="shared" si="3"/>
        <v>43</v>
      </c>
      <c r="C51" s="131"/>
      <c r="D51" s="14"/>
      <c r="E51" s="317" t="s">
        <v>425</v>
      </c>
      <c r="F51" s="353"/>
      <c r="G51" s="354"/>
      <c r="H51" s="355"/>
      <c r="I51" s="354">
        <v>18220</v>
      </c>
      <c r="J51" s="620">
        <f t="shared" si="0"/>
        <v>18220</v>
      </c>
      <c r="K51" s="668">
        <v>7934</v>
      </c>
      <c r="L51" s="890">
        <f t="shared" si="1"/>
        <v>43.54555433589462</v>
      </c>
      <c r="M51" s="35"/>
      <c r="N51" s="363"/>
      <c r="O51" s="364"/>
      <c r="P51" s="651">
        <f t="shared" si="10"/>
        <v>0</v>
      </c>
      <c r="Q51" s="668"/>
      <c r="R51" s="890"/>
      <c r="S51" s="169"/>
      <c r="T51" s="315">
        <f t="shared" si="12"/>
        <v>18220</v>
      </c>
      <c r="U51" s="668">
        <f t="shared" si="12"/>
        <v>7934</v>
      </c>
      <c r="V51" s="890">
        <f t="shared" si="2"/>
        <v>43.54555433589462</v>
      </c>
    </row>
    <row r="52" spans="2:22" ht="12.75">
      <c r="B52" s="127">
        <f t="shared" si="3"/>
        <v>44</v>
      </c>
      <c r="C52" s="131"/>
      <c r="D52" s="14"/>
      <c r="E52" s="147"/>
      <c r="F52" s="330"/>
      <c r="G52" s="331"/>
      <c r="H52" s="332"/>
      <c r="I52" s="331"/>
      <c r="J52" s="621"/>
      <c r="K52" s="669"/>
      <c r="L52" s="890"/>
      <c r="M52" s="35"/>
      <c r="N52" s="365"/>
      <c r="O52" s="328"/>
      <c r="P52" s="627">
        <f t="shared" si="10"/>
        <v>0</v>
      </c>
      <c r="Q52" s="669"/>
      <c r="R52" s="890"/>
      <c r="S52" s="169"/>
      <c r="T52" s="312"/>
      <c r="U52" s="669"/>
      <c r="V52" s="890"/>
    </row>
    <row r="53" spans="2:22" ht="15">
      <c r="B53" s="127">
        <f t="shared" si="3"/>
        <v>45</v>
      </c>
      <c r="C53" s="41">
        <v>4</v>
      </c>
      <c r="D53" s="42" t="s">
        <v>122</v>
      </c>
      <c r="E53" s="43"/>
      <c r="F53" s="153">
        <f>F54+F56+F58+F59+F60+F61</f>
        <v>487110</v>
      </c>
      <c r="G53" s="153">
        <f>G54+G56+G58+G59+G60+G61</f>
        <v>171630</v>
      </c>
      <c r="H53" s="153">
        <f>H54+H56+H58+H59+H60+H61</f>
        <v>31450</v>
      </c>
      <c r="I53" s="153">
        <v>131285</v>
      </c>
      <c r="J53" s="869">
        <f t="shared" si="0"/>
        <v>821475</v>
      </c>
      <c r="K53" s="672">
        <f>SUM(K54:K62)</f>
        <v>375855</v>
      </c>
      <c r="L53" s="891">
        <f t="shared" si="1"/>
        <v>45.75367479229435</v>
      </c>
      <c r="M53" s="260"/>
      <c r="N53" s="259"/>
      <c r="O53" s="159"/>
      <c r="P53" s="859">
        <f t="shared" si="10"/>
        <v>0</v>
      </c>
      <c r="Q53" s="672"/>
      <c r="R53" s="891"/>
      <c r="S53" s="186"/>
      <c r="T53" s="860">
        <f>J53+P53</f>
        <v>821475</v>
      </c>
      <c r="U53" s="672">
        <f>K53+Q53</f>
        <v>375855</v>
      </c>
      <c r="V53" s="891">
        <f t="shared" si="2"/>
        <v>45.75367479229435</v>
      </c>
    </row>
    <row r="54" spans="2:22" ht="12.75">
      <c r="B54" s="127">
        <f t="shared" si="3"/>
        <v>46</v>
      </c>
      <c r="C54" s="134"/>
      <c r="D54" s="2"/>
      <c r="E54" s="314" t="s">
        <v>301</v>
      </c>
      <c r="F54" s="356">
        <v>208610</v>
      </c>
      <c r="G54" s="359">
        <v>73600</v>
      </c>
      <c r="H54" s="360">
        <v>10090</v>
      </c>
      <c r="I54" s="359"/>
      <c r="J54" s="620">
        <f t="shared" si="0"/>
        <v>292300</v>
      </c>
      <c r="K54" s="668">
        <v>129241</v>
      </c>
      <c r="L54" s="890">
        <f t="shared" si="1"/>
        <v>44.21518987341772</v>
      </c>
      <c r="M54" s="35"/>
      <c r="N54" s="363"/>
      <c r="O54" s="364"/>
      <c r="P54" s="651">
        <f t="shared" si="10"/>
        <v>0</v>
      </c>
      <c r="Q54" s="668"/>
      <c r="R54" s="890"/>
      <c r="S54" s="169"/>
      <c r="T54" s="315">
        <f>J54+P54</f>
        <v>292300</v>
      </c>
      <c r="U54" s="668">
        <f>K54+Q54</f>
        <v>129241</v>
      </c>
      <c r="V54" s="890">
        <f t="shared" si="2"/>
        <v>44.21518987341772</v>
      </c>
    </row>
    <row r="55" spans="2:22" ht="12.75">
      <c r="B55" s="127">
        <f t="shared" si="3"/>
        <v>47</v>
      </c>
      <c r="C55" s="39"/>
      <c r="D55" s="14"/>
      <c r="E55" s="147"/>
      <c r="F55" s="330"/>
      <c r="G55" s="331"/>
      <c r="H55" s="332"/>
      <c r="I55" s="331"/>
      <c r="J55" s="621"/>
      <c r="K55" s="669"/>
      <c r="L55" s="890"/>
      <c r="M55" s="35"/>
      <c r="N55" s="362"/>
      <c r="O55" s="349"/>
      <c r="P55" s="626"/>
      <c r="Q55" s="669"/>
      <c r="R55" s="890"/>
      <c r="S55" s="169"/>
      <c r="T55" s="288"/>
      <c r="U55" s="669"/>
      <c r="V55" s="890"/>
    </row>
    <row r="56" spans="2:22" ht="12.75">
      <c r="B56" s="127">
        <f t="shared" si="3"/>
        <v>48</v>
      </c>
      <c r="C56" s="39"/>
      <c r="D56" s="2"/>
      <c r="E56" s="316" t="s">
        <v>300</v>
      </c>
      <c r="F56" s="356">
        <v>278500</v>
      </c>
      <c r="G56" s="359">
        <v>98030</v>
      </c>
      <c r="H56" s="360">
        <v>21360</v>
      </c>
      <c r="I56" s="359">
        <v>91825</v>
      </c>
      <c r="J56" s="620">
        <f t="shared" si="0"/>
        <v>489715</v>
      </c>
      <c r="K56" s="668">
        <f>189061+39150</f>
        <v>228211</v>
      </c>
      <c r="L56" s="890">
        <f t="shared" si="1"/>
        <v>46.60077800353267</v>
      </c>
      <c r="M56" s="35"/>
      <c r="N56" s="369"/>
      <c r="O56" s="359"/>
      <c r="P56" s="651">
        <f>SUM(N56:O56)</f>
        <v>0</v>
      </c>
      <c r="Q56" s="668"/>
      <c r="R56" s="890"/>
      <c r="S56" s="169"/>
      <c r="T56" s="315">
        <f>J56+P56</f>
        <v>489715</v>
      </c>
      <c r="U56" s="668">
        <f>K56+Q56</f>
        <v>228211</v>
      </c>
      <c r="V56" s="890">
        <f t="shared" si="2"/>
        <v>46.60077800353267</v>
      </c>
    </row>
    <row r="57" spans="2:22" s="44" customFormat="1" ht="12.75">
      <c r="B57" s="127">
        <f t="shared" si="3"/>
        <v>49</v>
      </c>
      <c r="C57" s="39"/>
      <c r="D57" s="130"/>
      <c r="E57" s="147" t="s">
        <v>240</v>
      </c>
      <c r="F57" s="302"/>
      <c r="G57" s="300"/>
      <c r="H57" s="361"/>
      <c r="I57" s="300"/>
      <c r="J57" s="647"/>
      <c r="K57" s="669"/>
      <c r="L57" s="890"/>
      <c r="M57" s="156"/>
      <c r="N57" s="366"/>
      <c r="O57" s="367"/>
      <c r="P57" s="653">
        <f>SUM(N57:O57)</f>
        <v>0</v>
      </c>
      <c r="Q57" s="713"/>
      <c r="R57" s="890"/>
      <c r="S57" s="258"/>
      <c r="T57" s="310"/>
      <c r="U57" s="713"/>
      <c r="V57" s="890"/>
    </row>
    <row r="58" spans="2:22" s="44" customFormat="1" ht="12.75">
      <c r="B58" s="127">
        <f t="shared" si="3"/>
        <v>50</v>
      </c>
      <c r="C58" s="39"/>
      <c r="D58" s="130"/>
      <c r="E58" s="318" t="s">
        <v>427</v>
      </c>
      <c r="F58" s="353"/>
      <c r="G58" s="354"/>
      <c r="H58" s="355"/>
      <c r="I58" s="354">
        <v>20725</v>
      </c>
      <c r="J58" s="620">
        <f t="shared" si="0"/>
        <v>20725</v>
      </c>
      <c r="K58" s="668">
        <v>9822</v>
      </c>
      <c r="L58" s="890">
        <f t="shared" si="1"/>
        <v>47.392038600723765</v>
      </c>
      <c r="M58" s="35"/>
      <c r="N58" s="370"/>
      <c r="O58" s="364"/>
      <c r="P58" s="651">
        <f>SUM(N58:O58)</f>
        <v>0</v>
      </c>
      <c r="Q58" s="668"/>
      <c r="R58" s="890"/>
      <c r="S58" s="258"/>
      <c r="T58" s="315">
        <f>J58+P58</f>
        <v>20725</v>
      </c>
      <c r="U58" s="668">
        <f>K58+Q58</f>
        <v>9822</v>
      </c>
      <c r="V58" s="890">
        <f t="shared" si="2"/>
        <v>47.392038600723765</v>
      </c>
    </row>
    <row r="59" spans="2:22" s="44" customFormat="1" ht="12.75">
      <c r="B59" s="127">
        <f t="shared" si="3"/>
        <v>51</v>
      </c>
      <c r="C59" s="39"/>
      <c r="D59" s="130"/>
      <c r="E59" s="318" t="s">
        <v>429</v>
      </c>
      <c r="F59" s="353"/>
      <c r="G59" s="354"/>
      <c r="H59" s="355"/>
      <c r="I59" s="354">
        <v>15910</v>
      </c>
      <c r="J59" s="620">
        <f t="shared" si="0"/>
        <v>15910</v>
      </c>
      <c r="K59" s="668">
        <v>8092</v>
      </c>
      <c r="L59" s="890">
        <f t="shared" si="1"/>
        <v>50.86109365179132</v>
      </c>
      <c r="M59" s="35"/>
      <c r="N59" s="370"/>
      <c r="O59" s="364"/>
      <c r="P59" s="651">
        <f>SUM(N59:O59)</f>
        <v>0</v>
      </c>
      <c r="Q59" s="668"/>
      <c r="R59" s="890"/>
      <c r="S59" s="258"/>
      <c r="T59" s="315">
        <f>J59+P59</f>
        <v>15910</v>
      </c>
      <c r="U59" s="668">
        <f>K59+Q59</f>
        <v>8092</v>
      </c>
      <c r="V59" s="890">
        <f t="shared" si="2"/>
        <v>50.86109365179132</v>
      </c>
    </row>
    <row r="60" spans="2:22" s="44" customFormat="1" ht="12.75">
      <c r="B60" s="127">
        <f t="shared" si="3"/>
        <v>52</v>
      </c>
      <c r="C60" s="39"/>
      <c r="D60" s="130"/>
      <c r="E60" s="318" t="s">
        <v>328</v>
      </c>
      <c r="F60" s="353"/>
      <c r="G60" s="354"/>
      <c r="H60" s="355"/>
      <c r="I60" s="354">
        <v>2095</v>
      </c>
      <c r="J60" s="620">
        <f t="shared" si="0"/>
        <v>2095</v>
      </c>
      <c r="K60" s="668">
        <v>489</v>
      </c>
      <c r="L60" s="890">
        <f t="shared" si="1"/>
        <v>23.341288782816232</v>
      </c>
      <c r="M60" s="35"/>
      <c r="N60" s="370"/>
      <c r="O60" s="364"/>
      <c r="P60" s="651"/>
      <c r="Q60" s="668"/>
      <c r="R60" s="890"/>
      <c r="S60" s="258"/>
      <c r="T60" s="315"/>
      <c r="U60" s="668">
        <f>K60+Q60</f>
        <v>489</v>
      </c>
      <c r="V60" s="890"/>
    </row>
    <row r="61" spans="2:22" s="44" customFormat="1" ht="12.75">
      <c r="B61" s="127">
        <f t="shared" si="3"/>
        <v>53</v>
      </c>
      <c r="C61" s="39"/>
      <c r="D61" s="130"/>
      <c r="E61" s="318" t="s">
        <v>428</v>
      </c>
      <c r="F61" s="353"/>
      <c r="G61" s="354"/>
      <c r="H61" s="355"/>
      <c r="I61" s="354">
        <v>730</v>
      </c>
      <c r="J61" s="620">
        <f t="shared" si="0"/>
        <v>730</v>
      </c>
      <c r="K61" s="668"/>
      <c r="L61" s="890">
        <f t="shared" si="1"/>
        <v>0</v>
      </c>
      <c r="M61" s="156"/>
      <c r="N61" s="399"/>
      <c r="O61" s="359"/>
      <c r="P61" s="652">
        <f>SUM(N61:O61)</f>
        <v>0</v>
      </c>
      <c r="Q61" s="668"/>
      <c r="R61" s="890"/>
      <c r="S61" s="258"/>
      <c r="T61" s="315">
        <f>J61+P61</f>
        <v>730</v>
      </c>
      <c r="U61" s="668">
        <f>K61+Q61</f>
        <v>0</v>
      </c>
      <c r="V61" s="890">
        <f t="shared" si="2"/>
        <v>0</v>
      </c>
    </row>
    <row r="62" spans="2:22" ht="12.75">
      <c r="B62" s="127">
        <f t="shared" si="3"/>
        <v>54</v>
      </c>
      <c r="C62" s="32"/>
      <c r="D62" s="2"/>
      <c r="E62" s="147"/>
      <c r="F62" s="330"/>
      <c r="G62" s="331"/>
      <c r="H62" s="332"/>
      <c r="I62" s="331"/>
      <c r="J62" s="621"/>
      <c r="K62" s="669"/>
      <c r="L62" s="890"/>
      <c r="M62" s="35"/>
      <c r="N62" s="368"/>
      <c r="O62" s="331"/>
      <c r="P62" s="628"/>
      <c r="Q62" s="669"/>
      <c r="R62" s="890"/>
      <c r="S62" s="169"/>
      <c r="T62" s="312"/>
      <c r="U62" s="669"/>
      <c r="V62" s="890"/>
    </row>
    <row r="63" spans="2:22" ht="15">
      <c r="B63" s="127">
        <f t="shared" si="3"/>
        <v>55</v>
      </c>
      <c r="C63" s="41">
        <v>5</v>
      </c>
      <c r="D63" s="42" t="s">
        <v>205</v>
      </c>
      <c r="E63" s="43"/>
      <c r="F63" s="153">
        <f>F64+F65+F66</f>
        <v>109660</v>
      </c>
      <c r="G63" s="153">
        <f>G64+G65+G66</f>
        <v>38565</v>
      </c>
      <c r="H63" s="153">
        <f>H64+H65+H66</f>
        <v>28077</v>
      </c>
      <c r="I63" s="153"/>
      <c r="J63" s="869">
        <f>SUM(F63:I63)</f>
        <v>176302</v>
      </c>
      <c r="K63" s="672">
        <f>SUM(K64:K66)</f>
        <v>91118</v>
      </c>
      <c r="L63" s="891">
        <f t="shared" si="1"/>
        <v>51.6829077378589</v>
      </c>
      <c r="M63" s="260"/>
      <c r="N63" s="254"/>
      <c r="O63" s="157"/>
      <c r="P63" s="859">
        <f>SUM(N63:O63)</f>
        <v>0</v>
      </c>
      <c r="Q63" s="672"/>
      <c r="R63" s="891"/>
      <c r="S63" s="186"/>
      <c r="T63" s="860">
        <f aca="true" t="shared" si="13" ref="T63:U66">J63+P63</f>
        <v>176302</v>
      </c>
      <c r="U63" s="672">
        <f t="shared" si="13"/>
        <v>91118</v>
      </c>
      <c r="V63" s="891">
        <f t="shared" si="2"/>
        <v>51.6829077378589</v>
      </c>
    </row>
    <row r="64" spans="2:22" ht="12.75">
      <c r="B64" s="127">
        <f t="shared" si="3"/>
        <v>56</v>
      </c>
      <c r="C64" s="134"/>
      <c r="D64" s="2"/>
      <c r="E64" s="144" t="s">
        <v>95</v>
      </c>
      <c r="F64" s="327">
        <v>20160</v>
      </c>
      <c r="G64" s="328">
        <v>7045</v>
      </c>
      <c r="H64" s="329">
        <v>9962</v>
      </c>
      <c r="I64" s="328"/>
      <c r="J64" s="621">
        <f>SUM(F64:I64)</f>
        <v>37167</v>
      </c>
      <c r="K64" s="669">
        <v>11534</v>
      </c>
      <c r="L64" s="890">
        <f t="shared" si="1"/>
        <v>31.03290553447951</v>
      </c>
      <c r="M64" s="35"/>
      <c r="N64" s="362"/>
      <c r="O64" s="349"/>
      <c r="P64" s="626">
        <f>SUM(N64:O64)</f>
        <v>0</v>
      </c>
      <c r="Q64" s="669"/>
      <c r="R64" s="890"/>
      <c r="S64" s="169"/>
      <c r="T64" s="288">
        <f t="shared" si="13"/>
        <v>37167</v>
      </c>
      <c r="U64" s="669">
        <f t="shared" si="13"/>
        <v>11534</v>
      </c>
      <c r="V64" s="890">
        <f t="shared" si="2"/>
        <v>31.03290553447951</v>
      </c>
    </row>
    <row r="65" spans="2:22" ht="12.75">
      <c r="B65" s="127">
        <f t="shared" si="3"/>
        <v>57</v>
      </c>
      <c r="C65" s="28"/>
      <c r="D65" s="14"/>
      <c r="E65" s="140" t="s">
        <v>206</v>
      </c>
      <c r="F65" s="330"/>
      <c r="G65" s="331"/>
      <c r="H65" s="332">
        <v>3100</v>
      </c>
      <c r="I65" s="331"/>
      <c r="J65" s="621">
        <f>SUM(F65:I65)</f>
        <v>3100</v>
      </c>
      <c r="K65" s="669"/>
      <c r="L65" s="890">
        <f t="shared" si="1"/>
        <v>0</v>
      </c>
      <c r="M65" s="35"/>
      <c r="N65" s="362"/>
      <c r="O65" s="349"/>
      <c r="P65" s="626">
        <f>SUM(N65:O65)</f>
        <v>0</v>
      </c>
      <c r="Q65" s="669"/>
      <c r="R65" s="890"/>
      <c r="S65" s="169"/>
      <c r="T65" s="288">
        <f t="shared" si="13"/>
        <v>3100</v>
      </c>
      <c r="U65" s="669">
        <f t="shared" si="13"/>
        <v>0</v>
      </c>
      <c r="V65" s="890">
        <f t="shared" si="2"/>
        <v>0</v>
      </c>
    </row>
    <row r="66" spans="2:22" ht="13.5" thickBot="1">
      <c r="B66" s="965">
        <f t="shared" si="3"/>
        <v>58</v>
      </c>
      <c r="C66" s="34"/>
      <c r="D66" s="55"/>
      <c r="E66" s="150" t="s">
        <v>207</v>
      </c>
      <c r="F66" s="350">
        <v>89500</v>
      </c>
      <c r="G66" s="351">
        <v>31520</v>
      </c>
      <c r="H66" s="351">
        <v>15015</v>
      </c>
      <c r="I66" s="351"/>
      <c r="J66" s="648">
        <f>SUM(F66:I66)</f>
        <v>136035</v>
      </c>
      <c r="K66" s="679">
        <v>79584</v>
      </c>
      <c r="L66" s="892">
        <f t="shared" si="1"/>
        <v>58.502591244900216</v>
      </c>
      <c r="M66" s="268"/>
      <c r="N66" s="371"/>
      <c r="O66" s="351"/>
      <c r="P66" s="644">
        <f>SUM(N66:O66)</f>
        <v>0</v>
      </c>
      <c r="Q66" s="679"/>
      <c r="R66" s="892"/>
      <c r="S66" s="169"/>
      <c r="T66" s="397">
        <f t="shared" si="13"/>
        <v>136035</v>
      </c>
      <c r="U66" s="679">
        <f t="shared" si="13"/>
        <v>79584</v>
      </c>
      <c r="V66" s="892">
        <f t="shared" si="2"/>
        <v>58.502591244900216</v>
      </c>
    </row>
    <row r="67" spans="2:19" ht="12.75">
      <c r="B67" s="119"/>
      <c r="C67" s="138"/>
      <c r="S67" s="171"/>
    </row>
    <row r="69" ht="12.75">
      <c r="Q69" s="671"/>
    </row>
    <row r="71" ht="12.75">
      <c r="Q71" s="671"/>
    </row>
    <row r="98" ht="12.75" customHeight="1"/>
    <row r="162" ht="12.75" customHeight="1"/>
    <row r="226" ht="12.75" customHeight="1"/>
    <row r="290" ht="12.75" customHeight="1"/>
    <row r="354" ht="12.75" customHeight="1"/>
    <row r="418" ht="12.75" customHeight="1"/>
    <row r="482" ht="12.75" customHeight="1"/>
    <row r="546" ht="12.75" customHeight="1"/>
    <row r="610" ht="12.75" customHeight="1"/>
    <row r="674" ht="12.75" customHeight="1"/>
    <row r="738" ht="12.75" customHeight="1"/>
    <row r="802" ht="12.75" customHeight="1"/>
    <row r="866" ht="12.75" customHeight="1"/>
    <row r="930" ht="12.75" customHeight="1"/>
    <row r="994" ht="12.75" customHeight="1"/>
    <row r="1058" ht="12.75" customHeight="1"/>
    <row r="1122" ht="12.75" customHeight="1"/>
    <row r="1186" ht="12.75" customHeight="1"/>
    <row r="1250" ht="12.75" customHeight="1"/>
    <row r="1314" ht="12.75" customHeight="1"/>
    <row r="1378" ht="12.75" customHeight="1"/>
    <row r="1442" ht="12.75" customHeight="1"/>
    <row r="1506" ht="12.75" customHeight="1"/>
    <row r="1570" ht="12.75" customHeight="1"/>
    <row r="1634" ht="12.75" customHeight="1"/>
    <row r="1698" ht="12.75" customHeight="1"/>
    <row r="1762" ht="12.75" customHeight="1"/>
    <row r="1826" ht="12.75" customHeight="1"/>
    <row r="1890" ht="12.75" customHeight="1"/>
    <row r="1954" ht="12.75" customHeight="1"/>
    <row r="2018" ht="12.75" customHeight="1"/>
    <row r="2082" ht="12.75" customHeight="1"/>
    <row r="2146" ht="12.75" customHeight="1"/>
    <row r="2210" ht="12.75" customHeight="1"/>
    <row r="2274" ht="12.75" customHeight="1"/>
    <row r="2338" ht="12.75" customHeight="1"/>
    <row r="2402" ht="12.75" customHeight="1"/>
    <row r="2466" ht="12.75" customHeight="1"/>
    <row r="2530" ht="12.75" customHeight="1"/>
    <row r="2594" ht="12.75" customHeight="1"/>
    <row r="2658" ht="12.75" customHeight="1"/>
    <row r="2722" ht="12.75" customHeight="1"/>
    <row r="2786" ht="12.75" customHeight="1"/>
    <row r="2850" ht="12.75" customHeight="1"/>
    <row r="2914" ht="12.75" customHeight="1"/>
    <row r="2978" ht="12.75" customHeight="1"/>
    <row r="3042" ht="12.75" customHeight="1"/>
    <row r="3106" ht="12.75" customHeight="1"/>
    <row r="3170" ht="12.75" customHeight="1"/>
    <row r="3234" ht="12.75" customHeight="1"/>
    <row r="3298" ht="12.75" customHeight="1"/>
    <row r="3362" ht="12.75" customHeight="1"/>
    <row r="3426" ht="12.75" customHeight="1"/>
    <row r="3490" ht="12.75" customHeight="1"/>
    <row r="3554" ht="12.75" customHeight="1"/>
    <row r="3618" ht="12.75" customHeight="1"/>
    <row r="3682" ht="12.75" customHeight="1"/>
    <row r="3746" ht="12.75" customHeight="1"/>
    <row r="3810" ht="12.75" customHeight="1"/>
    <row r="3874" ht="12.75" customHeight="1"/>
    <row r="3938" ht="12.75" customHeight="1"/>
    <row r="4002" ht="12.75" customHeight="1"/>
    <row r="4066" ht="12.75" customHeight="1"/>
    <row r="4130" ht="12.75" customHeight="1"/>
    <row r="4194" ht="12.75" customHeight="1"/>
    <row r="4258" ht="12.75" customHeight="1"/>
    <row r="4322" ht="12.75" customHeight="1"/>
    <row r="4386" ht="12.75" customHeight="1"/>
    <row r="4450" ht="12.75" customHeight="1"/>
    <row r="4514" ht="12.75" customHeight="1"/>
    <row r="4578" ht="12.75" customHeight="1"/>
    <row r="4642" ht="12.75" customHeight="1"/>
    <row r="4706" ht="12.75" customHeight="1"/>
    <row r="4770" ht="12.75" customHeight="1"/>
    <row r="4834" ht="12.75" customHeight="1"/>
    <row r="4898" ht="12.75" customHeight="1"/>
    <row r="4962" ht="12.75" customHeight="1"/>
    <row r="5026" ht="12.75" customHeight="1"/>
    <row r="5090" ht="12.75" customHeight="1"/>
    <row r="5154" ht="12.75" customHeight="1"/>
    <row r="5218" ht="12.75" customHeight="1"/>
    <row r="5282" ht="12.75" customHeight="1"/>
    <row r="5346" ht="12.75" customHeight="1"/>
    <row r="5410" ht="12.75" customHeight="1"/>
    <row r="5474" ht="12.75" customHeight="1"/>
    <row r="5538" ht="12.75" customHeight="1"/>
    <row r="5602" ht="12.75" customHeight="1"/>
    <row r="5666" ht="12.75" customHeight="1"/>
    <row r="5730" ht="12.75" customHeight="1"/>
    <row r="5794" ht="12.75" customHeight="1"/>
    <row r="5858" ht="12.75" customHeight="1"/>
    <row r="5922" ht="12.75" customHeight="1"/>
    <row r="5986" ht="12.75" customHeight="1"/>
    <row r="6050" ht="12.75" customHeight="1"/>
    <row r="6114" ht="12.75" customHeight="1"/>
    <row r="6178" ht="12.75" customHeight="1"/>
    <row r="6242" ht="12.75" customHeight="1"/>
    <row r="6306" ht="12.75" customHeight="1"/>
    <row r="6370" ht="12.75" customHeight="1"/>
    <row r="6434" ht="12.75" customHeight="1"/>
    <row r="6498" ht="12.75" customHeight="1"/>
    <row r="6562" ht="12.75" customHeight="1"/>
    <row r="6626" ht="12.75" customHeight="1"/>
    <row r="6690" ht="12.75" customHeight="1"/>
    <row r="6754" ht="12.75" customHeight="1"/>
    <row r="6818" ht="12.75" customHeight="1"/>
    <row r="6882" ht="12.75" customHeight="1"/>
    <row r="6946" ht="12.75" customHeight="1"/>
    <row r="7010" ht="12.75" customHeight="1"/>
    <row r="7074" ht="12.75" customHeight="1"/>
    <row r="7138" ht="12.75" customHeight="1"/>
    <row r="7202" ht="12.75" customHeight="1"/>
    <row r="7266" ht="12.75" customHeight="1"/>
    <row r="7330" ht="12.75" customHeight="1"/>
    <row r="7394" ht="12.75" customHeight="1"/>
    <row r="7458" ht="12.75" customHeight="1"/>
    <row r="7522" ht="12.75" customHeight="1"/>
    <row r="7586" ht="12.75" customHeight="1"/>
    <row r="7650" ht="12.75" customHeight="1"/>
    <row r="7714" ht="12.75" customHeight="1"/>
    <row r="7778" ht="12.75" customHeight="1"/>
    <row r="7842" ht="12.75" customHeight="1"/>
    <row r="7906" ht="12.75" customHeight="1"/>
    <row r="7970" ht="12.75" customHeight="1"/>
    <row r="8034" ht="12.75" customHeight="1"/>
    <row r="8098" ht="12.75" customHeight="1"/>
    <row r="8162" ht="12.75" customHeight="1"/>
    <row r="8226" ht="12.75" customHeight="1"/>
    <row r="8290" ht="12.75" customHeight="1"/>
    <row r="8354" ht="12.75" customHeight="1"/>
    <row r="8418" ht="12.75" customHeight="1"/>
    <row r="8482" ht="12.75" customHeight="1"/>
    <row r="8546" ht="12.75" customHeight="1"/>
    <row r="8610" ht="12.75" customHeight="1"/>
    <row r="8674" ht="12.75" customHeight="1"/>
    <row r="8738" ht="12.75" customHeight="1"/>
    <row r="8802" ht="12.75" customHeight="1"/>
    <row r="8866" ht="12.75" customHeight="1"/>
    <row r="8930" ht="12.75" customHeight="1"/>
    <row r="8994" ht="12.75" customHeight="1"/>
    <row r="9058" ht="12.75" customHeight="1"/>
    <row r="9122" ht="12.75" customHeight="1"/>
    <row r="9186" ht="12.75" customHeight="1"/>
    <row r="9250" ht="12.75" customHeight="1"/>
    <row r="9314" ht="12.75" customHeight="1"/>
    <row r="9378" ht="12.75" customHeight="1"/>
    <row r="9442" ht="12.75" customHeight="1"/>
    <row r="9506" ht="12.75" customHeight="1"/>
    <row r="9570" ht="12.75" customHeight="1"/>
    <row r="9634" ht="12.75" customHeight="1"/>
    <row r="9698" ht="12.75" customHeight="1"/>
    <row r="9762" ht="12.75" customHeight="1"/>
    <row r="9826" ht="12.75" customHeight="1"/>
    <row r="9890" ht="12.75" customHeight="1"/>
    <row r="9954" ht="12.75" customHeight="1"/>
    <row r="10018" ht="12.75" customHeight="1"/>
    <row r="10082" ht="12.75" customHeight="1"/>
    <row r="10146" ht="12.75" customHeight="1"/>
    <row r="10210" ht="12.75" customHeight="1"/>
    <row r="10274" ht="12.75" customHeight="1"/>
    <row r="10338" ht="12.75" customHeight="1"/>
    <row r="10402" ht="12.75" customHeight="1"/>
    <row r="10466" ht="12.75" customHeight="1"/>
    <row r="10530" ht="12.75" customHeight="1"/>
    <row r="10594" ht="12.75" customHeight="1"/>
    <row r="10658" ht="12.75" customHeight="1"/>
    <row r="10722" ht="12.75" customHeight="1"/>
    <row r="10786" ht="12.75" customHeight="1"/>
    <row r="10850" ht="12.75" customHeight="1"/>
    <row r="10914" ht="12.75" customHeight="1"/>
    <row r="10978" ht="12.75" customHeight="1"/>
    <row r="11042" ht="12.75" customHeight="1"/>
    <row r="11106" ht="12.75" customHeight="1"/>
    <row r="11170" ht="12.75" customHeight="1"/>
    <row r="11234" ht="12.75" customHeight="1"/>
    <row r="11298" ht="12.75" customHeight="1"/>
    <row r="11362" ht="12.75" customHeight="1"/>
    <row r="11426" ht="12.75" customHeight="1"/>
    <row r="11490" ht="12.75" customHeight="1"/>
    <row r="11554" ht="12.75" customHeight="1"/>
    <row r="11618" ht="12.75" customHeight="1"/>
    <row r="11682" ht="12.75" customHeight="1"/>
    <row r="11746" ht="12.75" customHeight="1"/>
    <row r="11810" ht="12.75" customHeight="1"/>
    <row r="11874" ht="12.75" customHeight="1"/>
    <row r="11938" ht="12.75" customHeight="1"/>
    <row r="12002" ht="12.75" customHeight="1"/>
    <row r="12066" ht="12.75" customHeight="1"/>
    <row r="12130" ht="12.75" customHeight="1"/>
    <row r="12194" ht="12.75" customHeight="1"/>
    <row r="12258" ht="12.75" customHeight="1"/>
    <row r="12322" ht="12.75" customHeight="1"/>
    <row r="12386" ht="12.75" customHeight="1"/>
    <row r="12450" ht="12.75" customHeight="1"/>
    <row r="12514" ht="12.75" customHeight="1"/>
    <row r="12578" ht="12.75" customHeight="1"/>
    <row r="12642" ht="12.75" customHeight="1"/>
    <row r="12706" ht="12.75" customHeight="1"/>
    <row r="12770" ht="12.75" customHeight="1"/>
    <row r="12834" ht="12.75" customHeight="1"/>
    <row r="12898" ht="12.75" customHeight="1"/>
    <row r="12962" ht="12.75" customHeight="1"/>
    <row r="13026" ht="12.75" customHeight="1"/>
    <row r="13090" ht="12.75" customHeight="1"/>
    <row r="13154" ht="12.75" customHeight="1"/>
    <row r="13218" ht="12.75" customHeight="1"/>
    <row r="13282" ht="12.75" customHeight="1"/>
    <row r="13346" ht="12.75" customHeight="1"/>
    <row r="13410" ht="12.75" customHeight="1"/>
    <row r="13474" ht="12.75" customHeight="1"/>
    <row r="13538" ht="12.75" customHeight="1"/>
    <row r="13602" ht="12.75" customHeight="1"/>
    <row r="13666" ht="12.75" customHeight="1"/>
    <row r="13730" ht="12.75" customHeight="1"/>
    <row r="13794" ht="12.75" customHeight="1"/>
    <row r="13858" ht="12.75" customHeight="1"/>
    <row r="13922" ht="12.75" customHeight="1"/>
    <row r="13986" ht="12.75" customHeight="1"/>
    <row r="14050" ht="12.75" customHeight="1"/>
    <row r="14114" ht="12.75" customHeight="1"/>
    <row r="14178" ht="12.75" customHeight="1"/>
    <row r="14242" ht="12.75" customHeight="1"/>
    <row r="14306" ht="12.75" customHeight="1"/>
    <row r="14370" ht="12.75" customHeight="1"/>
    <row r="14434" ht="12.75" customHeight="1"/>
    <row r="14498" ht="12.75" customHeight="1"/>
    <row r="14562" ht="12.75" customHeight="1"/>
    <row r="14626" ht="12.75" customHeight="1"/>
    <row r="14690" ht="12.75" customHeight="1"/>
    <row r="14754" ht="12.75" customHeight="1"/>
    <row r="14818" ht="12.75" customHeight="1"/>
    <row r="14882" ht="12.75" customHeight="1"/>
    <row r="14946" ht="12.75" customHeight="1"/>
    <row r="15010" ht="12.75" customHeight="1"/>
    <row r="15074" ht="12.75" customHeight="1"/>
    <row r="15138" ht="12.75" customHeight="1"/>
    <row r="15202" ht="12.75" customHeight="1"/>
    <row r="15266" ht="12.75" customHeight="1"/>
    <row r="15330" ht="12.75" customHeight="1"/>
    <row r="15394" ht="12.75" customHeight="1"/>
    <row r="15458" ht="12.75" customHeight="1"/>
    <row r="15522" ht="12.75" customHeight="1"/>
    <row r="15586" ht="12.75" customHeight="1"/>
    <row r="15650" ht="12.75" customHeight="1"/>
    <row r="15714" ht="12.75" customHeight="1"/>
    <row r="15778" ht="12.75" customHeight="1"/>
    <row r="15842" ht="12.75" customHeight="1"/>
    <row r="15906" ht="12.75" customHeight="1"/>
    <row r="15970" ht="12.75" customHeight="1"/>
    <row r="16034" ht="12.75" customHeight="1"/>
    <row r="16098" ht="12.75" customHeight="1"/>
    <row r="16162" ht="12.75" customHeight="1"/>
    <row r="16226" ht="12.75" customHeight="1"/>
    <row r="16290" ht="12.75" customHeight="1"/>
    <row r="16354" ht="12.75" customHeight="1"/>
    <row r="16418" ht="12.75" customHeight="1"/>
    <row r="16482" ht="12.75" customHeight="1"/>
    <row r="16546" ht="12.75" customHeight="1"/>
    <row r="16610" ht="12.75" customHeight="1"/>
    <row r="16674" ht="12.75" customHeight="1"/>
    <row r="16738" ht="12.75" customHeight="1"/>
    <row r="16802" ht="12.75" customHeight="1"/>
    <row r="16866" ht="12.75" customHeight="1"/>
    <row r="16930" ht="12.75" customHeight="1"/>
    <row r="16994" ht="12.75" customHeight="1"/>
    <row r="17058" ht="12.75" customHeight="1"/>
    <row r="17122" ht="12.75" customHeight="1"/>
    <row r="17186" ht="12.75" customHeight="1"/>
    <row r="17250" ht="12.75" customHeight="1"/>
    <row r="17314" ht="12.75" customHeight="1"/>
    <row r="17378" ht="12.75" customHeight="1"/>
    <row r="17442" ht="12.75" customHeight="1"/>
    <row r="17506" ht="12.75" customHeight="1"/>
    <row r="17570" ht="12.75" customHeight="1"/>
    <row r="17634" ht="12.75" customHeight="1"/>
    <row r="17698" ht="12.75" customHeight="1"/>
    <row r="17762" ht="12.75" customHeight="1"/>
    <row r="17826" ht="12.75" customHeight="1"/>
    <row r="17890" ht="12.75" customHeight="1"/>
    <row r="17954" ht="12.75" customHeight="1"/>
    <row r="18018" ht="12.75" customHeight="1"/>
    <row r="18082" ht="12.75" customHeight="1"/>
    <row r="18146" ht="12.75" customHeight="1"/>
    <row r="18210" ht="12.75" customHeight="1"/>
    <row r="18274" ht="12.75" customHeight="1"/>
    <row r="18338" ht="12.75" customHeight="1"/>
    <row r="18402" ht="12.75" customHeight="1"/>
    <row r="18466" ht="12.75" customHeight="1"/>
    <row r="18530" ht="12.75" customHeight="1"/>
    <row r="18594" ht="12.75" customHeight="1"/>
    <row r="18658" ht="12.75" customHeight="1"/>
    <row r="18722" ht="12.75" customHeight="1"/>
    <row r="18786" ht="12.75" customHeight="1"/>
    <row r="18850" ht="12.75" customHeight="1"/>
    <row r="18914" ht="12.75" customHeight="1"/>
    <row r="18978" ht="12.75" customHeight="1"/>
    <row r="19042" ht="12.75" customHeight="1"/>
    <row r="19106" ht="12.75" customHeight="1"/>
    <row r="19170" ht="12.75" customHeight="1"/>
    <row r="19234" ht="12.75" customHeight="1"/>
    <row r="19298" ht="12.75" customHeight="1"/>
    <row r="19362" ht="12.75" customHeight="1"/>
    <row r="19426" ht="12.75" customHeight="1"/>
    <row r="19490" ht="12.75" customHeight="1"/>
    <row r="19554" ht="12.75" customHeight="1"/>
    <row r="19618" ht="12.75" customHeight="1"/>
    <row r="19682" ht="12.75" customHeight="1"/>
    <row r="19746" ht="12.75" customHeight="1"/>
    <row r="19810" ht="12.75" customHeight="1"/>
    <row r="19874" ht="12.75" customHeight="1"/>
    <row r="19938" ht="12.75" customHeight="1"/>
    <row r="20002" ht="12.75" customHeight="1"/>
    <row r="20066" ht="12.75" customHeight="1"/>
    <row r="20130" ht="12.75" customHeight="1"/>
    <row r="20194" ht="12.75" customHeight="1"/>
    <row r="20258" ht="12.75" customHeight="1"/>
    <row r="20322" ht="12.75" customHeight="1"/>
    <row r="20386" ht="12.75" customHeight="1"/>
    <row r="20450" ht="12.75" customHeight="1"/>
    <row r="20514" ht="12.75" customHeight="1"/>
    <row r="20578" ht="12.75" customHeight="1"/>
    <row r="20642" ht="12.75" customHeight="1"/>
    <row r="20706" ht="12.75" customHeight="1"/>
    <row r="20770" ht="12.75" customHeight="1"/>
    <row r="20834" ht="12.75" customHeight="1"/>
    <row r="20898" ht="12.75" customHeight="1"/>
    <row r="20962" ht="12.75" customHeight="1"/>
    <row r="21026" ht="12.75" customHeight="1"/>
    <row r="21090" ht="12.75" customHeight="1"/>
    <row r="21154" ht="12.75" customHeight="1"/>
    <row r="21218" ht="12.75" customHeight="1"/>
    <row r="21282" ht="12.75" customHeight="1"/>
    <row r="21346" ht="12.75" customHeight="1"/>
    <row r="21410" ht="12.75" customHeight="1"/>
    <row r="21474" ht="12.75" customHeight="1"/>
    <row r="21538" ht="12.75" customHeight="1"/>
    <row r="21602" ht="12.75" customHeight="1"/>
    <row r="21666" ht="12.75" customHeight="1"/>
    <row r="21730" ht="12.75" customHeight="1"/>
    <row r="21794" ht="12.75" customHeight="1"/>
    <row r="21858" ht="12.75" customHeight="1"/>
    <row r="21922" ht="12.75" customHeight="1"/>
    <row r="21986" ht="12.75" customHeight="1"/>
    <row r="22050" ht="12.75" customHeight="1"/>
    <row r="22114" ht="12.75" customHeight="1"/>
    <row r="22178" ht="12.75" customHeight="1"/>
    <row r="22242" ht="12.75" customHeight="1"/>
    <row r="22306" ht="12.75" customHeight="1"/>
    <row r="22370" ht="12.75" customHeight="1"/>
    <row r="22434" ht="12.75" customHeight="1"/>
    <row r="22498" ht="12.75" customHeight="1"/>
    <row r="22562" ht="12.75" customHeight="1"/>
    <row r="22626" ht="12.75" customHeight="1"/>
    <row r="22690" ht="12.75" customHeight="1"/>
    <row r="22754" ht="12.75" customHeight="1"/>
    <row r="22818" ht="12.75" customHeight="1"/>
    <row r="22882" ht="12.75" customHeight="1"/>
    <row r="22946" ht="12.75" customHeight="1"/>
    <row r="23010" ht="12.75" customHeight="1"/>
    <row r="23074" ht="12.75" customHeight="1"/>
    <row r="23138" ht="12.75" customHeight="1"/>
    <row r="23202" ht="12.75" customHeight="1"/>
    <row r="23266" ht="12.75" customHeight="1"/>
    <row r="23330" ht="12.75" customHeight="1"/>
    <row r="23394" ht="12.75" customHeight="1"/>
    <row r="23458" ht="12.75" customHeight="1"/>
    <row r="23522" ht="12.75" customHeight="1"/>
    <row r="23586" ht="12.75" customHeight="1"/>
    <row r="23650" ht="12.75" customHeight="1"/>
    <row r="23714" ht="12.75" customHeight="1"/>
    <row r="23778" ht="12.75" customHeight="1"/>
    <row r="23842" ht="12.75" customHeight="1"/>
    <row r="23906" ht="12.75" customHeight="1"/>
    <row r="23970" ht="12.75" customHeight="1"/>
    <row r="24034" ht="12.75" customHeight="1"/>
    <row r="24098" ht="12.75" customHeight="1"/>
    <row r="24162" ht="12.75" customHeight="1"/>
    <row r="24226" ht="12.75" customHeight="1"/>
    <row r="24290" ht="12.75" customHeight="1"/>
    <row r="24354" ht="12.75" customHeight="1"/>
    <row r="24418" ht="12.75" customHeight="1"/>
    <row r="24482" ht="12.75" customHeight="1"/>
    <row r="24546" ht="12.75" customHeight="1"/>
    <row r="24610" ht="12.75" customHeight="1"/>
    <row r="24674" ht="12.75" customHeight="1"/>
    <row r="24738" ht="12.75" customHeight="1"/>
    <row r="24802" ht="12.75" customHeight="1"/>
    <row r="24866" ht="12.75" customHeight="1"/>
    <row r="24930" ht="12.75" customHeight="1"/>
    <row r="24994" ht="12.75" customHeight="1"/>
    <row r="25058" ht="12.75" customHeight="1"/>
    <row r="25122" ht="12.75" customHeight="1"/>
    <row r="25186" ht="12.75" customHeight="1"/>
    <row r="25250" ht="12.75" customHeight="1"/>
    <row r="25314" ht="12.75" customHeight="1"/>
    <row r="25378" ht="12.75" customHeight="1"/>
    <row r="25442" ht="12.75" customHeight="1"/>
    <row r="25506" ht="12.75" customHeight="1"/>
    <row r="25570" ht="12.75" customHeight="1"/>
    <row r="25634" ht="12.75" customHeight="1"/>
    <row r="25698" ht="12.75" customHeight="1"/>
    <row r="25762" ht="12.75" customHeight="1"/>
    <row r="25826" ht="12.75" customHeight="1"/>
    <row r="25890" ht="12.75" customHeight="1"/>
    <row r="25954" ht="12.75" customHeight="1"/>
    <row r="26018" ht="12.75" customHeight="1"/>
    <row r="26082" ht="12.75" customHeight="1"/>
    <row r="26146" ht="12.75" customHeight="1"/>
    <row r="26210" ht="12.75" customHeight="1"/>
    <row r="26274" ht="12.75" customHeight="1"/>
    <row r="26338" ht="12.75" customHeight="1"/>
    <row r="26402" ht="12.75" customHeight="1"/>
    <row r="26466" ht="12.75" customHeight="1"/>
    <row r="26530" ht="12.75" customHeight="1"/>
    <row r="26594" ht="12.75" customHeight="1"/>
    <row r="26658" ht="12.75" customHeight="1"/>
    <row r="26722" ht="12.75" customHeight="1"/>
    <row r="26786" ht="12.75" customHeight="1"/>
    <row r="26850" ht="12.75" customHeight="1"/>
    <row r="26914" ht="12.75" customHeight="1"/>
    <row r="26978" ht="12.75" customHeight="1"/>
    <row r="27042" ht="12.75" customHeight="1"/>
    <row r="27106" ht="12.75" customHeight="1"/>
    <row r="27170" ht="12.75" customHeight="1"/>
    <row r="27234" ht="12.75" customHeight="1"/>
    <row r="27298" ht="12.75" customHeight="1"/>
    <row r="27362" ht="12.75" customHeight="1"/>
    <row r="27426" ht="12.75" customHeight="1"/>
    <row r="27490" ht="12.75" customHeight="1"/>
    <row r="27554" ht="12.75" customHeight="1"/>
    <row r="27618" ht="12.75" customHeight="1"/>
    <row r="27682" ht="12.75" customHeight="1"/>
    <row r="27746" ht="12.75" customHeight="1"/>
    <row r="27810" ht="12.75" customHeight="1"/>
    <row r="27874" ht="12.75" customHeight="1"/>
    <row r="27938" ht="12.75" customHeight="1"/>
    <row r="28002" ht="12.75" customHeight="1"/>
    <row r="28066" ht="12.75" customHeight="1"/>
    <row r="28130" ht="12.75" customHeight="1"/>
    <row r="28194" ht="12.75" customHeight="1"/>
    <row r="28258" ht="12.75" customHeight="1"/>
    <row r="28322" ht="12.75" customHeight="1"/>
    <row r="28386" ht="12.75" customHeight="1"/>
    <row r="28450" ht="12.75" customHeight="1"/>
    <row r="28514" ht="12.75" customHeight="1"/>
    <row r="28578" ht="12.75" customHeight="1"/>
    <row r="28642" ht="12.75" customHeight="1"/>
    <row r="28706" ht="12.75" customHeight="1"/>
    <row r="28770" ht="12.75" customHeight="1"/>
    <row r="28834" ht="12.75" customHeight="1"/>
    <row r="28898" ht="12.75" customHeight="1"/>
    <row r="28962" ht="12.75" customHeight="1"/>
    <row r="29026" ht="12.75" customHeight="1"/>
    <row r="29090" ht="12.75" customHeight="1"/>
    <row r="29154" ht="12.75" customHeight="1"/>
    <row r="29218" ht="12.75" customHeight="1"/>
    <row r="29282" ht="12.75" customHeight="1"/>
    <row r="29346" ht="12.75" customHeight="1"/>
    <row r="29410" ht="12.75" customHeight="1"/>
    <row r="29474" ht="12.75" customHeight="1"/>
    <row r="29538" ht="12.75" customHeight="1"/>
    <row r="29602" ht="12.75" customHeight="1"/>
    <row r="29666" ht="12.75" customHeight="1"/>
    <row r="29730" ht="12.75" customHeight="1"/>
    <row r="29794" ht="12.75" customHeight="1"/>
    <row r="29858" ht="12.75" customHeight="1"/>
    <row r="29922" ht="12.75" customHeight="1"/>
    <row r="29986" ht="12.75" customHeight="1"/>
    <row r="30050" ht="12.75" customHeight="1"/>
    <row r="30114" ht="12.75" customHeight="1"/>
    <row r="30178" ht="12.75" customHeight="1"/>
    <row r="30242" ht="12.75" customHeight="1"/>
    <row r="30306" ht="12.75" customHeight="1"/>
    <row r="30370" ht="12.75" customHeight="1"/>
    <row r="30434" ht="12.75" customHeight="1"/>
    <row r="30498" ht="12.75" customHeight="1"/>
    <row r="30562" ht="12.75" customHeight="1"/>
    <row r="30626" ht="12.75" customHeight="1"/>
    <row r="30690" ht="12.75" customHeight="1"/>
    <row r="30754" ht="12.75" customHeight="1"/>
    <row r="30818" ht="12.75" customHeight="1"/>
    <row r="30882" ht="12.75" customHeight="1"/>
    <row r="30946" ht="12.75" customHeight="1"/>
    <row r="31010" ht="12.75" customHeight="1"/>
    <row r="31074" ht="12.75" customHeight="1"/>
    <row r="31138" ht="12.75" customHeight="1"/>
    <row r="31202" ht="12.75" customHeight="1"/>
    <row r="31266" ht="12.75" customHeight="1"/>
    <row r="31330" ht="12.75" customHeight="1"/>
    <row r="31394" ht="12.75" customHeight="1"/>
    <row r="31458" ht="12.75" customHeight="1"/>
    <row r="31522" ht="12.75" customHeight="1"/>
    <row r="31586" ht="12.75" customHeight="1"/>
    <row r="31650" ht="12.75" customHeight="1"/>
    <row r="31714" ht="12.75" customHeight="1"/>
    <row r="31778" ht="12.75" customHeight="1"/>
    <row r="31842" ht="12.75" customHeight="1"/>
    <row r="31906" ht="12.75" customHeight="1"/>
    <row r="31970" ht="12.75" customHeight="1"/>
    <row r="32034" ht="12.75" customHeight="1"/>
    <row r="32098" ht="12.75" customHeight="1"/>
    <row r="32162" ht="12.75" customHeight="1"/>
    <row r="32226" ht="12.75" customHeight="1"/>
    <row r="32290" ht="12.75" customHeight="1"/>
    <row r="32354" ht="12.75" customHeight="1"/>
    <row r="32418" ht="12.75" customHeight="1"/>
    <row r="32482" ht="12.75" customHeight="1"/>
    <row r="32546" ht="12.75" customHeight="1"/>
    <row r="32610" ht="12.75" customHeight="1"/>
    <row r="32674" ht="12.75" customHeight="1"/>
    <row r="32738" ht="12.75" customHeight="1"/>
    <row r="32802" ht="12.75" customHeight="1"/>
    <row r="32866" ht="12.75" customHeight="1"/>
    <row r="32930" ht="12.75" customHeight="1"/>
    <row r="32994" ht="12.75" customHeight="1"/>
    <row r="33058" ht="12.75" customHeight="1"/>
    <row r="33122" ht="12.75" customHeight="1"/>
    <row r="33186" ht="12.75" customHeight="1"/>
    <row r="33250" ht="12.75" customHeight="1"/>
    <row r="33314" ht="12.75" customHeight="1"/>
    <row r="33378" ht="12.75" customHeight="1"/>
    <row r="33442" ht="12.75" customHeight="1"/>
    <row r="33506" ht="12.75" customHeight="1"/>
    <row r="33570" ht="12.75" customHeight="1"/>
    <row r="33634" ht="12.75" customHeight="1"/>
    <row r="33698" ht="12.75" customHeight="1"/>
    <row r="33762" ht="12.75" customHeight="1"/>
    <row r="33826" ht="12.75" customHeight="1"/>
    <row r="33890" ht="12.75" customHeight="1"/>
    <row r="33954" ht="12.75" customHeight="1"/>
    <row r="34018" ht="12.75" customHeight="1"/>
    <row r="34082" ht="12.75" customHeight="1"/>
    <row r="34146" ht="12.75" customHeight="1"/>
    <row r="34210" ht="12.75" customHeight="1"/>
    <row r="34274" ht="12.75" customHeight="1"/>
    <row r="34338" ht="12.75" customHeight="1"/>
    <row r="34402" ht="12.75" customHeight="1"/>
    <row r="34466" ht="12.75" customHeight="1"/>
    <row r="34530" ht="12.75" customHeight="1"/>
    <row r="34594" ht="12.75" customHeight="1"/>
    <row r="34658" ht="12.75" customHeight="1"/>
    <row r="34722" ht="12.75" customHeight="1"/>
    <row r="34786" ht="12.75" customHeight="1"/>
    <row r="34850" ht="12.75" customHeight="1"/>
    <row r="34914" ht="12.75" customHeight="1"/>
    <row r="34978" ht="12.75" customHeight="1"/>
    <row r="35042" ht="12.75" customHeight="1"/>
    <row r="35106" ht="12.75" customHeight="1"/>
    <row r="35170" ht="12.75" customHeight="1"/>
    <row r="35234" ht="12.75" customHeight="1"/>
    <row r="35298" ht="12.75" customHeight="1"/>
    <row r="35362" ht="12.75" customHeight="1"/>
    <row r="35426" ht="12.75" customHeight="1"/>
    <row r="35490" ht="12.75" customHeight="1"/>
    <row r="35554" ht="12.75" customHeight="1"/>
    <row r="35618" ht="12.75" customHeight="1"/>
    <row r="35682" ht="12.75" customHeight="1"/>
    <row r="35746" ht="12.75" customHeight="1"/>
    <row r="35810" ht="12.75" customHeight="1"/>
    <row r="35874" ht="12.75" customHeight="1"/>
    <row r="35938" ht="12.75" customHeight="1"/>
    <row r="36002" ht="12.75" customHeight="1"/>
    <row r="36066" ht="12.75" customHeight="1"/>
    <row r="36130" ht="12.75" customHeight="1"/>
    <row r="36194" ht="12.75" customHeight="1"/>
    <row r="36258" ht="12.75" customHeight="1"/>
    <row r="36322" ht="12.75" customHeight="1"/>
    <row r="36386" ht="12.75" customHeight="1"/>
    <row r="36450" ht="12.75" customHeight="1"/>
    <row r="36514" ht="12.75" customHeight="1"/>
    <row r="36578" ht="12.75" customHeight="1"/>
    <row r="36642" ht="12.75" customHeight="1"/>
    <row r="36706" ht="12.75" customHeight="1"/>
    <row r="36770" ht="12.75" customHeight="1"/>
    <row r="36834" ht="12.75" customHeight="1"/>
    <row r="36898" ht="12.75" customHeight="1"/>
    <row r="36962" ht="12.75" customHeight="1"/>
    <row r="37026" ht="12.75" customHeight="1"/>
    <row r="37090" ht="12.75" customHeight="1"/>
    <row r="37154" ht="12.75" customHeight="1"/>
    <row r="37218" ht="12.75" customHeight="1"/>
    <row r="37282" ht="12.75" customHeight="1"/>
    <row r="37346" ht="12.75" customHeight="1"/>
    <row r="37410" ht="12.75" customHeight="1"/>
    <row r="37474" ht="12.75" customHeight="1"/>
    <row r="37538" ht="12.75" customHeight="1"/>
    <row r="37602" ht="12.75" customHeight="1"/>
    <row r="37666" ht="12.75" customHeight="1"/>
    <row r="37730" ht="12.75" customHeight="1"/>
    <row r="37794" ht="12.75" customHeight="1"/>
    <row r="37858" ht="12.75" customHeight="1"/>
    <row r="37922" ht="12.75" customHeight="1"/>
    <row r="37986" ht="12.75" customHeight="1"/>
    <row r="38050" ht="12.75" customHeight="1"/>
    <row r="38114" ht="12.75" customHeight="1"/>
    <row r="38178" ht="12.75" customHeight="1"/>
    <row r="38242" ht="12.75" customHeight="1"/>
    <row r="38306" ht="12.75" customHeight="1"/>
    <row r="38370" ht="12.75" customHeight="1"/>
    <row r="38434" ht="12.75" customHeight="1"/>
    <row r="38498" ht="12.75" customHeight="1"/>
    <row r="38562" ht="12.75" customHeight="1"/>
    <row r="38626" ht="12.75" customHeight="1"/>
    <row r="38690" ht="12.75" customHeight="1"/>
    <row r="38754" ht="12.75" customHeight="1"/>
    <row r="38818" ht="12.75" customHeight="1"/>
    <row r="38882" ht="12.75" customHeight="1"/>
    <row r="38946" ht="12.75" customHeight="1"/>
    <row r="39010" ht="12.75" customHeight="1"/>
    <row r="39074" ht="12.75" customHeight="1"/>
    <row r="39138" ht="12.75" customHeight="1"/>
    <row r="39202" ht="12.75" customHeight="1"/>
    <row r="39266" ht="12.75" customHeight="1"/>
    <row r="39330" ht="12.75" customHeight="1"/>
    <row r="39394" ht="12.75" customHeight="1"/>
    <row r="39458" ht="12.75" customHeight="1"/>
    <row r="39522" ht="12.75" customHeight="1"/>
    <row r="39586" ht="12.75" customHeight="1"/>
    <row r="39650" ht="12.75" customHeight="1"/>
    <row r="39714" ht="12.75" customHeight="1"/>
    <row r="39778" ht="12.75" customHeight="1"/>
    <row r="39842" ht="12.75" customHeight="1"/>
    <row r="39906" ht="12.75" customHeight="1"/>
    <row r="39970" ht="12.75" customHeight="1"/>
    <row r="40034" ht="12.75" customHeight="1"/>
    <row r="40098" ht="12.75" customHeight="1"/>
    <row r="40162" ht="12.75" customHeight="1"/>
    <row r="40226" ht="12.75" customHeight="1"/>
    <row r="40290" ht="12.75" customHeight="1"/>
    <row r="40354" ht="12.75" customHeight="1"/>
    <row r="40418" ht="12.75" customHeight="1"/>
    <row r="40482" ht="12.75" customHeight="1"/>
    <row r="40546" ht="12.75" customHeight="1"/>
    <row r="40610" ht="12.75" customHeight="1"/>
    <row r="40674" ht="12.75" customHeight="1"/>
    <row r="40738" ht="12.75" customHeight="1"/>
    <row r="40802" ht="12.75" customHeight="1"/>
    <row r="40866" ht="12.75" customHeight="1"/>
    <row r="40930" ht="12.75" customHeight="1"/>
    <row r="40994" ht="12.75" customHeight="1"/>
    <row r="41058" ht="12.75" customHeight="1"/>
    <row r="41122" ht="12.75" customHeight="1"/>
    <row r="41186" ht="12.75" customHeight="1"/>
    <row r="41250" ht="12.75" customHeight="1"/>
    <row r="41314" ht="12.75" customHeight="1"/>
    <row r="41378" ht="12.75" customHeight="1"/>
    <row r="41442" ht="12.75" customHeight="1"/>
    <row r="41506" ht="12.75" customHeight="1"/>
    <row r="41570" ht="12.75" customHeight="1"/>
    <row r="41634" ht="12.75" customHeight="1"/>
    <row r="41698" ht="12.75" customHeight="1"/>
    <row r="41762" ht="12.75" customHeight="1"/>
    <row r="41826" ht="12.75" customHeight="1"/>
    <row r="41890" ht="12.75" customHeight="1"/>
    <row r="41954" ht="12.75" customHeight="1"/>
    <row r="42018" ht="12.75" customHeight="1"/>
    <row r="42082" ht="12.75" customHeight="1"/>
    <row r="42146" ht="12.75" customHeight="1"/>
    <row r="42210" ht="12.75" customHeight="1"/>
    <row r="42274" ht="12.75" customHeight="1"/>
    <row r="42338" ht="12.75" customHeight="1"/>
    <row r="42402" ht="12.75" customHeight="1"/>
    <row r="42466" ht="12.75" customHeight="1"/>
    <row r="42530" ht="12.75" customHeight="1"/>
    <row r="42594" ht="12.75" customHeight="1"/>
    <row r="42658" ht="12.75" customHeight="1"/>
    <row r="42722" ht="12.75" customHeight="1"/>
    <row r="42786" ht="12.75" customHeight="1"/>
    <row r="42850" ht="12.75" customHeight="1"/>
    <row r="42914" ht="12.75" customHeight="1"/>
    <row r="42978" ht="12.75" customHeight="1"/>
    <row r="43042" ht="12.75" customHeight="1"/>
    <row r="43106" ht="12.75" customHeight="1"/>
    <row r="43170" ht="12.75" customHeight="1"/>
    <row r="43234" ht="12.75" customHeight="1"/>
    <row r="43298" ht="12.75" customHeight="1"/>
    <row r="43362" ht="12.75" customHeight="1"/>
    <row r="43426" ht="12.75" customHeight="1"/>
    <row r="43490" ht="12.75" customHeight="1"/>
    <row r="43554" ht="12.75" customHeight="1"/>
    <row r="43618" ht="12.75" customHeight="1"/>
    <row r="43682" ht="12.75" customHeight="1"/>
    <row r="43746" ht="12.75" customHeight="1"/>
    <row r="43810" ht="12.75" customHeight="1"/>
    <row r="43874" ht="12.75" customHeight="1"/>
    <row r="43938" ht="12.75" customHeight="1"/>
    <row r="44002" ht="12.75" customHeight="1"/>
    <row r="44066" ht="12.75" customHeight="1"/>
    <row r="44130" ht="12.75" customHeight="1"/>
    <row r="44194" ht="12.75" customHeight="1"/>
    <row r="44258" ht="12.75" customHeight="1"/>
    <row r="44322" ht="12.75" customHeight="1"/>
    <row r="44386" ht="12.75" customHeight="1"/>
    <row r="44450" ht="12.75" customHeight="1"/>
    <row r="44514" ht="12.75" customHeight="1"/>
    <row r="44578" ht="12.75" customHeight="1"/>
    <row r="44642" ht="12.75" customHeight="1"/>
    <row r="44706" ht="12.75" customHeight="1"/>
    <row r="44770" ht="12.75" customHeight="1"/>
    <row r="44834" ht="12.75" customHeight="1"/>
    <row r="44898" ht="12.75" customHeight="1"/>
    <row r="44962" ht="12.75" customHeight="1"/>
    <row r="45026" ht="12.75" customHeight="1"/>
    <row r="45090" ht="12.75" customHeight="1"/>
    <row r="45154" ht="12.75" customHeight="1"/>
    <row r="45218" ht="12.75" customHeight="1"/>
    <row r="45282" ht="12.75" customHeight="1"/>
    <row r="45346" ht="12.75" customHeight="1"/>
    <row r="45410" ht="12.75" customHeight="1"/>
    <row r="45474" ht="12.75" customHeight="1"/>
    <row r="45538" ht="12.75" customHeight="1"/>
    <row r="45602" ht="12.75" customHeight="1"/>
    <row r="45666" ht="12.75" customHeight="1"/>
    <row r="45730" ht="12.75" customHeight="1"/>
    <row r="45794" ht="12.75" customHeight="1"/>
    <row r="45858" ht="12.75" customHeight="1"/>
    <row r="45922" ht="12.75" customHeight="1"/>
    <row r="45986" ht="12.75" customHeight="1"/>
    <row r="46050" ht="12.75" customHeight="1"/>
    <row r="46114" ht="12.75" customHeight="1"/>
    <row r="46178" ht="12.75" customHeight="1"/>
    <row r="46242" ht="12.75" customHeight="1"/>
    <row r="46306" ht="12.75" customHeight="1"/>
    <row r="46370" ht="12.75" customHeight="1"/>
    <row r="46434" ht="12.75" customHeight="1"/>
    <row r="46498" ht="12.75" customHeight="1"/>
    <row r="46562" ht="12.75" customHeight="1"/>
    <row r="46626" ht="12.75" customHeight="1"/>
    <row r="46690" ht="12.75" customHeight="1"/>
    <row r="46754" ht="12.75" customHeight="1"/>
    <row r="46818" ht="12.75" customHeight="1"/>
    <row r="46882" ht="12.75" customHeight="1"/>
    <row r="46946" ht="12.75" customHeight="1"/>
    <row r="47010" ht="12.75" customHeight="1"/>
    <row r="47074" ht="12.75" customHeight="1"/>
    <row r="47138" ht="12.75" customHeight="1"/>
    <row r="47202" ht="12.75" customHeight="1"/>
    <row r="47266" ht="12.75" customHeight="1"/>
    <row r="47330" ht="12.75" customHeight="1"/>
    <row r="47394" ht="12.75" customHeight="1"/>
    <row r="47458" ht="12.75" customHeight="1"/>
    <row r="47522" ht="12.75" customHeight="1"/>
    <row r="47586" ht="12.75" customHeight="1"/>
    <row r="47650" ht="12.75" customHeight="1"/>
    <row r="47714" ht="12.75" customHeight="1"/>
    <row r="47778" ht="12.75" customHeight="1"/>
    <row r="47842" ht="12.75" customHeight="1"/>
    <row r="47906" ht="12.75" customHeight="1"/>
    <row r="47970" ht="12.75" customHeight="1"/>
    <row r="48034" ht="12.75" customHeight="1"/>
    <row r="48098" ht="12.75" customHeight="1"/>
    <row r="48162" ht="12.75" customHeight="1"/>
    <row r="48226" ht="12.75" customHeight="1"/>
    <row r="48290" ht="12.75" customHeight="1"/>
    <row r="48354" ht="12.75" customHeight="1"/>
    <row r="48418" ht="12.75" customHeight="1"/>
    <row r="48482" ht="12.75" customHeight="1"/>
    <row r="48546" ht="12.75" customHeight="1"/>
    <row r="48610" ht="12.75" customHeight="1"/>
    <row r="48674" ht="12.75" customHeight="1"/>
    <row r="48738" ht="12.75" customHeight="1"/>
    <row r="48802" ht="12.75" customHeight="1"/>
    <row r="48866" ht="12.75" customHeight="1"/>
    <row r="48930" ht="12.75" customHeight="1"/>
    <row r="48994" ht="12.75" customHeight="1"/>
    <row r="49058" ht="12.75" customHeight="1"/>
    <row r="49122" ht="12.75" customHeight="1"/>
    <row r="49186" ht="12.75" customHeight="1"/>
    <row r="49250" ht="12.75" customHeight="1"/>
    <row r="49314" ht="12.75" customHeight="1"/>
    <row r="49378" ht="12.75" customHeight="1"/>
    <row r="49442" ht="12.75" customHeight="1"/>
    <row r="49506" ht="12.75" customHeight="1"/>
    <row r="49570" ht="12.75" customHeight="1"/>
    <row r="49634" ht="12.75" customHeight="1"/>
    <row r="49698" ht="12.75" customHeight="1"/>
    <row r="49762" ht="12.75" customHeight="1"/>
    <row r="49826" ht="12.75" customHeight="1"/>
    <row r="49890" ht="12.75" customHeight="1"/>
    <row r="49954" ht="12.75" customHeight="1"/>
    <row r="50018" ht="12.75" customHeight="1"/>
    <row r="50082" ht="12.75" customHeight="1"/>
    <row r="50146" ht="12.75" customHeight="1"/>
    <row r="50210" ht="12.75" customHeight="1"/>
    <row r="50274" ht="12.75" customHeight="1"/>
    <row r="50338" ht="12.75" customHeight="1"/>
    <row r="50402" ht="12.75" customHeight="1"/>
    <row r="50466" ht="12.75" customHeight="1"/>
    <row r="50530" ht="12.75" customHeight="1"/>
    <row r="50594" ht="12.75" customHeight="1"/>
    <row r="50658" ht="12.75" customHeight="1"/>
    <row r="50722" ht="12.75" customHeight="1"/>
    <row r="50786" ht="12.75" customHeight="1"/>
    <row r="50850" ht="12.75" customHeight="1"/>
    <row r="50914" ht="12.75" customHeight="1"/>
    <row r="50978" ht="12.75" customHeight="1"/>
    <row r="51042" ht="12.75" customHeight="1"/>
    <row r="51106" ht="12.75" customHeight="1"/>
    <row r="51170" ht="12.75" customHeight="1"/>
    <row r="51234" ht="12.75" customHeight="1"/>
    <row r="51298" ht="12.75" customHeight="1"/>
    <row r="51362" ht="12.75" customHeight="1"/>
    <row r="51426" ht="12.75" customHeight="1"/>
    <row r="51490" ht="12.75" customHeight="1"/>
    <row r="51554" ht="12.75" customHeight="1"/>
    <row r="51618" ht="12.75" customHeight="1"/>
    <row r="51682" ht="12.75" customHeight="1"/>
    <row r="51746" ht="12.75" customHeight="1"/>
    <row r="51810" ht="12.75" customHeight="1"/>
    <row r="51874" ht="12.75" customHeight="1"/>
    <row r="51938" ht="12.75" customHeight="1"/>
    <row r="52002" ht="12.75" customHeight="1"/>
    <row r="52066" ht="12.75" customHeight="1"/>
    <row r="52130" ht="12.75" customHeight="1"/>
    <row r="52194" ht="12.75" customHeight="1"/>
    <row r="52258" ht="12.75" customHeight="1"/>
    <row r="52322" ht="12.75" customHeight="1"/>
    <row r="52386" ht="12.75" customHeight="1"/>
    <row r="52450" ht="12.75" customHeight="1"/>
    <row r="52514" ht="12.75" customHeight="1"/>
    <row r="52578" ht="12.75" customHeight="1"/>
    <row r="52642" ht="12.75" customHeight="1"/>
    <row r="52706" ht="12.75" customHeight="1"/>
    <row r="52770" ht="12.75" customHeight="1"/>
    <row r="52834" ht="12.75" customHeight="1"/>
    <row r="52898" ht="12.75" customHeight="1"/>
    <row r="52962" ht="12.75" customHeight="1"/>
    <row r="53026" ht="12.75" customHeight="1"/>
    <row r="53090" ht="12.75" customHeight="1"/>
    <row r="53154" ht="12.75" customHeight="1"/>
    <row r="53218" ht="12.75" customHeight="1"/>
    <row r="53282" ht="12.75" customHeight="1"/>
    <row r="53346" ht="12.75" customHeight="1"/>
    <row r="53410" ht="12.75" customHeight="1"/>
    <row r="53474" ht="12.75" customHeight="1"/>
    <row r="53538" ht="12.75" customHeight="1"/>
    <row r="53602" ht="12.75" customHeight="1"/>
    <row r="53666" ht="12.75" customHeight="1"/>
    <row r="53730" ht="12.75" customHeight="1"/>
    <row r="53794" ht="12.75" customHeight="1"/>
    <row r="53858" ht="12.75" customHeight="1"/>
    <row r="53922" ht="12.75" customHeight="1"/>
    <row r="53986" ht="12.75" customHeight="1"/>
    <row r="54050" ht="12.75" customHeight="1"/>
    <row r="54114" ht="12.75" customHeight="1"/>
    <row r="54178" ht="12.75" customHeight="1"/>
    <row r="54242" ht="12.75" customHeight="1"/>
    <row r="54306" ht="12.75" customHeight="1"/>
    <row r="54370" ht="12.75" customHeight="1"/>
    <row r="54434" ht="12.75" customHeight="1"/>
    <row r="54498" ht="12.75" customHeight="1"/>
    <row r="54562" ht="12.75" customHeight="1"/>
    <row r="54626" ht="12.75" customHeight="1"/>
    <row r="54690" ht="12.75" customHeight="1"/>
    <row r="54754" ht="12.75" customHeight="1"/>
    <row r="54818" ht="12.75" customHeight="1"/>
    <row r="54882" ht="12.75" customHeight="1"/>
    <row r="54946" ht="12.75" customHeight="1"/>
    <row r="55010" ht="12.75" customHeight="1"/>
    <row r="55074" ht="12.75" customHeight="1"/>
    <row r="55138" ht="12.75" customHeight="1"/>
    <row r="55202" ht="12.75" customHeight="1"/>
    <row r="55266" ht="12.75" customHeight="1"/>
    <row r="55330" ht="12.75" customHeight="1"/>
    <row r="55394" ht="12.75" customHeight="1"/>
    <row r="55458" ht="12.75" customHeight="1"/>
    <row r="55522" ht="12.75" customHeight="1"/>
    <row r="55586" ht="12.75" customHeight="1"/>
    <row r="55650" ht="12.75" customHeight="1"/>
    <row r="55714" ht="12.75" customHeight="1"/>
    <row r="55778" ht="12.75" customHeight="1"/>
    <row r="55842" ht="12.75" customHeight="1"/>
    <row r="55906" ht="12.75" customHeight="1"/>
    <row r="55970" ht="12.75" customHeight="1"/>
    <row r="56034" ht="12.75" customHeight="1"/>
    <row r="56098" ht="12.75" customHeight="1"/>
    <row r="56162" ht="12.75" customHeight="1"/>
    <row r="56226" ht="12.75" customHeight="1"/>
    <row r="56290" ht="12.75" customHeight="1"/>
    <row r="56354" ht="12.75" customHeight="1"/>
    <row r="56418" ht="12.75" customHeight="1"/>
    <row r="56482" ht="12.75" customHeight="1"/>
    <row r="56546" ht="12.75" customHeight="1"/>
    <row r="56610" ht="12.75" customHeight="1"/>
    <row r="56674" ht="12.75" customHeight="1"/>
    <row r="56738" ht="12.75" customHeight="1"/>
    <row r="56802" ht="12.75" customHeight="1"/>
    <row r="56866" ht="12.75" customHeight="1"/>
    <row r="56930" ht="12.75" customHeight="1"/>
    <row r="56994" ht="12.75" customHeight="1"/>
    <row r="57058" ht="12.75" customHeight="1"/>
    <row r="57122" ht="12.75" customHeight="1"/>
    <row r="57186" ht="12.75" customHeight="1"/>
    <row r="57250" ht="12.75" customHeight="1"/>
    <row r="57314" ht="12.75" customHeight="1"/>
    <row r="57378" ht="12.75" customHeight="1"/>
    <row r="57442" ht="12.75" customHeight="1"/>
    <row r="57506" ht="12.75" customHeight="1"/>
    <row r="57570" ht="12.75" customHeight="1"/>
    <row r="57634" ht="12.75" customHeight="1"/>
    <row r="57698" ht="12.75" customHeight="1"/>
    <row r="57762" ht="12.75" customHeight="1"/>
    <row r="57826" ht="12.75" customHeight="1"/>
    <row r="57890" ht="12.75" customHeight="1"/>
    <row r="57954" ht="12.75" customHeight="1"/>
    <row r="58018" ht="12.75" customHeight="1"/>
    <row r="58082" ht="12.75" customHeight="1"/>
    <row r="58146" ht="12.75" customHeight="1"/>
    <row r="58210" ht="12.75" customHeight="1"/>
    <row r="58274" ht="12.75" customHeight="1"/>
    <row r="58338" ht="12.75" customHeight="1"/>
    <row r="58402" ht="12.75" customHeight="1"/>
    <row r="58466" ht="12.75" customHeight="1"/>
    <row r="58530" ht="12.75" customHeight="1"/>
    <row r="58594" ht="12.75" customHeight="1"/>
    <row r="58658" ht="12.75" customHeight="1"/>
    <row r="58722" ht="12.75" customHeight="1"/>
    <row r="58786" ht="12.75" customHeight="1"/>
    <row r="58850" ht="12.75" customHeight="1"/>
    <row r="58914" ht="12.75" customHeight="1"/>
    <row r="58978" ht="12.75" customHeight="1"/>
    <row r="59042" ht="12.75" customHeight="1"/>
    <row r="59106" ht="12.75" customHeight="1"/>
    <row r="59170" ht="12.75" customHeight="1"/>
    <row r="59234" ht="12.75" customHeight="1"/>
    <row r="59298" ht="12.75" customHeight="1"/>
    <row r="59362" ht="12.75" customHeight="1"/>
    <row r="59426" ht="12.75" customHeight="1"/>
    <row r="59490" ht="12.75" customHeight="1"/>
    <row r="59554" ht="12.75" customHeight="1"/>
    <row r="59618" ht="12.75" customHeight="1"/>
    <row r="59682" ht="12.75" customHeight="1"/>
    <row r="59746" ht="12.75" customHeight="1"/>
    <row r="59810" ht="12.75" customHeight="1"/>
    <row r="59874" ht="12.75" customHeight="1"/>
    <row r="59938" ht="12.75" customHeight="1"/>
    <row r="60002" ht="12.75" customHeight="1"/>
    <row r="60066" ht="12.75" customHeight="1"/>
    <row r="60130" ht="12.75" customHeight="1"/>
    <row r="60194" ht="12.75" customHeight="1"/>
    <row r="60258" ht="12.75" customHeight="1"/>
    <row r="60322" ht="12.75" customHeight="1"/>
    <row r="60386" ht="12.75" customHeight="1"/>
    <row r="60450" ht="12.75" customHeight="1"/>
    <row r="60514" ht="12.75" customHeight="1"/>
    <row r="60578" ht="12.75" customHeight="1"/>
    <row r="60642" ht="12.75" customHeight="1"/>
    <row r="60706" ht="12.75" customHeight="1"/>
    <row r="60770" ht="12.75" customHeight="1"/>
    <row r="60834" ht="12.75" customHeight="1"/>
    <row r="60898" ht="12.75" customHeight="1"/>
    <row r="60962" ht="12.75" customHeight="1"/>
    <row r="61026" ht="12.75" customHeight="1"/>
    <row r="61090" ht="12.75" customHeight="1"/>
    <row r="61154" ht="12.75" customHeight="1"/>
    <row r="61218" ht="12.75" customHeight="1"/>
    <row r="61282" ht="12.75" customHeight="1"/>
    <row r="61346" ht="12.75" customHeight="1"/>
    <row r="61410" ht="12.75" customHeight="1"/>
    <row r="61474" ht="12.75" customHeight="1"/>
    <row r="61538" ht="12.75" customHeight="1"/>
    <row r="61602" ht="12.75" customHeight="1"/>
    <row r="61666" ht="12.75" customHeight="1"/>
    <row r="61730" ht="12.75" customHeight="1"/>
    <row r="61794" ht="12.75" customHeight="1"/>
    <row r="61858" ht="12.75" customHeight="1"/>
    <row r="61922" ht="12.75" customHeight="1"/>
    <row r="61986" ht="12.75" customHeight="1"/>
    <row r="62050" ht="12.75" customHeight="1"/>
    <row r="62114" ht="12.75" customHeight="1"/>
    <row r="62178" ht="12.75" customHeight="1"/>
    <row r="62242" ht="12.75" customHeight="1"/>
    <row r="62306" ht="12.75" customHeight="1"/>
    <row r="62370" ht="12.75" customHeight="1"/>
    <row r="62434" ht="12.75" customHeight="1"/>
    <row r="62498" ht="12.75" customHeight="1"/>
    <row r="62562" ht="12.75" customHeight="1"/>
    <row r="62626" ht="12.75" customHeight="1"/>
    <row r="62690" ht="12.75" customHeight="1"/>
    <row r="62754" ht="12.75" customHeight="1"/>
    <row r="62818" ht="12.75" customHeight="1"/>
    <row r="62882" ht="12.75" customHeight="1"/>
    <row r="62946" ht="12.75" customHeight="1"/>
    <row r="63010" ht="12.75" customHeight="1"/>
    <row r="63074" ht="12.75" customHeight="1"/>
    <row r="63138" ht="12.75" customHeight="1"/>
    <row r="63202" ht="12.75" customHeight="1"/>
    <row r="63266" ht="12.75" customHeight="1"/>
    <row r="63330" ht="12.75" customHeight="1"/>
    <row r="63394" ht="12.75" customHeight="1"/>
    <row r="63458" ht="12.75" customHeight="1"/>
    <row r="63522" ht="12.75" customHeight="1"/>
    <row r="63586" ht="12.75" customHeight="1"/>
    <row r="63650" ht="12.75" customHeight="1"/>
    <row r="63714" ht="12.75" customHeight="1"/>
    <row r="63778" ht="12.75" customHeight="1"/>
    <row r="63842" ht="12.75" customHeight="1"/>
    <row r="63906" ht="12.75" customHeight="1"/>
    <row r="63970" ht="12.75" customHeight="1"/>
    <row r="64034" ht="12.75" customHeight="1"/>
    <row r="64098" ht="12.75" customHeight="1"/>
    <row r="64162" ht="12.75" customHeight="1"/>
    <row r="64226" ht="12.75" customHeight="1"/>
    <row r="64290" ht="12.75" customHeight="1"/>
    <row r="64354" ht="12.75" customHeight="1"/>
    <row r="64418" ht="12.75" customHeight="1"/>
    <row r="64482" ht="12.75" customHeight="1"/>
    <row r="64546" ht="12.75" customHeight="1"/>
    <row r="64610" ht="12.75" customHeight="1"/>
    <row r="64674" ht="12.75" customHeight="1"/>
    <row r="64738" ht="12.75" customHeight="1"/>
    <row r="64802" ht="12.75" customHeight="1"/>
    <row r="64866" ht="12.75" customHeight="1"/>
    <row r="64930" ht="12.75" customHeight="1"/>
    <row r="64994" ht="12.75" customHeight="1"/>
    <row r="65058" ht="12.75" customHeight="1"/>
    <row r="65122" ht="12.75" customHeight="1"/>
  </sheetData>
  <sheetProtection/>
  <mergeCells count="22">
    <mergeCell ref="V4:V8"/>
    <mergeCell ref="N6:P6"/>
    <mergeCell ref="I7:I8"/>
    <mergeCell ref="H7:H8"/>
    <mergeCell ref="O7:O8"/>
    <mergeCell ref="J7:J8"/>
    <mergeCell ref="Q7:Q8"/>
    <mergeCell ref="U4:U8"/>
    <mergeCell ref="T4:T8"/>
    <mergeCell ref="B5:J5"/>
    <mergeCell ref="F7:F8"/>
    <mergeCell ref="D6:D8"/>
    <mergeCell ref="R4:R8"/>
    <mergeCell ref="E6:J6"/>
    <mergeCell ref="N7:N8"/>
    <mergeCell ref="N5:P5"/>
    <mergeCell ref="B4:P4"/>
    <mergeCell ref="C6:C8"/>
    <mergeCell ref="P7:P8"/>
    <mergeCell ref="K7:K8"/>
    <mergeCell ref="L5:L8"/>
    <mergeCell ref="G7:G8"/>
  </mergeCells>
  <printOptions/>
  <pageMargins left="0.15748031496062992" right="0.15748031496062992" top="0.18" bottom="0.48" header="0.11811023622047245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zuzana.surovcikova</cp:lastModifiedBy>
  <cp:lastPrinted>2011-09-16T06:54:38Z</cp:lastPrinted>
  <dcterms:created xsi:type="dcterms:W3CDTF">2006-06-21T07:20:26Z</dcterms:created>
  <dcterms:modified xsi:type="dcterms:W3CDTF">2011-09-16T07:07:30Z</dcterms:modified>
  <cp:category/>
  <cp:version/>
  <cp:contentType/>
  <cp:contentStatus/>
</cp:coreProperties>
</file>