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meny rozpočtu\Zmeny rozpočtu december 2016\"/>
    </mc:Choice>
  </mc:AlternateContent>
  <bookViews>
    <workbookView xWindow="0" yWindow="0" windowWidth="18720" windowHeight="10440" tabRatio="984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Príjmy!$B$3:$J$452</definedName>
    <definedName name="_xlnm.Print_Area" localSheetId="2">Sumarizácia!$B$2:$L$40</definedName>
    <definedName name="_xlnm.Print_Area" localSheetId="1">Výdavky!$B$1:$S$2319</definedName>
  </definedNames>
  <calcPr calcId="152511"/>
</workbook>
</file>

<file path=xl/calcChain.xml><?xml version="1.0" encoding="utf-8"?>
<calcChain xmlns="http://schemas.openxmlformats.org/spreadsheetml/2006/main">
  <c r="R2319" i="7" l="1"/>
  <c r="Q2319" i="7"/>
  <c r="O2319" i="7"/>
  <c r="K2319" i="7"/>
  <c r="I433" i="2"/>
  <c r="N420" i="7"/>
  <c r="M420" i="7"/>
  <c r="J420" i="7"/>
  <c r="O432" i="7"/>
  <c r="R432" i="7"/>
  <c r="Q432" i="7"/>
  <c r="K432" i="7"/>
  <c r="N431" i="7"/>
  <c r="M431" i="7"/>
  <c r="Q431" i="7" s="1"/>
  <c r="K431" i="7"/>
  <c r="S2319" i="7" l="1"/>
  <c r="S432" i="7"/>
  <c r="O431" i="7"/>
  <c r="S431" i="7" s="1"/>
  <c r="R431" i="7"/>
  <c r="Q1127" i="7"/>
  <c r="R1127" i="7"/>
  <c r="I360" i="2" l="1"/>
  <c r="I359" i="2" s="1"/>
  <c r="H360" i="2"/>
  <c r="H359" i="2" s="1"/>
  <c r="J361" i="2"/>
  <c r="J360" i="2" l="1"/>
  <c r="J359" i="2"/>
  <c r="I67" i="2"/>
  <c r="I97" i="2"/>
  <c r="I77" i="2" s="1"/>
  <c r="J75" i="2"/>
  <c r="I377" i="2" l="1"/>
  <c r="I378" i="2"/>
  <c r="I370" i="2"/>
  <c r="J114" i="2"/>
  <c r="I113" i="2"/>
  <c r="I112" i="2" s="1"/>
  <c r="H113" i="2"/>
  <c r="H112" i="2" s="1"/>
  <c r="J1600" i="7"/>
  <c r="R1601" i="7"/>
  <c r="O1601" i="7"/>
  <c r="K1601" i="7"/>
  <c r="R1423" i="7"/>
  <c r="Q1423" i="7"/>
  <c r="O1423" i="7"/>
  <c r="K1423" i="7"/>
  <c r="R1386" i="7"/>
  <c r="Q1386" i="7"/>
  <c r="O1386" i="7"/>
  <c r="K1386" i="7"/>
  <c r="R1439" i="7"/>
  <c r="Q1439" i="7"/>
  <c r="O1439" i="7"/>
  <c r="K1439" i="7"/>
  <c r="R1378" i="7"/>
  <c r="Q1378" i="7"/>
  <c r="O1378" i="7"/>
  <c r="K1378" i="7"/>
  <c r="R1356" i="7"/>
  <c r="Q1356" i="7"/>
  <c r="O1356" i="7"/>
  <c r="K1356" i="7"/>
  <c r="R1348" i="7"/>
  <c r="O1348" i="7"/>
  <c r="K1348" i="7"/>
  <c r="O945" i="7"/>
  <c r="Q945" i="7"/>
  <c r="R945" i="7"/>
  <c r="J942" i="7"/>
  <c r="K945" i="7"/>
  <c r="S945" i="7" s="1"/>
  <c r="R918" i="7"/>
  <c r="Q918" i="7"/>
  <c r="O918" i="7"/>
  <c r="K918" i="7"/>
  <c r="J869" i="7"/>
  <c r="R870" i="7"/>
  <c r="Q870" i="7"/>
  <c r="O870" i="7"/>
  <c r="K870" i="7"/>
  <c r="S1386" i="7" l="1"/>
  <c r="S1356" i="7"/>
  <c r="J112" i="2"/>
  <c r="J113" i="2"/>
  <c r="S1601" i="7"/>
  <c r="Q1601" i="7"/>
  <c r="S1439" i="7"/>
  <c r="S1423" i="7"/>
  <c r="S1378" i="7"/>
  <c r="S1348" i="7"/>
  <c r="Q1348" i="7"/>
  <c r="S918" i="7"/>
  <c r="S870" i="7"/>
  <c r="J856" i="7"/>
  <c r="R857" i="7"/>
  <c r="Q857" i="7"/>
  <c r="O857" i="7"/>
  <c r="K857" i="7"/>
  <c r="R822" i="7"/>
  <c r="Q822" i="7"/>
  <c r="O822" i="7"/>
  <c r="K822" i="7"/>
  <c r="I103" i="2"/>
  <c r="I102" i="2" s="1"/>
  <c r="H103" i="2"/>
  <c r="J104" i="2"/>
  <c r="S857" i="7" l="1"/>
  <c r="S822" i="7"/>
  <c r="J103" i="2"/>
  <c r="H102" i="2"/>
  <c r="J102" i="2" s="1"/>
  <c r="J1238" i="7"/>
  <c r="J1235" i="7"/>
  <c r="J1231" i="7"/>
  <c r="R979" i="7"/>
  <c r="Q979" i="7"/>
  <c r="O979" i="7"/>
  <c r="K979" i="7"/>
  <c r="J974" i="7"/>
  <c r="Q977" i="7"/>
  <c r="O977" i="7"/>
  <c r="K977" i="7"/>
  <c r="R977" i="7"/>
  <c r="S977" i="7" l="1"/>
  <c r="S979" i="7"/>
  <c r="J1150" i="7"/>
  <c r="J1075" i="7"/>
  <c r="Q1079" i="7"/>
  <c r="K1079" i="7"/>
  <c r="S1079" i="7" s="1"/>
  <c r="R1079" i="7"/>
  <c r="J1065" i="7"/>
  <c r="K1069" i="7"/>
  <c r="R1069" i="7"/>
  <c r="J1006" i="7"/>
  <c r="J988" i="7"/>
  <c r="K992" i="7"/>
  <c r="R992" i="7"/>
  <c r="Q992" i="7"/>
  <c r="I412" i="2"/>
  <c r="I320" i="2"/>
  <c r="J322" i="2"/>
  <c r="I304" i="2"/>
  <c r="J306" i="2"/>
  <c r="J408" i="2"/>
  <c r="H407" i="2"/>
  <c r="H406" i="2" s="1"/>
  <c r="I273" i="2"/>
  <c r="J275" i="2"/>
  <c r="I404" i="2"/>
  <c r="I260" i="2"/>
  <c r="I259" i="2" s="1"/>
  <c r="H260" i="2"/>
  <c r="J261" i="2"/>
  <c r="I415" i="2"/>
  <c r="I414" i="2" s="1"/>
  <c r="I413" i="2" s="1"/>
  <c r="J416" i="2"/>
  <c r="H415" i="2"/>
  <c r="H414" i="2" s="1"/>
  <c r="I335" i="2"/>
  <c r="J337" i="2"/>
  <c r="I248" i="2"/>
  <c r="J250" i="2"/>
  <c r="I420" i="2"/>
  <c r="R1279" i="7"/>
  <c r="Q1279" i="7"/>
  <c r="O1279" i="7"/>
  <c r="K1279" i="7"/>
  <c r="J1232" i="7"/>
  <c r="K1236" i="7"/>
  <c r="S1236" i="7" s="1"/>
  <c r="R1236" i="7"/>
  <c r="Q1236" i="7"/>
  <c r="J389" i="2"/>
  <c r="I388" i="2"/>
  <c r="H388" i="2"/>
  <c r="J1266" i="7"/>
  <c r="Q1269" i="7"/>
  <c r="R1269" i="7"/>
  <c r="O1269" i="7"/>
  <c r="K1269" i="7"/>
  <c r="H234" i="2"/>
  <c r="S1269" i="7" l="1"/>
  <c r="I407" i="2"/>
  <c r="I406" i="2" s="1"/>
  <c r="I405" i="2" s="1"/>
  <c r="H405" i="2"/>
  <c r="J260" i="2"/>
  <c r="H259" i="2"/>
  <c r="J259" i="2" s="1"/>
  <c r="J414" i="2"/>
  <c r="H413" i="2"/>
  <c r="J413" i="2" s="1"/>
  <c r="J415" i="2"/>
  <c r="J388" i="2"/>
  <c r="S1279" i="7"/>
  <c r="K22" i="8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J23" i="8"/>
  <c r="L23" i="8"/>
  <c r="J24" i="8"/>
  <c r="L24" i="8" s="1"/>
  <c r="L25" i="8"/>
  <c r="J26" i="8"/>
  <c r="L26" i="8" s="1"/>
  <c r="J27" i="8"/>
  <c r="L27" i="8" s="1"/>
  <c r="J28" i="8"/>
  <c r="L28" i="8" s="1"/>
  <c r="K29" i="8"/>
  <c r="J30" i="8"/>
  <c r="L30" i="8" s="1"/>
  <c r="L31" i="8"/>
  <c r="L32" i="8"/>
  <c r="L33" i="8"/>
  <c r="L34" i="8"/>
  <c r="L29" i="8" l="1"/>
  <c r="J22" i="8"/>
  <c r="J405" i="2"/>
  <c r="J407" i="2"/>
  <c r="J406" i="2"/>
  <c r="L22" i="8"/>
  <c r="J29" i="8"/>
  <c r="O2318" i="7"/>
  <c r="O2317" i="7"/>
  <c r="O2316" i="7"/>
  <c r="O2315" i="7"/>
  <c r="O2314" i="7"/>
  <c r="O2313" i="7"/>
  <c r="O2312" i="7"/>
  <c r="O2309" i="7"/>
  <c r="O2308" i="7"/>
  <c r="O2293" i="7"/>
  <c r="O2292" i="7"/>
  <c r="O2291" i="7"/>
  <c r="O2290" i="7"/>
  <c r="O2289" i="7"/>
  <c r="O2288" i="7"/>
  <c r="O2287" i="7"/>
  <c r="O2285" i="7"/>
  <c r="O2284" i="7"/>
  <c r="O2283" i="7"/>
  <c r="O2281" i="7"/>
  <c r="O2280" i="7"/>
  <c r="O2279" i="7"/>
  <c r="O2278" i="7"/>
  <c r="O2277" i="7"/>
  <c r="O2276" i="7"/>
  <c r="O2275" i="7"/>
  <c r="O2272" i="7"/>
  <c r="O2270" i="7"/>
  <c r="O2269" i="7"/>
  <c r="O2266" i="7"/>
  <c r="O2263" i="7"/>
  <c r="O2262" i="7"/>
  <c r="O2261" i="7"/>
  <c r="O2260" i="7"/>
  <c r="O2259" i="7"/>
  <c r="O2257" i="7"/>
  <c r="O2256" i="7"/>
  <c r="O2253" i="7"/>
  <c r="O2249" i="7"/>
  <c r="O2248" i="7"/>
  <c r="O2247" i="7"/>
  <c r="O2246" i="7"/>
  <c r="O2245" i="7"/>
  <c r="O2244" i="7"/>
  <c r="O2243" i="7"/>
  <c r="O2241" i="7"/>
  <c r="O2240" i="7"/>
  <c r="O2238" i="7"/>
  <c r="O2237" i="7"/>
  <c r="O2236" i="7"/>
  <c r="O2235" i="7"/>
  <c r="O2233" i="7"/>
  <c r="O2231" i="7"/>
  <c r="O2230" i="7"/>
  <c r="O2229" i="7"/>
  <c r="O2228" i="7"/>
  <c r="O2225" i="7"/>
  <c r="O2224" i="7"/>
  <c r="O2223" i="7"/>
  <c r="O2220" i="7"/>
  <c r="O2219" i="7"/>
  <c r="O2218" i="7"/>
  <c r="O2216" i="7"/>
  <c r="O2215" i="7"/>
  <c r="O2214" i="7"/>
  <c r="O2213" i="7"/>
  <c r="O2212" i="7"/>
  <c r="O2211" i="7"/>
  <c r="O2210" i="7"/>
  <c r="O2208" i="7"/>
  <c r="O2207" i="7"/>
  <c r="O2204" i="7"/>
  <c r="O2203" i="7"/>
  <c r="O2202" i="7"/>
  <c r="O2201" i="7"/>
  <c r="O2200" i="7"/>
  <c r="O2199" i="7"/>
  <c r="O2198" i="7"/>
  <c r="O2197" i="7"/>
  <c r="O2196" i="7"/>
  <c r="O2195" i="7"/>
  <c r="O2194" i="7"/>
  <c r="O2193" i="7"/>
  <c r="O2192" i="7"/>
  <c r="O2191" i="7"/>
  <c r="O2190" i="7"/>
  <c r="O2189" i="7"/>
  <c r="O2185" i="7"/>
  <c r="O2184" i="7"/>
  <c r="O2183" i="7"/>
  <c r="O2182" i="7"/>
  <c r="O2181" i="7"/>
  <c r="O2179" i="7"/>
  <c r="O2178" i="7"/>
  <c r="O2175" i="7"/>
  <c r="O2174" i="7"/>
  <c r="O2173" i="7"/>
  <c r="O2172" i="7"/>
  <c r="O2171" i="7"/>
  <c r="O2170" i="7"/>
  <c r="O2169" i="7"/>
  <c r="O2168" i="7"/>
  <c r="O2167" i="7"/>
  <c r="O2166" i="7"/>
  <c r="O2165" i="7"/>
  <c r="O2164" i="7"/>
  <c r="O2163" i="7"/>
  <c r="O2162" i="7"/>
  <c r="O2161" i="7"/>
  <c r="O2160" i="7"/>
  <c r="O2158" i="7"/>
  <c r="O2157" i="7"/>
  <c r="O2154" i="7"/>
  <c r="O2153" i="7"/>
  <c r="O2152" i="7"/>
  <c r="O2151" i="7"/>
  <c r="O2150" i="7"/>
  <c r="O2148" i="7"/>
  <c r="O2147" i="7"/>
  <c r="O2107" i="7"/>
  <c r="O2106" i="7"/>
  <c r="O2105" i="7"/>
  <c r="O2104" i="7"/>
  <c r="O2103" i="7"/>
  <c r="O2102" i="7"/>
  <c r="O2101" i="7"/>
  <c r="O2099" i="7"/>
  <c r="O2098" i="7"/>
  <c r="O2097" i="7"/>
  <c r="O2095" i="7"/>
  <c r="O2092" i="7"/>
  <c r="O2091" i="7"/>
  <c r="O2090" i="7"/>
  <c r="O2088" i="7"/>
  <c r="O2087" i="7"/>
  <c r="O2084" i="7"/>
  <c r="O2081" i="7"/>
  <c r="O2078" i="7"/>
  <c r="O2076" i="7"/>
  <c r="O2075" i="7"/>
  <c r="O2074" i="7"/>
  <c r="O2072" i="7"/>
  <c r="O2071" i="7"/>
  <c r="O2068" i="7"/>
  <c r="O2065" i="7"/>
  <c r="O2062" i="7"/>
  <c r="O2061" i="7"/>
  <c r="O2057" i="7"/>
  <c r="O2056" i="7"/>
  <c r="O2055" i="7"/>
  <c r="O2054" i="7"/>
  <c r="O2053" i="7"/>
  <c r="O2052" i="7"/>
  <c r="O2051" i="7"/>
  <c r="O2050" i="7"/>
  <c r="O2049" i="7"/>
  <c r="O2048" i="7"/>
  <c r="O2047" i="7"/>
  <c r="O2046" i="7"/>
  <c r="O2045" i="7"/>
  <c r="O2044" i="7"/>
  <c r="O2042" i="7"/>
  <c r="O2041" i="7"/>
  <c r="O2040" i="7"/>
  <c r="O2039" i="7"/>
  <c r="O2038" i="7"/>
  <c r="O2037" i="7"/>
  <c r="O2036" i="7"/>
  <c r="O2035" i="7"/>
  <c r="O2034" i="7"/>
  <c r="O2033" i="7"/>
  <c r="O2031" i="7"/>
  <c r="O2030" i="7"/>
  <c r="O2029" i="7"/>
  <c r="O2028" i="7"/>
  <c r="O2027" i="7"/>
  <c r="O2026" i="7"/>
  <c r="O2018" i="7"/>
  <c r="O2017" i="7"/>
  <c r="O2016" i="7"/>
  <c r="O2015" i="7"/>
  <c r="O2014" i="7"/>
  <c r="O2013" i="7"/>
  <c r="O2012" i="7"/>
  <c r="O2011" i="7"/>
  <c r="O1930" i="7"/>
  <c r="O1929" i="7"/>
  <c r="O1926" i="7"/>
  <c r="O1923" i="7"/>
  <c r="O1922" i="7"/>
  <c r="O1921" i="7"/>
  <c r="O1920" i="7"/>
  <c r="O1919" i="7"/>
  <c r="O1918" i="7"/>
  <c r="O1917" i="7"/>
  <c r="O1916" i="7"/>
  <c r="O1913" i="7"/>
  <c r="O1910" i="7"/>
  <c r="O1909" i="7"/>
  <c r="O1908" i="7"/>
  <c r="O1907" i="7"/>
  <c r="O1906" i="7"/>
  <c r="O1904" i="7"/>
  <c r="O1903" i="7"/>
  <c r="O1902" i="7"/>
  <c r="O1901" i="7"/>
  <c r="O1900" i="7"/>
  <c r="O1899" i="7"/>
  <c r="O1898" i="7"/>
  <c r="O1897" i="7"/>
  <c r="O1896" i="7"/>
  <c r="O1895" i="7"/>
  <c r="O1894" i="7"/>
  <c r="O1893" i="7"/>
  <c r="O1892" i="7"/>
  <c r="O1891" i="7"/>
  <c r="O1890" i="7"/>
  <c r="O1889" i="7"/>
  <c r="O1888" i="7"/>
  <c r="O1887" i="7"/>
  <c r="O1886" i="7"/>
  <c r="O1884" i="7"/>
  <c r="O1883" i="7"/>
  <c r="O1882" i="7"/>
  <c r="O1881" i="7"/>
  <c r="O1880" i="7"/>
  <c r="O1879" i="7"/>
  <c r="O1878" i="7"/>
  <c r="O1877" i="7"/>
  <c r="O1876" i="7"/>
  <c r="O1875" i="7"/>
  <c r="O1874" i="7"/>
  <c r="O1873" i="7"/>
  <c r="O1789" i="7"/>
  <c r="O1788" i="7"/>
  <c r="O1787" i="7"/>
  <c r="O1786" i="7"/>
  <c r="O1785" i="7"/>
  <c r="O1784" i="7"/>
  <c r="O1783" i="7"/>
  <c r="O1782" i="7"/>
  <c r="O1781" i="7"/>
  <c r="O1780" i="7"/>
  <c r="O1779" i="7"/>
  <c r="O1778" i="7"/>
  <c r="O1776" i="7"/>
  <c r="O1775" i="7"/>
  <c r="O1767" i="7"/>
  <c r="O1765" i="7"/>
  <c r="O1761" i="7"/>
  <c r="O1760" i="7"/>
  <c r="O1759" i="7"/>
  <c r="O1758" i="7"/>
  <c r="O1757" i="7"/>
  <c r="O1756" i="7"/>
  <c r="O1755" i="7"/>
  <c r="O1754" i="7"/>
  <c r="O1753" i="7"/>
  <c r="O1752" i="7"/>
  <c r="O1751" i="7"/>
  <c r="O1750" i="7"/>
  <c r="O1749" i="7"/>
  <c r="O1748" i="7"/>
  <c r="O1747" i="7"/>
  <c r="O1746" i="7"/>
  <c r="O1745" i="7"/>
  <c r="O1744" i="7"/>
  <c r="O1743" i="7"/>
  <c r="O1742" i="7"/>
  <c r="O1739" i="7"/>
  <c r="O1738" i="7"/>
  <c r="O1735" i="7"/>
  <c r="O1734" i="7"/>
  <c r="O1733" i="7"/>
  <c r="O1730" i="7"/>
  <c r="O1729" i="7"/>
  <c r="O1728" i="7"/>
  <c r="O1727" i="7"/>
  <c r="O1726" i="7"/>
  <c r="O1725" i="7"/>
  <c r="O1724" i="7"/>
  <c r="O1722" i="7"/>
  <c r="O1721" i="7"/>
  <c r="O1715" i="7"/>
  <c r="O1714" i="7"/>
  <c r="O1713" i="7"/>
  <c r="O1710" i="7"/>
  <c r="O1707" i="7"/>
  <c r="O1706" i="7"/>
  <c r="O1705" i="7"/>
  <c r="O1702" i="7"/>
  <c r="O1701" i="7"/>
  <c r="O1700" i="7"/>
  <c r="O1699" i="7"/>
  <c r="O1698" i="7"/>
  <c r="O1697" i="7"/>
  <c r="O1694" i="7"/>
  <c r="O1693" i="7"/>
  <c r="O1692" i="7"/>
  <c r="O1689" i="7"/>
  <c r="O1688" i="7"/>
  <c r="O1687" i="7"/>
  <c r="O1686" i="7"/>
  <c r="O1685" i="7"/>
  <c r="O1684" i="7"/>
  <c r="O1683" i="7"/>
  <c r="O1682" i="7"/>
  <c r="O1681" i="7"/>
  <c r="O1680" i="7"/>
  <c r="O1679" i="7"/>
  <c r="O1678" i="7"/>
  <c r="O1677" i="7"/>
  <c r="O1674" i="7"/>
  <c r="O1673" i="7"/>
  <c r="O1608" i="7"/>
  <c r="O1607" i="7"/>
  <c r="O1606" i="7"/>
  <c r="O1605" i="7"/>
  <c r="O1604" i="7"/>
  <c r="O1603" i="7"/>
  <c r="O1602" i="7"/>
  <c r="O1599" i="7"/>
  <c r="O1598" i="7"/>
  <c r="O1596" i="7"/>
  <c r="O1595" i="7"/>
  <c r="O1594" i="7"/>
  <c r="O1593" i="7"/>
  <c r="O1592" i="7"/>
  <c r="O1591" i="7"/>
  <c r="O1590" i="7"/>
  <c r="O1589" i="7"/>
  <c r="O1587" i="7"/>
  <c r="O1586" i="7"/>
  <c r="O1584" i="7"/>
  <c r="O1583" i="7"/>
  <c r="O1582" i="7"/>
  <c r="O1581" i="7"/>
  <c r="O1580" i="7"/>
  <c r="O1578" i="7"/>
  <c r="O1574" i="7"/>
  <c r="O1573" i="7"/>
  <c r="O1572" i="7"/>
  <c r="O1571" i="7"/>
  <c r="O1570" i="7"/>
  <c r="O1569" i="7"/>
  <c r="O1567" i="7"/>
  <c r="O1566" i="7"/>
  <c r="O1565" i="7"/>
  <c r="O1564" i="7"/>
  <c r="O1563" i="7"/>
  <c r="O1562" i="7"/>
  <c r="O1560" i="7"/>
  <c r="O1559" i="7"/>
  <c r="O1555" i="7"/>
  <c r="O1552" i="7"/>
  <c r="O1551" i="7"/>
  <c r="O1550" i="7"/>
  <c r="O1549" i="7"/>
  <c r="O1548" i="7"/>
  <c r="O1547" i="7"/>
  <c r="O1545" i="7"/>
  <c r="O1544" i="7"/>
  <c r="O1543" i="7"/>
  <c r="O1542" i="7"/>
  <c r="O1541" i="7"/>
  <c r="O1540" i="7"/>
  <c r="O1539" i="7"/>
  <c r="O1538" i="7"/>
  <c r="O1536" i="7"/>
  <c r="O1535" i="7"/>
  <c r="O1533" i="7"/>
  <c r="O1531" i="7"/>
  <c r="O1530" i="7"/>
  <c r="O1529" i="7"/>
  <c r="O1528" i="7"/>
  <c r="O1527" i="7"/>
  <c r="O1526" i="7"/>
  <c r="O1524" i="7"/>
  <c r="O1523" i="7"/>
  <c r="O1522" i="7"/>
  <c r="O1521" i="7"/>
  <c r="O1520" i="7"/>
  <c r="O1519" i="7"/>
  <c r="O1518" i="7"/>
  <c r="O1517" i="7"/>
  <c r="O1515" i="7"/>
  <c r="O1514" i="7"/>
  <c r="O1512" i="7"/>
  <c r="O1511" i="7"/>
  <c r="O1510" i="7"/>
  <c r="O1509" i="7"/>
  <c r="O1508" i="7"/>
  <c r="O1506" i="7"/>
  <c r="O1505" i="7"/>
  <c r="O1504" i="7"/>
  <c r="O1503" i="7"/>
  <c r="O1502" i="7"/>
  <c r="O1501" i="7"/>
  <c r="O1500" i="7"/>
  <c r="O1498" i="7"/>
  <c r="O1497" i="7"/>
  <c r="O1495" i="7"/>
  <c r="O1494" i="7"/>
  <c r="O1493" i="7"/>
  <c r="O1492" i="7"/>
  <c r="O1491" i="7"/>
  <c r="O1489" i="7"/>
  <c r="O1488" i="7"/>
  <c r="O1487" i="7"/>
  <c r="O1486" i="7"/>
  <c r="O1485" i="7"/>
  <c r="O1484" i="7"/>
  <c r="O1483" i="7"/>
  <c r="O1481" i="7"/>
  <c r="O1480" i="7"/>
  <c r="O1478" i="7"/>
  <c r="O1476" i="7"/>
  <c r="O1473" i="7"/>
  <c r="O1472" i="7"/>
  <c r="O1471" i="7"/>
  <c r="O1470" i="7"/>
  <c r="O1469" i="7"/>
  <c r="O1467" i="7"/>
  <c r="O1466" i="7"/>
  <c r="O1465" i="7"/>
  <c r="O1464" i="7"/>
  <c r="O1463" i="7"/>
  <c r="O1462" i="7"/>
  <c r="O1461" i="7"/>
  <c r="O1459" i="7"/>
  <c r="O1458" i="7"/>
  <c r="O1456" i="7"/>
  <c r="O1455" i="7"/>
  <c r="O1454" i="7"/>
  <c r="O1453" i="7"/>
  <c r="O1452" i="7"/>
  <c r="O1450" i="7"/>
  <c r="O1449" i="7"/>
  <c r="O1448" i="7"/>
  <c r="O1447" i="7"/>
  <c r="O1446" i="7"/>
  <c r="O1445" i="7"/>
  <c r="O1444" i="7"/>
  <c r="O1442" i="7"/>
  <c r="O1441" i="7"/>
  <c r="O1438" i="7"/>
  <c r="O1437" i="7"/>
  <c r="O1436" i="7"/>
  <c r="O1435" i="7"/>
  <c r="O1433" i="7"/>
  <c r="O1432" i="7"/>
  <c r="O1430" i="7"/>
  <c r="O1429" i="7"/>
  <c r="O1428" i="7"/>
  <c r="O1426" i="7"/>
  <c r="O1425" i="7"/>
  <c r="O1422" i="7"/>
  <c r="O1421" i="7"/>
  <c r="O1420" i="7"/>
  <c r="O1418" i="7"/>
  <c r="O1417" i="7"/>
  <c r="O1415" i="7"/>
  <c r="O1414" i="7"/>
  <c r="O1413" i="7"/>
  <c r="O1411" i="7"/>
  <c r="O1410" i="7"/>
  <c r="O1408" i="7"/>
  <c r="O1407" i="7"/>
  <c r="O1406" i="7"/>
  <c r="O1404" i="7"/>
  <c r="O1403" i="7"/>
  <c r="O1401" i="7"/>
  <c r="O1400" i="7"/>
  <c r="O1399" i="7"/>
  <c r="O1398" i="7"/>
  <c r="O1396" i="7"/>
  <c r="O1395" i="7"/>
  <c r="O1393" i="7"/>
  <c r="O1392" i="7"/>
  <c r="O1391" i="7"/>
  <c r="O1389" i="7"/>
  <c r="O1388" i="7"/>
  <c r="O1385" i="7"/>
  <c r="O1384" i="7"/>
  <c r="O1383" i="7"/>
  <c r="O1381" i="7"/>
  <c r="O1380" i="7"/>
  <c r="O1379" i="7"/>
  <c r="O1377" i="7"/>
  <c r="O1376" i="7"/>
  <c r="O1375" i="7"/>
  <c r="O1373" i="7"/>
  <c r="O1372" i="7"/>
  <c r="O1371" i="7"/>
  <c r="O1370" i="7"/>
  <c r="O1369" i="7"/>
  <c r="O1368" i="7"/>
  <c r="O1366" i="7"/>
  <c r="O1365" i="7"/>
  <c r="O1364" i="7"/>
  <c r="O1363" i="7"/>
  <c r="O1362" i="7"/>
  <c r="O1361" i="7"/>
  <c r="O1359" i="7"/>
  <c r="O1358" i="7"/>
  <c r="O1355" i="7"/>
  <c r="O1354" i="7"/>
  <c r="O1353" i="7"/>
  <c r="O1351" i="7"/>
  <c r="O1350" i="7"/>
  <c r="O1349" i="7"/>
  <c r="O1347" i="7"/>
  <c r="O1346" i="7"/>
  <c r="O1345" i="7"/>
  <c r="O1343" i="7"/>
  <c r="O1342" i="7"/>
  <c r="O1341" i="7"/>
  <c r="O1340" i="7"/>
  <c r="O1339" i="7"/>
  <c r="O1338" i="7"/>
  <c r="O1336" i="7"/>
  <c r="O1335" i="7"/>
  <c r="O1332" i="7"/>
  <c r="O1331" i="7"/>
  <c r="O1330" i="7"/>
  <c r="O1329" i="7"/>
  <c r="O1328" i="7"/>
  <c r="O1327" i="7"/>
  <c r="O1326" i="7"/>
  <c r="O1324" i="7"/>
  <c r="O1322" i="7"/>
  <c r="O1321" i="7"/>
  <c r="O1320" i="7"/>
  <c r="O1319" i="7"/>
  <c r="O1318" i="7"/>
  <c r="O1317" i="7"/>
  <c r="O1316" i="7"/>
  <c r="O1314" i="7"/>
  <c r="O1313" i="7"/>
  <c r="O1311" i="7"/>
  <c r="O1310" i="7"/>
  <c r="O1309" i="7"/>
  <c r="O1308" i="7"/>
  <c r="O1306" i="7"/>
  <c r="O1305" i="7"/>
  <c r="O1303" i="7"/>
  <c r="O1302" i="7"/>
  <c r="O1301" i="7"/>
  <c r="O1300" i="7"/>
  <c r="O1298" i="7"/>
  <c r="O1297" i="7"/>
  <c r="O1295" i="7"/>
  <c r="O1294" i="7"/>
  <c r="O1293" i="7"/>
  <c r="O1292" i="7"/>
  <c r="O1290" i="7"/>
  <c r="O1289" i="7"/>
  <c r="O1287" i="7"/>
  <c r="O1286" i="7"/>
  <c r="O1285" i="7"/>
  <c r="O1284" i="7"/>
  <c r="O1282" i="7"/>
  <c r="O1281" i="7"/>
  <c r="O1278" i="7"/>
  <c r="O1277" i="7"/>
  <c r="O1276" i="7"/>
  <c r="O1274" i="7"/>
  <c r="O1273" i="7"/>
  <c r="O1271" i="7"/>
  <c r="O1270" i="7"/>
  <c r="O1268" i="7"/>
  <c r="O1267" i="7"/>
  <c r="O1265" i="7"/>
  <c r="O1264" i="7"/>
  <c r="O1262" i="7"/>
  <c r="O1261" i="7"/>
  <c r="O1260" i="7"/>
  <c r="O1259" i="7"/>
  <c r="O1257" i="7"/>
  <c r="O1256" i="7"/>
  <c r="O1254" i="7"/>
  <c r="O1253" i="7"/>
  <c r="O1252" i="7"/>
  <c r="O1251" i="7"/>
  <c r="O1249" i="7"/>
  <c r="O1248" i="7"/>
  <c r="O1246" i="7"/>
  <c r="O1245" i="7"/>
  <c r="O1244" i="7"/>
  <c r="O1242" i="7"/>
  <c r="O1241" i="7"/>
  <c r="O1239" i="7"/>
  <c r="O1238" i="7"/>
  <c r="O1237" i="7"/>
  <c r="O1235" i="7"/>
  <c r="O1234" i="7"/>
  <c r="O1233" i="7"/>
  <c r="O1231" i="7"/>
  <c r="O1230" i="7"/>
  <c r="O1229" i="7"/>
  <c r="O1228" i="7"/>
  <c r="O1227" i="7"/>
  <c r="O1226" i="7"/>
  <c r="O1225" i="7"/>
  <c r="O1224" i="7"/>
  <c r="O1223" i="7"/>
  <c r="O1222" i="7"/>
  <c r="O1221" i="7"/>
  <c r="O1219" i="7"/>
  <c r="O1216" i="7"/>
  <c r="O1215" i="7"/>
  <c r="O1213" i="7"/>
  <c r="O1212" i="7"/>
  <c r="O1211" i="7"/>
  <c r="O1210" i="7"/>
  <c r="O1209" i="7"/>
  <c r="O1208" i="7"/>
  <c r="O1207" i="7"/>
  <c r="O1206" i="7"/>
  <c r="O1205" i="7"/>
  <c r="O1204" i="7"/>
  <c r="O1203" i="7"/>
  <c r="O1201" i="7"/>
  <c r="O1200" i="7"/>
  <c r="O1196" i="7"/>
  <c r="O1195" i="7"/>
  <c r="O1194" i="7"/>
  <c r="O1193" i="7"/>
  <c r="O1192" i="7"/>
  <c r="O1191" i="7"/>
  <c r="O1190" i="7"/>
  <c r="O1189" i="7"/>
  <c r="O1188" i="7"/>
  <c r="O1186" i="7"/>
  <c r="O1185" i="7"/>
  <c r="O1184" i="7"/>
  <c r="O1183" i="7"/>
  <c r="O1182" i="7"/>
  <c r="O1181" i="7"/>
  <c r="O1180" i="7"/>
  <c r="O1179" i="7"/>
  <c r="O1178" i="7"/>
  <c r="O1177" i="7"/>
  <c r="O1176" i="7"/>
  <c r="O1175" i="7"/>
  <c r="O1173" i="7"/>
  <c r="O1172" i="7"/>
  <c r="O1171" i="7"/>
  <c r="O1170" i="7"/>
  <c r="O1169" i="7"/>
  <c r="O1168" i="7"/>
  <c r="O1167" i="7"/>
  <c r="O1166" i="7"/>
  <c r="O1165" i="7"/>
  <c r="O1164" i="7"/>
  <c r="O1163" i="7"/>
  <c r="O1162" i="7"/>
  <c r="O1161" i="7"/>
  <c r="O1156" i="7"/>
  <c r="O1153" i="7"/>
  <c r="O1152" i="7"/>
  <c r="O1151" i="7"/>
  <c r="O1150" i="7"/>
  <c r="O1149" i="7"/>
  <c r="O1148" i="7"/>
  <c r="O1147" i="7"/>
  <c r="O1146" i="7"/>
  <c r="O1145" i="7"/>
  <c r="O1144" i="7"/>
  <c r="O1143" i="7"/>
  <c r="O1141" i="7"/>
  <c r="O1140" i="7"/>
  <c r="O1139" i="7"/>
  <c r="O1138" i="7"/>
  <c r="O1137" i="7"/>
  <c r="O1136" i="7"/>
  <c r="O1135" i="7"/>
  <c r="O1134" i="7"/>
  <c r="O1133" i="7"/>
  <c r="O1132" i="7"/>
  <c r="O1131" i="7"/>
  <c r="O1130" i="7"/>
  <c r="O1127" i="7"/>
  <c r="O1124" i="7"/>
  <c r="O1123" i="7"/>
  <c r="O1121" i="7"/>
  <c r="O1118" i="7"/>
  <c r="O1117" i="7"/>
  <c r="O1116" i="7"/>
  <c r="O1115" i="7"/>
  <c r="O1114" i="7"/>
  <c r="O1113" i="7"/>
  <c r="O1112" i="7"/>
  <c r="O1111" i="7"/>
  <c r="O1110" i="7"/>
  <c r="O1109" i="7"/>
  <c r="O1108" i="7"/>
  <c r="O1106" i="7"/>
  <c r="O1105" i="7"/>
  <c r="O1104" i="7"/>
  <c r="O1103" i="7"/>
  <c r="O1102" i="7"/>
  <c r="O1101" i="7"/>
  <c r="O1100" i="7"/>
  <c r="O1099" i="7"/>
  <c r="O1098" i="7"/>
  <c r="O1097" i="7"/>
  <c r="O1096" i="7"/>
  <c r="O1094" i="7"/>
  <c r="O1088" i="7"/>
  <c r="O1087" i="7"/>
  <c r="O1086" i="7"/>
  <c r="O1085" i="7"/>
  <c r="O1084" i="7"/>
  <c r="O1083" i="7"/>
  <c r="O1082" i="7"/>
  <c r="O1081" i="7"/>
  <c r="O1080" i="7"/>
  <c r="O1078" i="7"/>
  <c r="O1077" i="7"/>
  <c r="O1076" i="7"/>
  <c r="O1074" i="7"/>
  <c r="O1073" i="7"/>
  <c r="O1072" i="7"/>
  <c r="O1071" i="7"/>
  <c r="O1070" i="7"/>
  <c r="O1068" i="7"/>
  <c r="O1067" i="7"/>
  <c r="O1066" i="7"/>
  <c r="O1065" i="7"/>
  <c r="O1064" i="7"/>
  <c r="O1063" i="7"/>
  <c r="O1061" i="7"/>
  <c r="O1060" i="7"/>
  <c r="O1059" i="7"/>
  <c r="O1058" i="7"/>
  <c r="O1057" i="7"/>
  <c r="O1056" i="7"/>
  <c r="O1055" i="7"/>
  <c r="O1054" i="7"/>
  <c r="O1053" i="7"/>
  <c r="O1052" i="7"/>
  <c r="O1050" i="7"/>
  <c r="O1049" i="7"/>
  <c r="O1048" i="7"/>
  <c r="O1047" i="7"/>
  <c r="O1046" i="7"/>
  <c r="O1045" i="7"/>
  <c r="O1044" i="7"/>
  <c r="O1043" i="7"/>
  <c r="O1042" i="7"/>
  <c r="O1041" i="7"/>
  <c r="O1040" i="7"/>
  <c r="O1039" i="7"/>
  <c r="O1038" i="7"/>
  <c r="O1037" i="7"/>
  <c r="O1034" i="7"/>
  <c r="O1031" i="7"/>
  <c r="O1030" i="7"/>
  <c r="O1029" i="7"/>
  <c r="O1028" i="7"/>
  <c r="O1027" i="7"/>
  <c r="O1026" i="7"/>
  <c r="O1025" i="7"/>
  <c r="O1024" i="7"/>
  <c r="O1023" i="7"/>
  <c r="O1022" i="7"/>
  <c r="O1020" i="7"/>
  <c r="O1019" i="7"/>
  <c r="O1018" i="7"/>
  <c r="O1017" i="7"/>
  <c r="O1016" i="7"/>
  <c r="O1015" i="7"/>
  <c r="O1014" i="7"/>
  <c r="O1013" i="7"/>
  <c r="O1012" i="7"/>
  <c r="O1011" i="7"/>
  <c r="O1010" i="7"/>
  <c r="O1008" i="7"/>
  <c r="O1007" i="7"/>
  <c r="O1006" i="7"/>
  <c r="O1005" i="7"/>
  <c r="O1004" i="7"/>
  <c r="O1003" i="7"/>
  <c r="O1002" i="7"/>
  <c r="O1001" i="7"/>
  <c r="O1000" i="7"/>
  <c r="O999" i="7"/>
  <c r="O997" i="7"/>
  <c r="O996" i="7"/>
  <c r="O995" i="7"/>
  <c r="O994" i="7"/>
  <c r="O993" i="7"/>
  <c r="O991" i="7"/>
  <c r="O990" i="7"/>
  <c r="O989" i="7"/>
  <c r="O988" i="7"/>
  <c r="O987" i="7"/>
  <c r="O986" i="7"/>
  <c r="O984" i="7"/>
  <c r="O982" i="7"/>
  <c r="O978" i="7"/>
  <c r="O976" i="7"/>
  <c r="O975" i="7"/>
  <c r="O974" i="7"/>
  <c r="O973" i="7"/>
  <c r="O972" i="7"/>
  <c r="O969" i="7"/>
  <c r="O968" i="7"/>
  <c r="O967" i="7"/>
  <c r="O966" i="7"/>
  <c r="O961" i="7"/>
  <c r="O960" i="7"/>
  <c r="O959" i="7"/>
  <c r="O958" i="7"/>
  <c r="O957" i="7"/>
  <c r="O956" i="7"/>
  <c r="O954" i="7"/>
  <c r="O953" i="7"/>
  <c r="O951" i="7"/>
  <c r="O948" i="7"/>
  <c r="O947" i="7"/>
  <c r="O946" i="7"/>
  <c r="O944" i="7"/>
  <c r="O943" i="7"/>
  <c r="O941" i="7"/>
  <c r="O940" i="7"/>
  <c r="O938" i="7"/>
  <c r="O937" i="7"/>
  <c r="O936" i="7"/>
  <c r="O935" i="7"/>
  <c r="O934" i="7"/>
  <c r="O932" i="7"/>
  <c r="O931" i="7"/>
  <c r="O929" i="7"/>
  <c r="O928" i="7"/>
  <c r="O927" i="7"/>
  <c r="O926" i="7"/>
  <c r="O924" i="7"/>
  <c r="O923" i="7"/>
  <c r="O922" i="7"/>
  <c r="O921" i="7"/>
  <c r="O917" i="7"/>
  <c r="O916" i="7"/>
  <c r="O915" i="7"/>
  <c r="O914" i="7"/>
  <c r="O913" i="7"/>
  <c r="O912" i="7"/>
  <c r="O911" i="7"/>
  <c r="O909" i="7"/>
  <c r="O906" i="7"/>
  <c r="O905" i="7"/>
  <c r="O904" i="7"/>
  <c r="O903" i="7"/>
  <c r="O902" i="7"/>
  <c r="O901" i="7"/>
  <c r="O900" i="7"/>
  <c r="O899" i="7"/>
  <c r="O898" i="7"/>
  <c r="O896" i="7"/>
  <c r="O893" i="7"/>
  <c r="O890" i="7"/>
  <c r="O889" i="7"/>
  <c r="O888" i="7"/>
  <c r="O887" i="7"/>
  <c r="O886" i="7"/>
  <c r="O885" i="7"/>
  <c r="O884" i="7"/>
  <c r="O883" i="7"/>
  <c r="O882" i="7"/>
  <c r="O875" i="7"/>
  <c r="O874" i="7"/>
  <c r="O873" i="7"/>
  <c r="O872" i="7"/>
  <c r="O871" i="7"/>
  <c r="O869" i="7"/>
  <c r="O868" i="7"/>
  <c r="O867" i="7"/>
  <c r="O862" i="7"/>
  <c r="O861" i="7"/>
  <c r="O860" i="7"/>
  <c r="O859" i="7"/>
  <c r="O858" i="7"/>
  <c r="O856" i="7"/>
  <c r="O855" i="7"/>
  <c r="O854" i="7"/>
  <c r="O849" i="7"/>
  <c r="O848" i="7"/>
  <c r="O847" i="7"/>
  <c r="O846" i="7"/>
  <c r="O845" i="7"/>
  <c r="O843" i="7"/>
  <c r="O842" i="7"/>
  <c r="O840" i="7"/>
  <c r="O839" i="7"/>
  <c r="O838" i="7"/>
  <c r="O837" i="7"/>
  <c r="O836" i="7"/>
  <c r="O835" i="7"/>
  <c r="O834" i="7"/>
  <c r="O833" i="7"/>
  <c r="O831" i="7"/>
  <c r="O830" i="7"/>
  <c r="O829" i="7"/>
  <c r="O828" i="7"/>
  <c r="O827" i="7"/>
  <c r="O825" i="7"/>
  <c r="O824" i="7"/>
  <c r="O821" i="7"/>
  <c r="O820" i="7"/>
  <c r="O819" i="7"/>
  <c r="O818" i="7"/>
  <c r="O817" i="7"/>
  <c r="O816" i="7"/>
  <c r="O815" i="7"/>
  <c r="O814" i="7"/>
  <c r="O812" i="7"/>
  <c r="O809" i="7"/>
  <c r="O806" i="7"/>
  <c r="O805" i="7"/>
  <c r="O804" i="7"/>
  <c r="O803" i="7"/>
  <c r="O802" i="7"/>
  <c r="O801" i="7"/>
  <c r="O800" i="7"/>
  <c r="O799" i="7"/>
  <c r="O798" i="7"/>
  <c r="O797" i="7"/>
  <c r="O796" i="7"/>
  <c r="O795" i="7"/>
  <c r="O789" i="7"/>
  <c r="O788" i="7"/>
  <c r="O787" i="7"/>
  <c r="O786" i="7"/>
  <c r="O784" i="7"/>
  <c r="O783" i="7"/>
  <c r="O781" i="7"/>
  <c r="O780" i="7"/>
  <c r="O779" i="7"/>
  <c r="O777" i="7"/>
  <c r="O775" i="7"/>
  <c r="O773" i="7"/>
  <c r="O771" i="7"/>
  <c r="O770" i="7"/>
  <c r="O769" i="7"/>
  <c r="O768" i="7"/>
  <c r="O767" i="7"/>
  <c r="O766" i="7"/>
  <c r="O764" i="7"/>
  <c r="O763" i="7"/>
  <c r="O761" i="7"/>
  <c r="O760" i="7"/>
  <c r="O759" i="7"/>
  <c r="O758" i="7"/>
  <c r="O757" i="7"/>
  <c r="O756" i="7"/>
  <c r="O755" i="7"/>
  <c r="O754" i="7"/>
  <c r="O753" i="7"/>
  <c r="O752" i="7"/>
  <c r="O751" i="7"/>
  <c r="O750" i="7"/>
  <c r="O692" i="7"/>
  <c r="O691" i="7"/>
  <c r="O690" i="7"/>
  <c r="O689" i="7"/>
  <c r="O688" i="7"/>
  <c r="O686" i="7"/>
  <c r="O678" i="7"/>
  <c r="O676" i="7"/>
  <c r="O674" i="7"/>
  <c r="O671" i="7"/>
  <c r="O670" i="7"/>
  <c r="O669" i="7"/>
  <c r="O667" i="7"/>
  <c r="O666" i="7"/>
  <c r="O665" i="7"/>
  <c r="O664" i="7"/>
  <c r="O661" i="7"/>
  <c r="O658" i="7"/>
  <c r="O657" i="7"/>
  <c r="O656" i="7"/>
  <c r="O655" i="7"/>
  <c r="O651" i="7"/>
  <c r="O650" i="7"/>
  <c r="O647" i="7"/>
  <c r="O646" i="7"/>
  <c r="O630" i="7"/>
  <c r="O629" i="7"/>
  <c r="O628" i="7"/>
  <c r="O627" i="7"/>
  <c r="O626" i="7"/>
  <c r="O625" i="7"/>
  <c r="O624" i="7"/>
  <c r="O623" i="7"/>
  <c r="O622" i="7"/>
  <c r="O620" i="7"/>
  <c r="O619" i="7"/>
  <c r="O618" i="7"/>
  <c r="O617" i="7"/>
  <c r="O616" i="7"/>
  <c r="O615" i="7"/>
  <c r="O614" i="7"/>
  <c r="O613" i="7"/>
  <c r="O611" i="7"/>
  <c r="O609" i="7"/>
  <c r="O608" i="7"/>
  <c r="O607" i="7"/>
  <c r="O606" i="7"/>
  <c r="O605" i="7"/>
  <c r="O604" i="7"/>
  <c r="O603" i="7"/>
  <c r="O602" i="7"/>
  <c r="O600" i="7"/>
  <c r="O598" i="7"/>
  <c r="O594" i="7"/>
  <c r="O591" i="7"/>
  <c r="O590" i="7"/>
  <c r="O589" i="7"/>
  <c r="O588" i="7"/>
  <c r="O587" i="7"/>
  <c r="O585" i="7"/>
  <c r="O584" i="7"/>
  <c r="O582" i="7"/>
  <c r="O579" i="7"/>
  <c r="O578" i="7"/>
  <c r="O577" i="7"/>
  <c r="O576" i="7"/>
  <c r="O575" i="7"/>
  <c r="O574" i="7"/>
  <c r="O573" i="7"/>
  <c r="O572" i="7"/>
  <c r="O571" i="7"/>
  <c r="O570" i="7"/>
  <c r="O569" i="7"/>
  <c r="O568" i="7"/>
  <c r="O567" i="7"/>
  <c r="O566" i="7"/>
  <c r="O565" i="7"/>
  <c r="O564" i="7"/>
  <c r="O563" i="7"/>
  <c r="O560" i="7"/>
  <c r="O488" i="7"/>
  <c r="O485" i="7"/>
  <c r="O482" i="7"/>
  <c r="O481" i="7"/>
  <c r="O480" i="7"/>
  <c r="O479" i="7"/>
  <c r="O478" i="7"/>
  <c r="O477" i="7"/>
  <c r="O476" i="7"/>
  <c r="O475" i="7"/>
  <c r="O474" i="7"/>
  <c r="O471" i="7"/>
  <c r="O470" i="7"/>
  <c r="O468" i="7"/>
  <c r="O463" i="7"/>
  <c r="O460" i="7"/>
  <c r="O457" i="7"/>
  <c r="O456" i="7"/>
  <c r="O455" i="7"/>
  <c r="O454" i="7"/>
  <c r="O453" i="7"/>
  <c r="O451" i="7"/>
  <c r="O450" i="7"/>
  <c r="O441" i="7"/>
  <c r="O438" i="7"/>
  <c r="O437" i="7"/>
  <c r="O429" i="7"/>
  <c r="O427" i="7"/>
  <c r="O426" i="7"/>
  <c r="O425" i="7"/>
  <c r="O424" i="7"/>
  <c r="O423" i="7"/>
  <c r="O422" i="7"/>
  <c r="O421" i="7"/>
  <c r="O419" i="7"/>
  <c r="O418" i="7"/>
  <c r="O354" i="7"/>
  <c r="O353" i="7"/>
  <c r="O352" i="7"/>
  <c r="O351" i="7"/>
  <c r="O350" i="7"/>
  <c r="O348" i="7"/>
  <c r="O347" i="7"/>
  <c r="O341" i="7"/>
  <c r="O335" i="7"/>
  <c r="O334" i="7"/>
  <c r="O333" i="7"/>
  <c r="O332" i="7"/>
  <c r="O331" i="7"/>
  <c r="O328" i="7"/>
  <c r="O326" i="7"/>
  <c r="O325" i="7"/>
  <c r="O324" i="7"/>
  <c r="O323" i="7"/>
  <c r="O322" i="7"/>
  <c r="O320" i="7"/>
  <c r="O319" i="7"/>
  <c r="O316" i="7"/>
  <c r="O315" i="7"/>
  <c r="O314" i="7"/>
  <c r="O313" i="7"/>
  <c r="O312" i="7"/>
  <c r="O310" i="7"/>
  <c r="O309" i="7"/>
  <c r="O306" i="7"/>
  <c r="O305" i="7"/>
  <c r="O304" i="7"/>
  <c r="O303" i="7"/>
  <c r="O302" i="7"/>
  <c r="O301" i="7"/>
  <c r="O299" i="7"/>
  <c r="O298" i="7"/>
  <c r="O296" i="7"/>
  <c r="O295" i="7"/>
  <c r="O294" i="7"/>
  <c r="O293" i="7"/>
  <c r="O292" i="7"/>
  <c r="O291" i="7"/>
  <c r="O290" i="7"/>
  <c r="O288" i="7"/>
  <c r="O287" i="7"/>
  <c r="O285" i="7"/>
  <c r="O284" i="7"/>
  <c r="O282" i="7"/>
  <c r="O227" i="7"/>
  <c r="O226" i="7"/>
  <c r="O218" i="7"/>
  <c r="O217" i="7"/>
  <c r="O216" i="7"/>
  <c r="O215" i="7"/>
  <c r="O213" i="7"/>
  <c r="O212" i="7"/>
  <c r="O209" i="7"/>
  <c r="O206" i="7"/>
  <c r="O205" i="7"/>
  <c r="O203" i="7"/>
  <c r="O202" i="7"/>
  <c r="O201" i="7"/>
  <c r="O200" i="7"/>
  <c r="O199" i="7"/>
  <c r="O197" i="7"/>
  <c r="O196" i="7"/>
  <c r="O194" i="7"/>
  <c r="O193" i="7"/>
  <c r="O192" i="7"/>
  <c r="O191" i="7"/>
  <c r="O190" i="7"/>
  <c r="O189" i="7"/>
  <c r="O188" i="7"/>
  <c r="O186" i="7"/>
  <c r="O185" i="7"/>
  <c r="O184" i="7"/>
  <c r="O182" i="7"/>
  <c r="O180" i="7"/>
  <c r="O179" i="7"/>
  <c r="O178" i="7"/>
  <c r="O177" i="7"/>
  <c r="O174" i="7"/>
  <c r="O173" i="7"/>
  <c r="O172" i="7"/>
  <c r="O171" i="7"/>
  <c r="O170" i="7"/>
  <c r="O167" i="7"/>
  <c r="O166" i="7"/>
  <c r="O161" i="7"/>
  <c r="O160" i="7"/>
  <c r="O156" i="7"/>
  <c r="O154" i="7"/>
  <c r="O153" i="7"/>
  <c r="O150" i="7"/>
  <c r="O146" i="7"/>
  <c r="O96" i="7"/>
  <c r="O95" i="7"/>
  <c r="O94" i="7"/>
  <c r="O91" i="7"/>
  <c r="O90" i="7"/>
  <c r="O89" i="7"/>
  <c r="O76" i="7"/>
  <c r="O75" i="7"/>
  <c r="O73" i="7"/>
  <c r="O72" i="7"/>
  <c r="O71" i="7"/>
  <c r="O69" i="7"/>
  <c r="O54" i="7"/>
  <c r="O53" i="7"/>
  <c r="O52" i="7"/>
  <c r="O51" i="7"/>
  <c r="O50" i="7"/>
  <c r="O46" i="7"/>
  <c r="O45" i="7"/>
  <c r="O40" i="7"/>
  <c r="O39" i="7"/>
  <c r="O38" i="7"/>
  <c r="O37" i="7"/>
  <c r="O36" i="7"/>
  <c r="O35" i="7"/>
  <c r="O33" i="7"/>
  <c r="O31" i="7"/>
  <c r="O30" i="7"/>
  <c r="O28" i="7"/>
  <c r="O26" i="7"/>
  <c r="O21" i="7"/>
  <c r="O18" i="7"/>
  <c r="O15" i="7"/>
  <c r="O14" i="7"/>
  <c r="O13" i="7"/>
  <c r="O12" i="7"/>
  <c r="O11" i="7"/>
  <c r="K2318" i="7"/>
  <c r="K2317" i="7"/>
  <c r="K2316" i="7"/>
  <c r="K2315" i="7"/>
  <c r="K2313" i="7"/>
  <c r="K2312" i="7"/>
  <c r="K2310" i="7"/>
  <c r="K2309" i="7"/>
  <c r="K2291" i="7"/>
  <c r="K2289" i="7"/>
  <c r="K2288" i="7"/>
  <c r="K2287" i="7"/>
  <c r="K2281" i="7"/>
  <c r="K2280" i="7"/>
  <c r="K2279" i="7"/>
  <c r="K2278" i="7"/>
  <c r="K2275" i="7"/>
  <c r="K2270" i="7"/>
  <c r="K2261" i="7"/>
  <c r="K2259" i="7"/>
  <c r="K2253" i="7"/>
  <c r="K2252" i="7"/>
  <c r="K2247" i="7"/>
  <c r="K2246" i="7"/>
  <c r="K2245" i="7"/>
  <c r="K2244" i="7"/>
  <c r="K2243" i="7"/>
  <c r="K2236" i="7"/>
  <c r="K2235" i="7"/>
  <c r="K2233" i="7"/>
  <c r="K2231" i="7"/>
  <c r="K2229" i="7"/>
  <c r="K2228" i="7"/>
  <c r="K2225" i="7"/>
  <c r="K2224" i="7"/>
  <c r="K2223" i="7"/>
  <c r="K2220" i="7"/>
  <c r="K2219" i="7"/>
  <c r="K2218" i="7"/>
  <c r="K2213" i="7"/>
  <c r="K2210" i="7"/>
  <c r="K2208" i="7"/>
  <c r="K2204" i="7"/>
  <c r="K2203" i="7"/>
  <c r="K2202" i="7"/>
  <c r="K2201" i="7"/>
  <c r="K2200" i="7"/>
  <c r="K2199" i="7"/>
  <c r="K2198" i="7"/>
  <c r="K2197" i="7"/>
  <c r="K2196" i="7"/>
  <c r="K2195" i="7"/>
  <c r="K2192" i="7"/>
  <c r="K2191" i="7"/>
  <c r="K2190" i="7"/>
  <c r="K2189" i="7"/>
  <c r="K2185" i="7"/>
  <c r="K2175" i="7"/>
  <c r="K2174" i="7"/>
  <c r="K2163" i="7"/>
  <c r="K2158" i="7"/>
  <c r="K2157" i="7"/>
  <c r="K2156" i="7"/>
  <c r="K2150" i="7"/>
  <c r="K2148" i="7"/>
  <c r="K2147" i="7"/>
  <c r="K2104" i="7"/>
  <c r="K2102" i="7"/>
  <c r="K2101" i="7"/>
  <c r="K2095" i="7"/>
  <c r="K2094" i="7"/>
  <c r="K2093" i="7"/>
  <c r="K2092" i="7"/>
  <c r="K2090" i="7"/>
  <c r="K2088" i="7"/>
  <c r="K2087" i="7"/>
  <c r="K2084" i="7"/>
  <c r="K2083" i="7"/>
  <c r="K2081" i="7"/>
  <c r="K2080" i="7"/>
  <c r="K2079" i="7"/>
  <c r="K2078" i="7"/>
  <c r="K2076" i="7"/>
  <c r="K2075" i="7"/>
  <c r="K2071" i="7"/>
  <c r="K2068" i="7"/>
  <c r="K2067" i="7"/>
  <c r="K2066" i="7"/>
  <c r="K2065" i="7"/>
  <c r="K2062" i="7"/>
  <c r="K2057" i="7"/>
  <c r="K2056" i="7"/>
  <c r="K2055" i="7"/>
  <c r="K2054" i="7"/>
  <c r="K2053" i="7"/>
  <c r="K2052" i="7"/>
  <c r="K2050" i="7"/>
  <c r="K2049" i="7"/>
  <c r="K2048" i="7"/>
  <c r="K2047" i="7"/>
  <c r="K2045" i="7"/>
  <c r="K2041" i="7"/>
  <c r="K2040" i="7"/>
  <c r="K2036" i="7"/>
  <c r="K2034" i="7"/>
  <c r="K2033" i="7"/>
  <c r="K2028" i="7"/>
  <c r="K2027" i="7"/>
  <c r="K2026" i="7"/>
  <c r="K2025" i="7"/>
  <c r="K2024" i="7"/>
  <c r="K2023" i="7"/>
  <c r="K2022" i="7"/>
  <c r="K2021" i="7"/>
  <c r="K2020" i="7"/>
  <c r="K2019" i="7"/>
  <c r="K2013" i="7"/>
  <c r="K1930" i="7"/>
  <c r="K1929" i="7"/>
  <c r="K1926" i="7"/>
  <c r="K1925" i="7"/>
  <c r="K1924" i="7"/>
  <c r="K1923" i="7"/>
  <c r="K1920" i="7"/>
  <c r="K1919" i="7"/>
  <c r="K1918" i="7"/>
  <c r="K1917" i="7"/>
  <c r="K1916" i="7"/>
  <c r="K1913" i="7"/>
  <c r="K1912" i="7"/>
  <c r="K1911" i="7"/>
  <c r="K1908" i="7"/>
  <c r="K1906" i="7"/>
  <c r="K1904" i="7"/>
  <c r="K1903" i="7"/>
  <c r="K1902" i="7"/>
  <c r="K1901" i="7"/>
  <c r="K1899" i="7"/>
  <c r="K1898" i="7"/>
  <c r="K1895" i="7"/>
  <c r="K1894" i="7"/>
  <c r="K1892" i="7"/>
  <c r="K1889" i="7"/>
  <c r="K1887" i="7"/>
  <c r="K1883" i="7"/>
  <c r="K1882" i="7"/>
  <c r="K1881" i="7"/>
  <c r="K1880" i="7"/>
  <c r="K1878" i="7"/>
  <c r="K1877" i="7"/>
  <c r="K1875" i="7"/>
  <c r="K1792" i="7"/>
  <c r="K1791" i="7"/>
  <c r="K1790" i="7"/>
  <c r="K1789" i="7"/>
  <c r="K1788" i="7"/>
  <c r="K1787" i="7"/>
  <c r="K1786" i="7"/>
  <c r="K1785" i="7"/>
  <c r="K1784" i="7"/>
  <c r="K1783" i="7"/>
  <c r="K1782" i="7"/>
  <c r="K1781" i="7"/>
  <c r="K1779" i="7"/>
  <c r="K1776" i="7"/>
  <c r="K1775" i="7"/>
  <c r="K1773" i="7"/>
  <c r="K1772" i="7"/>
  <c r="K1771" i="7"/>
  <c r="K1770" i="7"/>
  <c r="K1769" i="7"/>
  <c r="K1768" i="7"/>
  <c r="K1767" i="7"/>
  <c r="K1766" i="7"/>
  <c r="K1765" i="7"/>
  <c r="K1764" i="7"/>
  <c r="K1763" i="7"/>
  <c r="K1748" i="7"/>
  <c r="K1745" i="7"/>
  <c r="K1744" i="7"/>
  <c r="K1742" i="7"/>
  <c r="K1741" i="7"/>
  <c r="K1740" i="7"/>
  <c r="K1739" i="7"/>
  <c r="K1738" i="7"/>
  <c r="K1737" i="7"/>
  <c r="K1736" i="7"/>
  <c r="K1734" i="7"/>
  <c r="K1729" i="7"/>
  <c r="K1727" i="7"/>
  <c r="K1719" i="7"/>
  <c r="K1718" i="7"/>
  <c r="K1717" i="7"/>
  <c r="K1716" i="7"/>
  <c r="K1715" i="7"/>
  <c r="K1714" i="7"/>
  <c r="K1713" i="7"/>
  <c r="K1712" i="7"/>
  <c r="K1711" i="7"/>
  <c r="K1710" i="7"/>
  <c r="K1707" i="7"/>
  <c r="K1706" i="7"/>
  <c r="K1705" i="7"/>
  <c r="K1704" i="7"/>
  <c r="K1702" i="7"/>
  <c r="K1700" i="7"/>
  <c r="K1699" i="7"/>
  <c r="K1697" i="7"/>
  <c r="K1694" i="7"/>
  <c r="K1693" i="7"/>
  <c r="K1689" i="7"/>
  <c r="K1688" i="7"/>
  <c r="K1687" i="7"/>
  <c r="K1686" i="7"/>
  <c r="K1685" i="7"/>
  <c r="K1683" i="7"/>
  <c r="K1682" i="7"/>
  <c r="K1681" i="7"/>
  <c r="K1678" i="7"/>
  <c r="K1674" i="7"/>
  <c r="K1607" i="7"/>
  <c r="K1606" i="7"/>
  <c r="K1605" i="7"/>
  <c r="K1604" i="7"/>
  <c r="K1602" i="7"/>
  <c r="K1596" i="7"/>
  <c r="K1595" i="7"/>
  <c r="K1594" i="7"/>
  <c r="K1593" i="7"/>
  <c r="K1590" i="7"/>
  <c r="K1587" i="7"/>
  <c r="K1584" i="7"/>
  <c r="K1583" i="7"/>
  <c r="K1582" i="7"/>
  <c r="K1581" i="7"/>
  <c r="K1578" i="7"/>
  <c r="K1574" i="7"/>
  <c r="K1573" i="7"/>
  <c r="K1572" i="7"/>
  <c r="K1570" i="7"/>
  <c r="K1569" i="7"/>
  <c r="K1565" i="7"/>
  <c r="K1564" i="7"/>
  <c r="K1563" i="7"/>
  <c r="K1562" i="7"/>
  <c r="K1557" i="7"/>
  <c r="K1556" i="7"/>
  <c r="K1555" i="7"/>
  <c r="K1554" i="7"/>
  <c r="K1552" i="7"/>
  <c r="K1551" i="7"/>
  <c r="K1550" i="7"/>
  <c r="K1549" i="7"/>
  <c r="K1548" i="7"/>
  <c r="K1547" i="7"/>
  <c r="K1545" i="7"/>
  <c r="K1544" i="7"/>
  <c r="K1543" i="7"/>
  <c r="K1542" i="7"/>
  <c r="K1541" i="7"/>
  <c r="K1540" i="7"/>
  <c r="K1539" i="7"/>
  <c r="K1538" i="7"/>
  <c r="K1536" i="7"/>
  <c r="K1535" i="7"/>
  <c r="K1533" i="7"/>
  <c r="K1532" i="7"/>
  <c r="K1531" i="7"/>
  <c r="K1530" i="7"/>
  <c r="K1529" i="7"/>
  <c r="K1528" i="7"/>
  <c r="K1527" i="7"/>
  <c r="K1526" i="7"/>
  <c r="K1522" i="7"/>
  <c r="K1521" i="7"/>
  <c r="K1520" i="7"/>
  <c r="K1519" i="7"/>
  <c r="K1518" i="7"/>
  <c r="K1517" i="7"/>
  <c r="K1515" i="7"/>
  <c r="K1514" i="7"/>
  <c r="K1512" i="7"/>
  <c r="K1511" i="7"/>
  <c r="K1510" i="7"/>
  <c r="K1509" i="7"/>
  <c r="K1508" i="7"/>
  <c r="K1506" i="7"/>
  <c r="K1505" i="7"/>
  <c r="K1503" i="7"/>
  <c r="K1502" i="7"/>
  <c r="K1501" i="7"/>
  <c r="K1500" i="7"/>
  <c r="K1497" i="7"/>
  <c r="K1495" i="7"/>
  <c r="K1494" i="7"/>
  <c r="K1493" i="7"/>
  <c r="K1492" i="7"/>
  <c r="K1491" i="7"/>
  <c r="K1489" i="7"/>
  <c r="K1487" i="7"/>
  <c r="K1486" i="7"/>
  <c r="K1485" i="7"/>
  <c r="K1484" i="7"/>
  <c r="K1483" i="7"/>
  <c r="K1481" i="7"/>
  <c r="K1478" i="7"/>
  <c r="K1476" i="7"/>
  <c r="K1473" i="7"/>
  <c r="K1472" i="7"/>
  <c r="K1471" i="7"/>
  <c r="K1469" i="7"/>
  <c r="K1465" i="7"/>
  <c r="K1464" i="7"/>
  <c r="K1463" i="7"/>
  <c r="K1462" i="7"/>
  <c r="K1461" i="7"/>
  <c r="K1455" i="7"/>
  <c r="K1452" i="7"/>
  <c r="K1450" i="7"/>
  <c r="K1449" i="7"/>
  <c r="K1448" i="7"/>
  <c r="K1447" i="7"/>
  <c r="K1446" i="7"/>
  <c r="K1445" i="7"/>
  <c r="K1444" i="7"/>
  <c r="K1442" i="7"/>
  <c r="K1441" i="7"/>
  <c r="K1438" i="7"/>
  <c r="K1437" i="7"/>
  <c r="K1436" i="7"/>
  <c r="K1435" i="7"/>
  <c r="K1433" i="7"/>
  <c r="K1432" i="7"/>
  <c r="K1430" i="7"/>
  <c r="K1429" i="7"/>
  <c r="K1428" i="7"/>
  <c r="K1426" i="7"/>
  <c r="K1425" i="7"/>
  <c r="K1422" i="7"/>
  <c r="K1421" i="7"/>
  <c r="K1420" i="7"/>
  <c r="K1418" i="7"/>
  <c r="K1417" i="7"/>
  <c r="K1415" i="7"/>
  <c r="K1414" i="7"/>
  <c r="K1413" i="7"/>
  <c r="K1411" i="7"/>
  <c r="K1410" i="7"/>
  <c r="K1408" i="7"/>
  <c r="K1407" i="7"/>
  <c r="K1406" i="7"/>
  <c r="K1404" i="7"/>
  <c r="K1403" i="7"/>
  <c r="K1401" i="7"/>
  <c r="K1400" i="7"/>
  <c r="K1399" i="7"/>
  <c r="K1396" i="7"/>
  <c r="K1395" i="7"/>
  <c r="K1393" i="7"/>
  <c r="K1392" i="7"/>
  <c r="K1391" i="7"/>
  <c r="K1389" i="7"/>
  <c r="K1388" i="7"/>
  <c r="K1385" i="7"/>
  <c r="K1384" i="7"/>
  <c r="K1383" i="7"/>
  <c r="K1381" i="7"/>
  <c r="K1380" i="7"/>
  <c r="K1377" i="7"/>
  <c r="K1376" i="7"/>
  <c r="K1375" i="7"/>
  <c r="K1373" i="7"/>
  <c r="K1372" i="7"/>
  <c r="K1370" i="7"/>
  <c r="K1369" i="7"/>
  <c r="K1368" i="7"/>
  <c r="K1366" i="7"/>
  <c r="K1365" i="7"/>
  <c r="K1363" i="7"/>
  <c r="K1362" i="7"/>
  <c r="K1361" i="7"/>
  <c r="K1359" i="7"/>
  <c r="K1358" i="7"/>
  <c r="K1355" i="7"/>
  <c r="K1354" i="7"/>
  <c r="K1353" i="7"/>
  <c r="K1351" i="7"/>
  <c r="K1347" i="7"/>
  <c r="K1346" i="7"/>
  <c r="K1345" i="7"/>
  <c r="K1343" i="7"/>
  <c r="K1342" i="7"/>
  <c r="K1340" i="7"/>
  <c r="K1339" i="7"/>
  <c r="K1338" i="7"/>
  <c r="K1332" i="7"/>
  <c r="K1331" i="7"/>
  <c r="K1330" i="7"/>
  <c r="K1328" i="7"/>
  <c r="K1327" i="7"/>
  <c r="K1324" i="7"/>
  <c r="K1323" i="7"/>
  <c r="K1321" i="7"/>
  <c r="K1320" i="7"/>
  <c r="K1319" i="7"/>
  <c r="K1318" i="7"/>
  <c r="K1317" i="7"/>
  <c r="K1316" i="7"/>
  <c r="K1314" i="7"/>
  <c r="K1313" i="7"/>
  <c r="K1311" i="7"/>
  <c r="K1310" i="7"/>
  <c r="K1309" i="7"/>
  <c r="K1308" i="7"/>
  <c r="K1306" i="7"/>
  <c r="K1305" i="7"/>
  <c r="K1303" i="7"/>
  <c r="K1302" i="7"/>
  <c r="K1301" i="7"/>
  <c r="K1300" i="7"/>
  <c r="K1295" i="7"/>
  <c r="K1294" i="7"/>
  <c r="K1292" i="7"/>
  <c r="K1287" i="7"/>
  <c r="K1286" i="7"/>
  <c r="K1285" i="7"/>
  <c r="K1284" i="7"/>
  <c r="K1278" i="7"/>
  <c r="K1277" i="7"/>
  <c r="K1276" i="7"/>
  <c r="K1274" i="7"/>
  <c r="K1273" i="7"/>
  <c r="K1271" i="7"/>
  <c r="K1270" i="7"/>
  <c r="K1268" i="7"/>
  <c r="K1267" i="7"/>
  <c r="K1262" i="7"/>
  <c r="K1261" i="7"/>
  <c r="K1260" i="7"/>
  <c r="K1259" i="7"/>
  <c r="K1257" i="7"/>
  <c r="K1256" i="7"/>
  <c r="K1254" i="7"/>
  <c r="K1253" i="7"/>
  <c r="K1252" i="7"/>
  <c r="K1251" i="7"/>
  <c r="K1246" i="7"/>
  <c r="K1245" i="7"/>
  <c r="K1244" i="7"/>
  <c r="K1242" i="7"/>
  <c r="K1241" i="7"/>
  <c r="K1239" i="7"/>
  <c r="K1235" i="7"/>
  <c r="K1234" i="7"/>
  <c r="K1233" i="7"/>
  <c r="K1228" i="7"/>
  <c r="K1227" i="7"/>
  <c r="K1226" i="7"/>
  <c r="K1225" i="7"/>
  <c r="K1224" i="7"/>
  <c r="K1223" i="7"/>
  <c r="K1222" i="7"/>
  <c r="K1219" i="7"/>
  <c r="K1218" i="7"/>
  <c r="K1217" i="7"/>
  <c r="K1216" i="7"/>
  <c r="K1215" i="7"/>
  <c r="K1214" i="7"/>
  <c r="K1213" i="7"/>
  <c r="K1212" i="7"/>
  <c r="K1211" i="7"/>
  <c r="K1210" i="7"/>
  <c r="K1209" i="7"/>
  <c r="K1207" i="7"/>
  <c r="K1206" i="7"/>
  <c r="K1203" i="7"/>
  <c r="K1201" i="7"/>
  <c r="K1200" i="7"/>
  <c r="K1199" i="7"/>
  <c r="K1198" i="7"/>
  <c r="K1196" i="7"/>
  <c r="K1195" i="7"/>
  <c r="K1194" i="7"/>
  <c r="K1193" i="7"/>
  <c r="K1191" i="7"/>
  <c r="K1189" i="7"/>
  <c r="K1188" i="7"/>
  <c r="K1186" i="7"/>
  <c r="K1185" i="7"/>
  <c r="K1184" i="7"/>
  <c r="K1183" i="7"/>
  <c r="K1182" i="7"/>
  <c r="K1180" i="7"/>
  <c r="K1179" i="7"/>
  <c r="K1178" i="7"/>
  <c r="K1177" i="7"/>
  <c r="K1176" i="7"/>
  <c r="K1175" i="7"/>
  <c r="K1173" i="7"/>
  <c r="K1172" i="7"/>
  <c r="K1171" i="7"/>
  <c r="K1170" i="7"/>
  <c r="K1169" i="7"/>
  <c r="K1168" i="7"/>
  <c r="K1167" i="7"/>
  <c r="K1166" i="7"/>
  <c r="K1165" i="7"/>
  <c r="K1164" i="7"/>
  <c r="K1162" i="7"/>
  <c r="K1161" i="7"/>
  <c r="K1159" i="7"/>
  <c r="K1158" i="7"/>
  <c r="K1157" i="7"/>
  <c r="K1156" i="7"/>
  <c r="K1155" i="7"/>
  <c r="K1153" i="7"/>
  <c r="K1152" i="7"/>
  <c r="K1151" i="7"/>
  <c r="K1150" i="7"/>
  <c r="K1149" i="7"/>
  <c r="K1147" i="7"/>
  <c r="K1146" i="7"/>
  <c r="K1145" i="7"/>
  <c r="K1144" i="7"/>
  <c r="K1143" i="7"/>
  <c r="K1141" i="7"/>
  <c r="K1140" i="7"/>
  <c r="K1139" i="7"/>
  <c r="K1138" i="7"/>
  <c r="K1137" i="7"/>
  <c r="K1136" i="7"/>
  <c r="K1135" i="7"/>
  <c r="K1134" i="7"/>
  <c r="K1133" i="7"/>
  <c r="K1131" i="7"/>
  <c r="K1130" i="7"/>
  <c r="K1128" i="7"/>
  <c r="K1127" i="7"/>
  <c r="K1126" i="7"/>
  <c r="K1125" i="7"/>
  <c r="K1124" i="7"/>
  <c r="K1123" i="7"/>
  <c r="K1122" i="7"/>
  <c r="K1121" i="7"/>
  <c r="K1120" i="7"/>
  <c r="K1117" i="7"/>
  <c r="K1115" i="7"/>
  <c r="K1114" i="7"/>
  <c r="K1112" i="7"/>
  <c r="K1111" i="7"/>
  <c r="K1108" i="7"/>
  <c r="K1104" i="7"/>
  <c r="K1103" i="7"/>
  <c r="K1102" i="7"/>
  <c r="K1099" i="7"/>
  <c r="K1097" i="7"/>
  <c r="K1096" i="7"/>
  <c r="K1094" i="7"/>
  <c r="K1093" i="7"/>
  <c r="K1092" i="7"/>
  <c r="K1091" i="7"/>
  <c r="K1090" i="7"/>
  <c r="K1088" i="7"/>
  <c r="K1087" i="7"/>
  <c r="K1086" i="7"/>
  <c r="K1085" i="7"/>
  <c r="K1084" i="7"/>
  <c r="K1083" i="7"/>
  <c r="K1081" i="7"/>
  <c r="K1080" i="7"/>
  <c r="K1072" i="7"/>
  <c r="K1071" i="7"/>
  <c r="K1068" i="7"/>
  <c r="K1064" i="7"/>
  <c r="K1063" i="7"/>
  <c r="K1061" i="7"/>
  <c r="K1060" i="7"/>
  <c r="K1059" i="7"/>
  <c r="K1058" i="7"/>
  <c r="K1055" i="7"/>
  <c r="K1054" i="7"/>
  <c r="K1053" i="7"/>
  <c r="K1052" i="7"/>
  <c r="K1048" i="7"/>
  <c r="K1047" i="7"/>
  <c r="K1046" i="7"/>
  <c r="K1045" i="7"/>
  <c r="K1044" i="7"/>
  <c r="K1043" i="7"/>
  <c r="K1041" i="7"/>
  <c r="K1040" i="7"/>
  <c r="K1038" i="7"/>
  <c r="K1037" i="7"/>
  <c r="K1036" i="7"/>
  <c r="K1035" i="7"/>
  <c r="K1034" i="7"/>
  <c r="K1033" i="7"/>
  <c r="K1032" i="7"/>
  <c r="K1031" i="7"/>
  <c r="K1030" i="7"/>
  <c r="K1029" i="7"/>
  <c r="K1028" i="7"/>
  <c r="K1027" i="7"/>
  <c r="K1025" i="7"/>
  <c r="K1023" i="7"/>
  <c r="K1022" i="7"/>
  <c r="K1020" i="7"/>
  <c r="K1019" i="7"/>
  <c r="K1018" i="7"/>
  <c r="K1017" i="7"/>
  <c r="K1016" i="7"/>
  <c r="K1015" i="7"/>
  <c r="K1014" i="7"/>
  <c r="K1013" i="7"/>
  <c r="K1011" i="7"/>
  <c r="K1010" i="7"/>
  <c r="K1008" i="7"/>
  <c r="K1007" i="7"/>
  <c r="K1006" i="7"/>
  <c r="K1005" i="7"/>
  <c r="K1003" i="7"/>
  <c r="K1002" i="7"/>
  <c r="K1001" i="7"/>
  <c r="K1000" i="7"/>
  <c r="K999" i="7"/>
  <c r="K995" i="7"/>
  <c r="K994" i="7"/>
  <c r="K993" i="7"/>
  <c r="K991" i="7"/>
  <c r="K990" i="7"/>
  <c r="K989" i="7"/>
  <c r="K987" i="7"/>
  <c r="K986" i="7"/>
  <c r="K984" i="7"/>
  <c r="K983" i="7"/>
  <c r="K982" i="7"/>
  <c r="K981" i="7"/>
  <c r="K978" i="7"/>
  <c r="K975" i="7"/>
  <c r="K969" i="7"/>
  <c r="K968" i="7"/>
  <c r="K967" i="7"/>
  <c r="K964" i="7"/>
  <c r="K963" i="7"/>
  <c r="K961" i="7"/>
  <c r="K960" i="7"/>
  <c r="K959" i="7"/>
  <c r="K958" i="7"/>
  <c r="K956" i="7"/>
  <c r="K951" i="7"/>
  <c r="K950" i="7"/>
  <c r="K948" i="7"/>
  <c r="K947" i="7"/>
  <c r="K946" i="7"/>
  <c r="K943" i="7"/>
  <c r="K938" i="7"/>
  <c r="K937" i="7"/>
  <c r="K936" i="7"/>
  <c r="K934" i="7"/>
  <c r="K932" i="7"/>
  <c r="K931" i="7"/>
  <c r="K929" i="7"/>
  <c r="K928" i="7"/>
  <c r="K926" i="7"/>
  <c r="K924" i="7"/>
  <c r="K923" i="7"/>
  <c r="K921" i="7"/>
  <c r="K920" i="7"/>
  <c r="K919" i="7"/>
  <c r="K917" i="7"/>
  <c r="K916" i="7"/>
  <c r="K914" i="7"/>
  <c r="K912" i="7"/>
  <c r="K911" i="7"/>
  <c r="K909" i="7"/>
  <c r="K908" i="7"/>
  <c r="K907" i="7"/>
  <c r="K906" i="7"/>
  <c r="K905" i="7"/>
  <c r="K904" i="7"/>
  <c r="K903" i="7"/>
  <c r="K901" i="7"/>
  <c r="K899" i="7"/>
  <c r="K898" i="7"/>
  <c r="K896" i="7"/>
  <c r="K895" i="7"/>
  <c r="K894" i="7"/>
  <c r="K893" i="7"/>
  <c r="K892" i="7"/>
  <c r="K891" i="7"/>
  <c r="K890" i="7"/>
  <c r="K889" i="7"/>
  <c r="K888" i="7"/>
  <c r="K885" i="7"/>
  <c r="K883" i="7"/>
  <c r="K882" i="7"/>
  <c r="K880" i="7"/>
  <c r="K879" i="7"/>
  <c r="K878" i="7"/>
  <c r="K877" i="7"/>
  <c r="K875" i="7"/>
  <c r="K874" i="7"/>
  <c r="K873" i="7"/>
  <c r="K871" i="7"/>
  <c r="K868" i="7"/>
  <c r="K867" i="7"/>
  <c r="K865" i="7"/>
  <c r="K864" i="7"/>
  <c r="K862" i="7"/>
  <c r="K861" i="7"/>
  <c r="K860" i="7"/>
  <c r="K858" i="7"/>
  <c r="K855" i="7"/>
  <c r="K854" i="7"/>
  <c r="K852" i="7"/>
  <c r="K851" i="7"/>
  <c r="K849" i="7"/>
  <c r="K848" i="7"/>
  <c r="K847" i="7"/>
  <c r="K845" i="7"/>
  <c r="K843" i="7"/>
  <c r="K842" i="7"/>
  <c r="K840" i="7"/>
  <c r="K839" i="7"/>
  <c r="K836" i="7"/>
  <c r="K834" i="7"/>
  <c r="K831" i="7"/>
  <c r="K830" i="7"/>
  <c r="K829" i="7"/>
  <c r="K827" i="7"/>
  <c r="K825" i="7"/>
  <c r="K824" i="7"/>
  <c r="K820" i="7"/>
  <c r="K819" i="7"/>
  <c r="K817" i="7"/>
  <c r="K815" i="7"/>
  <c r="K814" i="7"/>
  <c r="K812" i="7"/>
  <c r="K811" i="7"/>
  <c r="K810" i="7"/>
  <c r="K809" i="7"/>
  <c r="K808" i="7"/>
  <c r="K806" i="7"/>
  <c r="K805" i="7"/>
  <c r="K804" i="7"/>
  <c r="K803" i="7"/>
  <c r="K800" i="7"/>
  <c r="K798" i="7"/>
  <c r="K797" i="7"/>
  <c r="K796" i="7"/>
  <c r="K793" i="7"/>
  <c r="K792" i="7"/>
  <c r="K791" i="7"/>
  <c r="K789" i="7"/>
  <c r="K788" i="7"/>
  <c r="K786" i="7"/>
  <c r="K781" i="7"/>
  <c r="K780" i="7"/>
  <c r="K775" i="7"/>
  <c r="K774" i="7"/>
  <c r="K773" i="7"/>
  <c r="K772" i="7"/>
  <c r="K771" i="7"/>
  <c r="K770" i="7"/>
  <c r="K769" i="7"/>
  <c r="K768" i="7"/>
  <c r="K766" i="7"/>
  <c r="K760" i="7"/>
  <c r="K757" i="7"/>
  <c r="K756" i="7"/>
  <c r="K755" i="7"/>
  <c r="K754" i="7"/>
  <c r="K753" i="7"/>
  <c r="K751" i="7"/>
  <c r="K594" i="7"/>
  <c r="K593" i="7"/>
  <c r="K591" i="7"/>
  <c r="K589" i="7"/>
  <c r="K588" i="7"/>
  <c r="K582" i="7"/>
  <c r="K581" i="7"/>
  <c r="K579" i="7"/>
  <c r="K577" i="7"/>
  <c r="K576" i="7"/>
  <c r="K575" i="7"/>
  <c r="K574" i="7"/>
  <c r="K573" i="7"/>
  <c r="K571" i="7"/>
  <c r="K564" i="7"/>
  <c r="K563" i="7"/>
  <c r="K488" i="7"/>
  <c r="K487" i="7"/>
  <c r="K485" i="7"/>
  <c r="K484" i="7"/>
  <c r="K482" i="7"/>
  <c r="K481" i="7"/>
  <c r="K480" i="7"/>
  <c r="K476" i="7"/>
  <c r="K475" i="7"/>
  <c r="K474" i="7"/>
  <c r="K471" i="7"/>
  <c r="K468" i="7"/>
  <c r="K467" i="7"/>
  <c r="K466" i="7"/>
  <c r="K465" i="7"/>
  <c r="K460" i="7"/>
  <c r="K459" i="7"/>
  <c r="K457" i="7"/>
  <c r="K455" i="7"/>
  <c r="K454" i="7"/>
  <c r="K451" i="7"/>
  <c r="K450" i="7"/>
  <c r="K448" i="7"/>
  <c r="K447" i="7"/>
  <c r="K446" i="7"/>
  <c r="K445" i="7"/>
  <c r="K444" i="7"/>
  <c r="K443" i="7"/>
  <c r="K442" i="7"/>
  <c r="K441" i="7"/>
  <c r="K440" i="7"/>
  <c r="K438" i="7"/>
  <c r="K435" i="7"/>
  <c r="K434" i="7"/>
  <c r="K433" i="7"/>
  <c r="K429" i="7"/>
  <c r="K422" i="7"/>
  <c r="K354" i="7"/>
  <c r="K353" i="7"/>
  <c r="K352" i="7"/>
  <c r="K351" i="7"/>
  <c r="K350" i="7"/>
  <c r="K348" i="7"/>
  <c r="K347" i="7"/>
  <c r="K344" i="7"/>
  <c r="K343" i="7"/>
  <c r="K342" i="7"/>
  <c r="K341" i="7"/>
  <c r="K340" i="7"/>
  <c r="K339" i="7"/>
  <c r="K338" i="7"/>
  <c r="K337" i="7"/>
  <c r="K335" i="7"/>
  <c r="K334" i="7"/>
  <c r="K332" i="7"/>
  <c r="K331" i="7"/>
  <c r="K328" i="7"/>
  <c r="K326" i="7"/>
  <c r="K325" i="7"/>
  <c r="K322" i="7"/>
  <c r="K320" i="7"/>
  <c r="K319" i="7"/>
  <c r="K316" i="7"/>
  <c r="K315" i="7"/>
  <c r="K314" i="7"/>
  <c r="K313" i="7"/>
  <c r="K312" i="7"/>
  <c r="K310" i="7"/>
  <c r="K309" i="7"/>
  <c r="K306" i="7"/>
  <c r="K305" i="7"/>
  <c r="K301" i="7"/>
  <c r="K296" i="7"/>
  <c r="K295" i="7"/>
  <c r="K293" i="7"/>
  <c r="K291" i="7"/>
  <c r="K290" i="7"/>
  <c r="K285" i="7"/>
  <c r="K284" i="7"/>
  <c r="K282" i="7"/>
  <c r="K227" i="7"/>
  <c r="K226" i="7"/>
  <c r="K223" i="7"/>
  <c r="K222" i="7"/>
  <c r="K221" i="7"/>
  <c r="K220" i="7"/>
  <c r="K218" i="7"/>
  <c r="K217" i="7"/>
  <c r="K216" i="7"/>
  <c r="K213" i="7"/>
  <c r="K212" i="7"/>
  <c r="K209" i="7"/>
  <c r="K208" i="7"/>
  <c r="K203" i="7"/>
  <c r="K202" i="7"/>
  <c r="K201" i="7"/>
  <c r="K197" i="7"/>
  <c r="K196" i="7"/>
  <c r="K194" i="7"/>
  <c r="K192" i="7"/>
  <c r="K190" i="7"/>
  <c r="K189" i="7"/>
  <c r="K188" i="7"/>
  <c r="K183" i="7"/>
  <c r="K182" i="7"/>
  <c r="K181" i="7"/>
  <c r="K180" i="7"/>
  <c r="K179" i="7"/>
  <c r="K178" i="7"/>
  <c r="K177" i="7"/>
  <c r="K176" i="7"/>
  <c r="K174" i="7"/>
  <c r="K172" i="7"/>
  <c r="K167" i="7"/>
  <c r="K166" i="7"/>
  <c r="K163" i="7"/>
  <c r="K161" i="7"/>
  <c r="K160" i="7"/>
  <c r="K157" i="7"/>
  <c r="K156" i="7"/>
  <c r="K153" i="7"/>
  <c r="K150" i="7"/>
  <c r="K94" i="7"/>
  <c r="K89" i="7"/>
  <c r="K76" i="7"/>
  <c r="K75" i="7"/>
  <c r="K72" i="7"/>
  <c r="K71" i="7"/>
  <c r="K67" i="7"/>
  <c r="K66" i="7"/>
  <c r="K65" i="7"/>
  <c r="K64" i="7"/>
  <c r="K63" i="7"/>
  <c r="K62" i="7"/>
  <c r="K61" i="7"/>
  <c r="K60" i="7"/>
  <c r="K59" i="7"/>
  <c r="K58" i="7"/>
  <c r="K57" i="7"/>
  <c r="K56" i="7"/>
  <c r="K54" i="7"/>
  <c r="K52" i="7"/>
  <c r="K51" i="7"/>
  <c r="K50" i="7"/>
  <c r="K48" i="7"/>
  <c r="K46" i="7"/>
  <c r="K45" i="7"/>
  <c r="K44" i="7"/>
  <c r="K43" i="7"/>
  <c r="K42" i="7"/>
  <c r="K40" i="7"/>
  <c r="K39" i="7"/>
  <c r="K35" i="7"/>
  <c r="K31" i="7"/>
  <c r="K30" i="7"/>
  <c r="K28" i="7"/>
  <c r="K26" i="7"/>
  <c r="K21" i="7"/>
  <c r="K18" i="7"/>
  <c r="K15" i="7"/>
  <c r="K14" i="7"/>
  <c r="K13" i="7"/>
  <c r="K12" i="7"/>
  <c r="K11" i="7"/>
  <c r="S1127" i="7" l="1"/>
  <c r="N2307" i="7"/>
  <c r="N2306" i="7" s="1"/>
  <c r="N2311" i="7"/>
  <c r="N2149" i="7"/>
  <c r="N2156" i="7"/>
  <c r="N2155" i="7" s="1"/>
  <c r="N2159" i="7"/>
  <c r="N2180" i="7"/>
  <c r="N2177" i="7" s="1"/>
  <c r="N2176" i="7" s="1"/>
  <c r="N2188" i="7"/>
  <c r="N2187" i="7" s="1"/>
  <c r="N2209" i="7"/>
  <c r="N2217" i="7"/>
  <c r="N2206" i="7" s="1"/>
  <c r="N2205" i="7" s="1"/>
  <c r="N2222" i="7"/>
  <c r="N2227" i="7"/>
  <c r="N2226" i="7" s="1"/>
  <c r="N2234" i="7"/>
  <c r="N2242" i="7"/>
  <c r="N2252" i="7"/>
  <c r="N2251" i="7" s="1"/>
  <c r="N2250" i="7" s="1"/>
  <c r="N2258" i="7"/>
  <c r="N2255" i="7" s="1"/>
  <c r="N2254" i="7" s="1"/>
  <c r="N2265" i="7"/>
  <c r="N2264" i="7" s="1"/>
  <c r="N2268" i="7"/>
  <c r="N2271" i="7"/>
  <c r="N2274" i="7"/>
  <c r="N2273" i="7" s="1"/>
  <c r="N2282" i="7"/>
  <c r="N2286" i="7"/>
  <c r="N2020" i="7"/>
  <c r="N2019" i="7" s="1"/>
  <c r="N2023" i="7"/>
  <c r="N2022" i="7" s="1"/>
  <c r="N2032" i="7"/>
  <c r="N2043" i="7"/>
  <c r="N2059" i="7"/>
  <c r="N2060" i="7"/>
  <c r="N2064" i="7"/>
  <c r="N2067" i="7"/>
  <c r="N2066" i="7" s="1"/>
  <c r="N2070" i="7"/>
  <c r="N2073" i="7"/>
  <c r="N2080" i="7"/>
  <c r="N2079" i="7" s="1"/>
  <c r="N2083" i="7"/>
  <c r="N2082" i="7" s="1"/>
  <c r="N2077" i="7" s="1"/>
  <c r="N2089" i="7"/>
  <c r="N2094" i="7"/>
  <c r="N2093" i="7" s="1"/>
  <c r="N2096" i="7"/>
  <c r="N2100" i="7"/>
  <c r="N1872" i="7"/>
  <c r="N1885" i="7"/>
  <c r="N1912" i="7"/>
  <c r="N1911" i="7" s="1"/>
  <c r="N1915" i="7"/>
  <c r="N1925" i="7"/>
  <c r="N1924" i="7" s="1"/>
  <c r="N1928" i="7"/>
  <c r="N1927" i="7" s="1"/>
  <c r="N1672" i="7"/>
  <c r="N1676" i="7"/>
  <c r="N1675" i="7" s="1"/>
  <c r="N1691" i="7"/>
  <c r="N1696" i="7"/>
  <c r="N1704" i="7"/>
  <c r="N1703" i="7" s="1"/>
  <c r="N1709" i="7"/>
  <c r="N1712" i="7"/>
  <c r="N1719" i="7"/>
  <c r="N1716" i="7" s="1"/>
  <c r="N1723" i="7"/>
  <c r="N1720" i="7" s="1"/>
  <c r="N1732" i="7"/>
  <c r="N1737" i="7"/>
  <c r="N1740" i="7"/>
  <c r="N1764" i="7"/>
  <c r="N1766" i="7"/>
  <c r="N1769" i="7"/>
  <c r="N1777" i="7"/>
  <c r="N1791" i="7"/>
  <c r="N1790" i="7" s="1"/>
  <c r="N765" i="7"/>
  <c r="N772" i="7"/>
  <c r="N774" i="7"/>
  <c r="N778" i="7"/>
  <c r="N785" i="7"/>
  <c r="N791" i="7"/>
  <c r="N790" i="7" s="1"/>
  <c r="N808" i="7"/>
  <c r="N810" i="7"/>
  <c r="N813" i="7"/>
  <c r="N826" i="7"/>
  <c r="N823" i="7" s="1"/>
  <c r="N832" i="7"/>
  <c r="N844" i="7"/>
  <c r="N852" i="7"/>
  <c r="N850" i="7" s="1"/>
  <c r="N864" i="7"/>
  <c r="N863" i="7" s="1"/>
  <c r="N853" i="7" s="1"/>
  <c r="N877" i="7"/>
  <c r="N879" i="7"/>
  <c r="N876" i="7" s="1"/>
  <c r="N892" i="7"/>
  <c r="N895" i="7"/>
  <c r="N894" i="7" s="1"/>
  <c r="N908" i="7"/>
  <c r="N907" i="7" s="1"/>
  <c r="N897" i="7" s="1"/>
  <c r="N920" i="7"/>
  <c r="N919" i="7" s="1"/>
  <c r="N910" i="7" s="1"/>
  <c r="N925" i="7"/>
  <c r="N933" i="7"/>
  <c r="N930" i="7" s="1"/>
  <c r="N942" i="7"/>
  <c r="N950" i="7"/>
  <c r="N949" i="7" s="1"/>
  <c r="N955" i="7"/>
  <c r="N963" i="7"/>
  <c r="N962" i="7" s="1"/>
  <c r="N981" i="7"/>
  <c r="N983" i="7"/>
  <c r="N998" i="7"/>
  <c r="N985" i="7" s="1"/>
  <c r="N1021" i="7"/>
  <c r="N1033" i="7"/>
  <c r="N1032" i="7" s="1"/>
  <c r="N1051" i="7"/>
  <c r="N1036" i="7" s="1"/>
  <c r="N1035" i="7" s="1"/>
  <c r="N1075" i="7"/>
  <c r="N1090" i="7"/>
  <c r="N1092" i="7"/>
  <c r="N1107" i="7"/>
  <c r="N1120" i="7"/>
  <c r="N1122" i="7"/>
  <c r="N1125" i="7"/>
  <c r="N1142" i="7"/>
  <c r="N1155" i="7"/>
  <c r="N1157" i="7"/>
  <c r="N1174" i="7"/>
  <c r="N1160" i="7" s="1"/>
  <c r="N1198" i="7"/>
  <c r="N1197" i="7" s="1"/>
  <c r="N1202" i="7"/>
  <c r="N1214" i="7"/>
  <c r="N1217" i="7"/>
  <c r="N1232" i="7"/>
  <c r="N1243" i="7"/>
  <c r="N1240" i="7" s="1"/>
  <c r="N1250" i="7"/>
  <c r="N1247" i="7" s="1"/>
  <c r="N1258" i="7"/>
  <c r="N1255" i="7" s="1"/>
  <c r="N1266" i="7"/>
  <c r="N1263" i="7" s="1"/>
  <c r="N1275" i="7"/>
  <c r="N1272" i="7" s="1"/>
  <c r="N1283" i="7"/>
  <c r="N1280" i="7" s="1"/>
  <c r="N1291" i="7"/>
  <c r="N1288" i="7" s="1"/>
  <c r="N1299" i="7"/>
  <c r="N1296" i="7" s="1"/>
  <c r="N1307" i="7"/>
  <c r="N1304" i="7" s="1"/>
  <c r="N1315" i="7"/>
  <c r="N1323" i="7"/>
  <c r="N1312" i="7" s="1"/>
  <c r="N1337" i="7"/>
  <c r="N1334" i="7" s="1"/>
  <c r="N1344" i="7"/>
  <c r="N1352" i="7"/>
  <c r="N1360" i="7"/>
  <c r="N1357" i="7" s="1"/>
  <c r="N1367" i="7"/>
  <c r="N1374" i="7"/>
  <c r="N1382" i="7"/>
  <c r="N1390" i="7"/>
  <c r="N1387" i="7" s="1"/>
  <c r="N1397" i="7"/>
  <c r="N1394" i="7" s="1"/>
  <c r="N1405" i="7"/>
  <c r="N1402" i="7" s="1"/>
  <c r="N1412" i="7"/>
  <c r="N1409" i="7" s="1"/>
  <c r="N1419" i="7"/>
  <c r="N1416" i="7" s="1"/>
  <c r="N1427" i="7"/>
  <c r="N1424" i="7" s="1"/>
  <c r="N1434" i="7"/>
  <c r="N1431" i="7" s="1"/>
  <c r="N1443" i="7"/>
  <c r="N1451" i="7"/>
  <c r="N1460" i="7"/>
  <c r="N1468" i="7"/>
  <c r="N1475" i="7"/>
  <c r="N1477" i="7"/>
  <c r="N1482" i="7"/>
  <c r="N1490" i="7"/>
  <c r="N1499" i="7"/>
  <c r="N1507" i="7"/>
  <c r="N1516" i="7"/>
  <c r="N1525" i="7"/>
  <c r="N1537" i="7"/>
  <c r="N1546" i="7"/>
  <c r="N1554" i="7"/>
  <c r="N1556" i="7"/>
  <c r="N1561" i="7"/>
  <c r="N1568" i="7"/>
  <c r="N1577" i="7"/>
  <c r="N1576" i="7" s="1"/>
  <c r="N1579" i="7"/>
  <c r="N1588" i="7"/>
  <c r="N1585" i="7" s="1"/>
  <c r="N1600" i="7"/>
  <c r="N1597" i="7" s="1"/>
  <c r="N559" i="7"/>
  <c r="N558" i="7" s="1"/>
  <c r="N562" i="7"/>
  <c r="N581" i="7"/>
  <c r="N580" i="7" s="1"/>
  <c r="N586" i="7"/>
  <c r="N593" i="7"/>
  <c r="N592" i="7" s="1"/>
  <c r="N597" i="7"/>
  <c r="N599" i="7"/>
  <c r="N631" i="7"/>
  <c r="N694" i="7"/>
  <c r="N693" i="7" s="1"/>
  <c r="N428" i="7"/>
  <c r="N433" i="7"/>
  <c r="N430" i="7" s="1"/>
  <c r="N440" i="7"/>
  <c r="N442" i="7"/>
  <c r="N452" i="7"/>
  <c r="N459" i="7"/>
  <c r="N458" i="7" s="1"/>
  <c r="N462" i="7"/>
  <c r="N465" i="7"/>
  <c r="N464" i="7" s="1"/>
  <c r="N467" i="7"/>
  <c r="N469" i="7"/>
  <c r="N473" i="7"/>
  <c r="N484" i="7"/>
  <c r="N483" i="7" s="1"/>
  <c r="N487" i="7"/>
  <c r="N486" i="7" s="1"/>
  <c r="N283" i="7"/>
  <c r="N281" i="7" s="1"/>
  <c r="N289" i="7"/>
  <c r="N286" i="7" s="1"/>
  <c r="N300" i="7"/>
  <c r="N297" i="7" s="1"/>
  <c r="N311" i="7"/>
  <c r="N307" i="7" s="1"/>
  <c r="N308" i="7" s="1"/>
  <c r="N321" i="7"/>
  <c r="N327" i="7"/>
  <c r="N330" i="7"/>
  <c r="N337" i="7"/>
  <c r="N340" i="7"/>
  <c r="N349" i="7"/>
  <c r="N346" i="7" s="1"/>
  <c r="N345" i="7" s="1"/>
  <c r="N145" i="7"/>
  <c r="N144" i="7" s="1"/>
  <c r="N149" i="7"/>
  <c r="N148" i="7" s="1"/>
  <c r="N152" i="7"/>
  <c r="N157" i="7"/>
  <c r="N155" i="7" s="1"/>
  <c r="N159" i="7"/>
  <c r="N162" i="7"/>
  <c r="N165" i="7"/>
  <c r="N164" i="7" s="1"/>
  <c r="N169" i="7"/>
  <c r="N176" i="7"/>
  <c r="N181" i="7"/>
  <c r="N187" i="7"/>
  <c r="N198" i="7"/>
  <c r="N204" i="7"/>
  <c r="N208" i="7"/>
  <c r="N207" i="7" s="1"/>
  <c r="N211" i="7"/>
  <c r="N210" i="7" s="1"/>
  <c r="N220" i="7"/>
  <c r="N222" i="7"/>
  <c r="N225" i="7"/>
  <c r="N224" i="7" s="1"/>
  <c r="N88" i="7"/>
  <c r="N87" i="7" s="1"/>
  <c r="N93" i="7"/>
  <c r="N92" i="7" s="1"/>
  <c r="N10" i="7"/>
  <c r="N9" i="7" s="1"/>
  <c r="N17" i="7"/>
  <c r="N16" i="7" s="1"/>
  <c r="N20" i="7"/>
  <c r="N19" i="7" s="1"/>
  <c r="N25" i="7"/>
  <c r="N24" i="7" s="1"/>
  <c r="N23" i="7" s="1"/>
  <c r="N22" i="7" s="1"/>
  <c r="N29" i="7"/>
  <c r="N27" i="7" s="1"/>
  <c r="N34" i="7"/>
  <c r="N42" i="7"/>
  <c r="N44" i="7"/>
  <c r="N49" i="7"/>
  <c r="N48" i="7" s="1"/>
  <c r="N56" i="7"/>
  <c r="N58" i="7"/>
  <c r="N70" i="7"/>
  <c r="N68" i="7" s="1"/>
  <c r="N67" i="7" s="1"/>
  <c r="N66" i="7" s="1"/>
  <c r="N65" i="7" s="1"/>
  <c r="N74" i="7"/>
  <c r="J2307" i="7"/>
  <c r="J2306" i="7" s="1"/>
  <c r="J2314" i="7"/>
  <c r="J2311" i="7" s="1"/>
  <c r="J2149" i="7"/>
  <c r="J2145" i="7" s="1"/>
  <c r="J2146" i="7" s="1"/>
  <c r="J2155" i="7"/>
  <c r="J2159" i="7"/>
  <c r="J2166" i="7"/>
  <c r="J2162" i="7" s="1"/>
  <c r="J2161" i="7" s="1"/>
  <c r="J2180" i="7"/>
  <c r="J2177" i="7" s="1"/>
  <c r="J2176" i="7" s="1"/>
  <c r="J2188" i="7"/>
  <c r="J2193" i="7"/>
  <c r="J2209" i="7"/>
  <c r="J2206" i="7" s="1"/>
  <c r="J2205" i="7" s="1"/>
  <c r="J2217" i="7"/>
  <c r="J2222" i="7"/>
  <c r="J2227" i="7"/>
  <c r="J2226" i="7" s="1"/>
  <c r="J2234" i="7"/>
  <c r="J2237" i="7"/>
  <c r="J2242" i="7"/>
  <c r="J2251" i="7"/>
  <c r="J2250" i="7" s="1"/>
  <c r="J2258" i="7"/>
  <c r="J2255" i="7" s="1"/>
  <c r="J2254" i="7" s="1"/>
  <c r="J2265" i="7"/>
  <c r="J2264" i="7" s="1"/>
  <c r="J2268" i="7"/>
  <c r="J2271" i="7"/>
  <c r="J2277" i="7"/>
  <c r="J2274" i="7" s="1"/>
  <c r="J2273" i="7" s="1"/>
  <c r="J2293" i="7"/>
  <c r="J2286" i="7" s="1"/>
  <c r="J2283" i="7" s="1"/>
  <c r="J2282" i="7" s="1"/>
  <c r="J2011" i="7"/>
  <c r="J2014" i="7"/>
  <c r="J2032" i="7"/>
  <c r="J2043" i="7"/>
  <c r="J2060" i="7"/>
  <c r="J2059" i="7" s="1"/>
  <c r="J2064" i="7"/>
  <c r="J2063" i="7" s="1"/>
  <c r="J2070" i="7"/>
  <c r="J2073" i="7"/>
  <c r="J2077" i="7"/>
  <c r="J2082" i="7"/>
  <c r="J2089" i="7"/>
  <c r="J2086" i="7" s="1"/>
  <c r="J2085" i="7" s="1"/>
  <c r="J2100" i="7"/>
  <c r="J2097" i="7" s="1"/>
  <c r="J2096" i="7" s="1"/>
  <c r="J1873" i="7"/>
  <c r="J1872" i="7" s="1"/>
  <c r="J1888" i="7"/>
  <c r="J1885" i="7" s="1"/>
  <c r="J1884" i="7" s="1"/>
  <c r="J1907" i="7"/>
  <c r="J1915" i="7"/>
  <c r="J1914" i="7" s="1"/>
  <c r="J1928" i="7"/>
  <c r="J1927" i="7" s="1"/>
  <c r="J1673" i="7"/>
  <c r="J1672" i="7" s="1"/>
  <c r="J1676" i="7"/>
  <c r="J1675" i="7" s="1"/>
  <c r="J1692" i="7"/>
  <c r="J1691" i="7" s="1"/>
  <c r="J1698" i="7"/>
  <c r="J1696" i="7" s="1"/>
  <c r="J1703" i="7"/>
  <c r="J1709" i="7"/>
  <c r="J1723" i="7"/>
  <c r="J1732" i="7"/>
  <c r="J1746" i="7"/>
  <c r="J1743" i="7" s="1"/>
  <c r="J1756" i="7"/>
  <c r="J1777" i="7"/>
  <c r="J1774" i="7" s="1"/>
  <c r="J1762" i="7" s="1"/>
  <c r="J750" i="7"/>
  <c r="J765" i="7"/>
  <c r="J778" i="7"/>
  <c r="J785" i="7"/>
  <c r="J782" i="7" s="1"/>
  <c r="J790" i="7"/>
  <c r="J799" i="7"/>
  <c r="J807" i="7"/>
  <c r="J816" i="7"/>
  <c r="J813" i="7" s="1"/>
  <c r="J826" i="7"/>
  <c r="J823" i="7" s="1"/>
  <c r="J835" i="7"/>
  <c r="J832" i="7" s="1"/>
  <c r="J844" i="7"/>
  <c r="J850" i="7"/>
  <c r="J853" i="7"/>
  <c r="J863" i="7"/>
  <c r="J876" i="7"/>
  <c r="J884" i="7"/>
  <c r="J881" i="7" s="1"/>
  <c r="J900" i="7"/>
  <c r="J897" i="7" s="1"/>
  <c r="J913" i="7"/>
  <c r="J910" i="7" s="1"/>
  <c r="J925" i="7"/>
  <c r="J922" i="7" s="1"/>
  <c r="J933" i="7"/>
  <c r="J930" i="7" s="1"/>
  <c r="J949" i="7"/>
  <c r="J955" i="7"/>
  <c r="J962" i="7"/>
  <c r="J966" i="7"/>
  <c r="J980" i="7"/>
  <c r="J971" i="7" s="1"/>
  <c r="J998" i="7"/>
  <c r="J1012" i="7"/>
  <c r="J1021" i="7"/>
  <c r="J1042" i="7"/>
  <c r="J1051" i="7"/>
  <c r="J1089" i="7"/>
  <c r="J1098" i="7"/>
  <c r="J1107" i="7"/>
  <c r="J1119" i="7"/>
  <c r="J1132" i="7"/>
  <c r="J1142" i="7"/>
  <c r="J1154" i="7"/>
  <c r="J1163" i="7"/>
  <c r="J1174" i="7"/>
  <c r="J1190" i="7"/>
  <c r="J1197" i="7"/>
  <c r="J1202" i="7"/>
  <c r="J1221" i="7"/>
  <c r="J1243" i="7"/>
  <c r="J1240" i="7" s="1"/>
  <c r="J1250" i="7"/>
  <c r="J1247" i="7" s="1"/>
  <c r="J1258" i="7"/>
  <c r="J1255" i="7" s="1"/>
  <c r="J1263" i="7"/>
  <c r="J1275" i="7"/>
  <c r="J1272" i="7" s="1"/>
  <c r="J1283" i="7"/>
  <c r="J1291" i="7"/>
  <c r="J1288" i="7" s="1"/>
  <c r="J1299" i="7"/>
  <c r="J1296" i="7" s="1"/>
  <c r="J1307" i="7"/>
  <c r="J1304" i="7" s="1"/>
  <c r="J1315" i="7"/>
  <c r="J1312" i="7" s="1"/>
  <c r="J1326" i="7"/>
  <c r="J1337" i="7"/>
  <c r="J1344" i="7"/>
  <c r="J1341" i="7" s="1"/>
  <c r="J1352" i="7"/>
  <c r="J1349" i="7" s="1"/>
  <c r="J1360" i="7"/>
  <c r="J1357" i="7" s="1"/>
  <c r="J1367" i="7"/>
  <c r="J1364" i="7" s="1"/>
  <c r="J1374" i="7"/>
  <c r="J1371" i="7" s="1"/>
  <c r="J1382" i="7"/>
  <c r="J1379" i="7" s="1"/>
  <c r="J1390" i="7"/>
  <c r="J1387" i="7" s="1"/>
  <c r="J1397" i="7"/>
  <c r="J1394" i="7" s="1"/>
  <c r="J1405" i="7"/>
  <c r="J1402" i="7" s="1"/>
  <c r="J1412" i="7"/>
  <c r="J1409" i="7" s="1"/>
  <c r="J1419" i="7"/>
  <c r="J1416" i="7" s="1"/>
  <c r="J1427" i="7"/>
  <c r="J1424" i="7" s="1"/>
  <c r="J1434" i="7"/>
  <c r="J1431" i="7" s="1"/>
  <c r="J1443" i="7"/>
  <c r="J1451" i="7"/>
  <c r="J1460" i="7"/>
  <c r="J1468" i="7"/>
  <c r="J1475" i="7"/>
  <c r="J1477" i="7"/>
  <c r="J1482" i="7"/>
  <c r="J1490" i="7"/>
  <c r="J1499" i="7"/>
  <c r="J1507" i="7"/>
  <c r="J1516" i="7"/>
  <c r="J1525" i="7"/>
  <c r="J1537" i="7"/>
  <c r="J1546" i="7"/>
  <c r="J1553" i="7"/>
  <c r="J1561" i="7"/>
  <c r="J1568" i="7"/>
  <c r="J1577" i="7"/>
  <c r="J1576" i="7" s="1"/>
  <c r="J1579" i="7"/>
  <c r="J1588" i="7"/>
  <c r="J1585" i="7" s="1"/>
  <c r="J559" i="7"/>
  <c r="J558" i="7" s="1"/>
  <c r="J565" i="7"/>
  <c r="J562" i="7" s="1"/>
  <c r="J580" i="7"/>
  <c r="J586" i="7"/>
  <c r="J592" i="7"/>
  <c r="J596" i="7"/>
  <c r="J595" i="7" s="1"/>
  <c r="J693" i="7"/>
  <c r="J428" i="7"/>
  <c r="J430" i="7"/>
  <c r="J437" i="7"/>
  <c r="J439" i="7"/>
  <c r="J452" i="7"/>
  <c r="J458" i="7"/>
  <c r="J462" i="7"/>
  <c r="J464" i="7"/>
  <c r="J470" i="7"/>
  <c r="J469" i="7" s="1"/>
  <c r="J473" i="7"/>
  <c r="J479" i="7"/>
  <c r="J483" i="7"/>
  <c r="J486" i="7"/>
  <c r="J283" i="7"/>
  <c r="J281" i="7" s="1"/>
  <c r="J289" i="7"/>
  <c r="J286" i="7" s="1"/>
  <c r="J300" i="7"/>
  <c r="J311" i="7"/>
  <c r="J307" i="7" s="1"/>
  <c r="J308" i="7" s="1"/>
  <c r="J321" i="7"/>
  <c r="J327" i="7"/>
  <c r="J330" i="7"/>
  <c r="J336" i="7"/>
  <c r="J349" i="7"/>
  <c r="J346" i="7" s="1"/>
  <c r="J345" i="7" s="1"/>
  <c r="N151" i="7" l="1"/>
  <c r="N2239" i="7"/>
  <c r="N2232" i="7" s="1"/>
  <c r="N2221" i="7"/>
  <c r="J1558" i="7"/>
  <c r="R1558" i="7" s="1"/>
  <c r="J1009" i="7"/>
  <c r="N1440" i="7"/>
  <c r="J329" i="7"/>
  <c r="J866" i="7"/>
  <c r="J2058" i="7"/>
  <c r="N1496" i="7"/>
  <c r="N980" i="7"/>
  <c r="N971" i="7" s="1"/>
  <c r="N970" i="7" s="1"/>
  <c r="J1457" i="7"/>
  <c r="J794" i="7"/>
  <c r="J1129" i="7"/>
  <c r="J1187" i="7"/>
  <c r="N1479" i="7"/>
  <c r="N1129" i="7"/>
  <c r="J318" i="7"/>
  <c r="J317" i="7" s="1"/>
  <c r="J472" i="7"/>
  <c r="J461" i="7"/>
  <c r="N2267" i="7"/>
  <c r="J1440" i="7"/>
  <c r="R1440" i="7" s="1"/>
  <c r="J449" i="7"/>
  <c r="J436" i="7" s="1"/>
  <c r="J970" i="7"/>
  <c r="R970" i="7" s="1"/>
  <c r="J2267" i="7"/>
  <c r="R2267" i="7" s="1"/>
  <c r="N86" i="7"/>
  <c r="H6" i="8" s="1"/>
  <c r="N318" i="7"/>
  <c r="N317" i="7" s="1"/>
  <c r="N417" i="7"/>
  <c r="N1558" i="7"/>
  <c r="N1457" i="7"/>
  <c r="N1009" i="7"/>
  <c r="N939" i="7"/>
  <c r="N841" i="7"/>
  <c r="N782" i="7"/>
  <c r="R782" i="7" s="1"/>
  <c r="N1736" i="7"/>
  <c r="N1731" i="7" s="1"/>
  <c r="N1695" i="7"/>
  <c r="N2305" i="7"/>
  <c r="N2304" i="7" s="1"/>
  <c r="H16" i="8" s="1"/>
  <c r="J2239" i="7"/>
  <c r="J2232" i="7" s="1"/>
  <c r="N762" i="7"/>
  <c r="N1914" i="7"/>
  <c r="N1905" i="7" s="1"/>
  <c r="N1871" i="7" s="1"/>
  <c r="H13" i="8" s="1"/>
  <c r="J1534" i="7"/>
  <c r="N158" i="7"/>
  <c r="N147" i="7" s="1"/>
  <c r="N439" i="7"/>
  <c r="N1513" i="7"/>
  <c r="N1474" i="7"/>
  <c r="N952" i="7"/>
  <c r="N866" i="7"/>
  <c r="N807" i="7"/>
  <c r="N794" i="7" s="1"/>
  <c r="N1774" i="7"/>
  <c r="R1774" i="7" s="1"/>
  <c r="N2146" i="7"/>
  <c r="N2145" i="7" s="1"/>
  <c r="R2145" i="7" s="1"/>
  <c r="N2310" i="7"/>
  <c r="R2310" i="7" s="1"/>
  <c r="N2186" i="7"/>
  <c r="N2063" i="7"/>
  <c r="R2063" i="7" s="1"/>
  <c r="N2086" i="7"/>
  <c r="N2085" i="7" s="1"/>
  <c r="R2085" i="7" s="1"/>
  <c r="N2010" i="7"/>
  <c r="N2069" i="7"/>
  <c r="N1711" i="7"/>
  <c r="N1708" i="7" s="1"/>
  <c r="N1763" i="7"/>
  <c r="N891" i="7"/>
  <c r="N881" i="7" s="1"/>
  <c r="N1119" i="7"/>
  <c r="N1095" i="7" s="1"/>
  <c r="N1154" i="7"/>
  <c r="R1154" i="7" s="1"/>
  <c r="N1553" i="7"/>
  <c r="N1534" i="7" s="1"/>
  <c r="N1575" i="7"/>
  <c r="N1333" i="7"/>
  <c r="N1089" i="7"/>
  <c r="N1062" i="7" s="1"/>
  <c r="N1187" i="7"/>
  <c r="R1187" i="7" s="1"/>
  <c r="N1220" i="7"/>
  <c r="N583" i="7"/>
  <c r="N561" i="7" s="1"/>
  <c r="N596" i="7"/>
  <c r="N595" i="7" s="1"/>
  <c r="N449" i="7"/>
  <c r="N461" i="7"/>
  <c r="N472" i="7"/>
  <c r="N336" i="7"/>
  <c r="N329" i="7" s="1"/>
  <c r="R329" i="7" s="1"/>
  <c r="N175" i="7"/>
  <c r="N168" i="7" s="1"/>
  <c r="N195" i="7"/>
  <c r="N219" i="7"/>
  <c r="N214" i="7" s="1"/>
  <c r="N41" i="7"/>
  <c r="N32" i="7" s="1"/>
  <c r="N55" i="7"/>
  <c r="N47" i="7" s="1"/>
  <c r="N8" i="7"/>
  <c r="J2305" i="7"/>
  <c r="J2304" i="7" s="1"/>
  <c r="E16" i="8" s="1"/>
  <c r="J2187" i="7"/>
  <c r="R2187" i="7" s="1"/>
  <c r="J2221" i="7"/>
  <c r="J2069" i="7"/>
  <c r="J2029" i="7"/>
  <c r="J2010" i="7" s="1"/>
  <c r="J1905" i="7"/>
  <c r="J1871" i="7" s="1"/>
  <c r="E13" i="8" s="1"/>
  <c r="J1695" i="7"/>
  <c r="J1731" i="7"/>
  <c r="J1720" i="7"/>
  <c r="J1708" i="7" s="1"/>
  <c r="J1753" i="7"/>
  <c r="J1752" i="7" s="1"/>
  <c r="R1752" i="7" s="1"/>
  <c r="J841" i="7"/>
  <c r="J939" i="7"/>
  <c r="J952" i="7"/>
  <c r="J985" i="7"/>
  <c r="J1160" i="7"/>
  <c r="R1160" i="7" s="1"/>
  <c r="J1229" i="7"/>
  <c r="R1229" i="7" s="1"/>
  <c r="J1280" i="7"/>
  <c r="J1334" i="7"/>
  <c r="R1349" i="7"/>
  <c r="J1474" i="7"/>
  <c r="J1479" i="7"/>
  <c r="R1479" i="7" s="1"/>
  <c r="J1496" i="7"/>
  <c r="J1513" i="7"/>
  <c r="J1095" i="7"/>
  <c r="J1062" i="7"/>
  <c r="J762" i="7"/>
  <c r="J777" i="7"/>
  <c r="R777" i="7" s="1"/>
  <c r="J1039" i="7"/>
  <c r="R1039" i="7" s="1"/>
  <c r="J1597" i="7"/>
  <c r="J1575" i="7" s="1"/>
  <c r="J583" i="7"/>
  <c r="J561" i="7" s="1"/>
  <c r="J417" i="7"/>
  <c r="J297" i="7"/>
  <c r="J145" i="7"/>
  <c r="J144" i="7" s="1"/>
  <c r="R144" i="7" s="1"/>
  <c r="R146" i="7"/>
  <c r="J149" i="7"/>
  <c r="J148" i="7" s="1"/>
  <c r="R148" i="7" s="1"/>
  <c r="J152" i="7"/>
  <c r="J155" i="7"/>
  <c r="R155" i="7" s="1"/>
  <c r="J159" i="7"/>
  <c r="R159" i="7" s="1"/>
  <c r="J162" i="7"/>
  <c r="J165" i="7"/>
  <c r="J164" i="7" s="1"/>
  <c r="R164" i="7" s="1"/>
  <c r="R170" i="7"/>
  <c r="J169" i="7"/>
  <c r="J175" i="7"/>
  <c r="R185" i="7"/>
  <c r="R191" i="7"/>
  <c r="J187" i="7"/>
  <c r="J198" i="7"/>
  <c r="J204" i="7"/>
  <c r="R204" i="7" s="1"/>
  <c r="J207" i="7"/>
  <c r="R207" i="7" s="1"/>
  <c r="J211" i="7"/>
  <c r="J210" i="7" s="1"/>
  <c r="R210" i="7" s="1"/>
  <c r="J215" i="7"/>
  <c r="R215" i="7" s="1"/>
  <c r="J219" i="7"/>
  <c r="J225" i="7"/>
  <c r="J224" i="7" s="1"/>
  <c r="J88" i="7"/>
  <c r="R91" i="7"/>
  <c r="J93" i="7"/>
  <c r="J95" i="7"/>
  <c r="J10" i="7"/>
  <c r="J9" i="7" s="1"/>
  <c r="R9" i="7" s="1"/>
  <c r="J17" i="7"/>
  <c r="R17" i="7" s="1"/>
  <c r="J20" i="7"/>
  <c r="J19" i="7" s="1"/>
  <c r="R19" i="7" s="1"/>
  <c r="J25" i="7"/>
  <c r="J24" i="7" s="1"/>
  <c r="J29" i="7"/>
  <c r="R29" i="7" s="1"/>
  <c r="J37" i="7"/>
  <c r="J41" i="7"/>
  <c r="J49" i="7"/>
  <c r="J55" i="7"/>
  <c r="R55" i="7" s="1"/>
  <c r="J70" i="7"/>
  <c r="J74" i="7"/>
  <c r="R2306" i="7"/>
  <c r="R2307" i="7"/>
  <c r="R2308" i="7"/>
  <c r="R2309" i="7"/>
  <c r="S2309" i="7"/>
  <c r="R2311" i="7"/>
  <c r="R2312" i="7"/>
  <c r="S2312" i="7"/>
  <c r="R2313" i="7"/>
  <c r="S2313" i="7"/>
  <c r="R2314" i="7"/>
  <c r="R2315" i="7"/>
  <c r="S2315" i="7"/>
  <c r="R2316" i="7"/>
  <c r="S2316" i="7"/>
  <c r="R2317" i="7"/>
  <c r="S2317" i="7"/>
  <c r="R2318" i="7"/>
  <c r="S2318" i="7"/>
  <c r="R2147" i="7"/>
  <c r="S2147" i="7"/>
  <c r="R2148" i="7"/>
  <c r="S2148" i="7"/>
  <c r="R2149" i="7"/>
  <c r="R2150" i="7"/>
  <c r="S2150" i="7"/>
  <c r="R2151" i="7"/>
  <c r="R2152" i="7"/>
  <c r="R2153" i="7"/>
  <c r="R2154" i="7"/>
  <c r="R2155" i="7"/>
  <c r="R2156" i="7"/>
  <c r="R2157" i="7"/>
  <c r="S2157" i="7"/>
  <c r="R2158" i="7"/>
  <c r="S2158" i="7"/>
  <c r="R2159" i="7"/>
  <c r="R2160" i="7"/>
  <c r="R2161" i="7"/>
  <c r="R2162" i="7"/>
  <c r="R2163" i="7"/>
  <c r="S2163" i="7"/>
  <c r="R2164" i="7"/>
  <c r="R2165" i="7"/>
  <c r="R2166" i="7"/>
  <c r="R2167" i="7"/>
  <c r="R2168" i="7"/>
  <c r="R2169" i="7"/>
  <c r="R2170" i="7"/>
  <c r="R2171" i="7"/>
  <c r="R2172" i="7"/>
  <c r="R2173" i="7"/>
  <c r="R2174" i="7"/>
  <c r="S2174" i="7"/>
  <c r="R2175" i="7"/>
  <c r="S2175" i="7"/>
  <c r="R2176" i="7"/>
  <c r="R2177" i="7"/>
  <c r="R2178" i="7"/>
  <c r="R2179" i="7"/>
  <c r="R2180" i="7"/>
  <c r="R2181" i="7"/>
  <c r="R2182" i="7"/>
  <c r="R2183" i="7"/>
  <c r="R2184" i="7"/>
  <c r="R2185" i="7"/>
  <c r="S2185" i="7"/>
  <c r="R2188" i="7"/>
  <c r="R2189" i="7"/>
  <c r="S2189" i="7"/>
  <c r="R2190" i="7"/>
  <c r="S2190" i="7"/>
  <c r="R2191" i="7"/>
  <c r="S2191" i="7"/>
  <c r="R2193" i="7"/>
  <c r="R2194" i="7"/>
  <c r="R2195" i="7"/>
  <c r="S2195" i="7"/>
  <c r="R2196" i="7"/>
  <c r="S2196" i="7"/>
  <c r="R2197" i="7"/>
  <c r="S2197" i="7"/>
  <c r="R2198" i="7"/>
  <c r="S2198" i="7"/>
  <c r="R2199" i="7"/>
  <c r="S2199" i="7"/>
  <c r="R2200" i="7"/>
  <c r="S2200" i="7"/>
  <c r="R2201" i="7"/>
  <c r="S2201" i="7"/>
  <c r="R2202" i="7"/>
  <c r="S2202" i="7"/>
  <c r="R2203" i="7"/>
  <c r="S2203" i="7"/>
  <c r="R2204" i="7"/>
  <c r="S2204" i="7"/>
  <c r="R2205" i="7"/>
  <c r="R2206" i="7"/>
  <c r="R2207" i="7"/>
  <c r="R2208" i="7"/>
  <c r="S2208" i="7"/>
  <c r="R2209" i="7"/>
  <c r="R2210" i="7"/>
  <c r="S2210" i="7"/>
  <c r="R2211" i="7"/>
  <c r="R2212" i="7"/>
  <c r="R2213" i="7"/>
  <c r="S2213" i="7"/>
  <c r="R2214" i="7"/>
  <c r="R2215" i="7"/>
  <c r="R2216" i="7"/>
  <c r="R2217" i="7"/>
  <c r="R2218" i="7"/>
  <c r="S2218" i="7"/>
  <c r="R2219" i="7"/>
  <c r="S2219" i="7"/>
  <c r="R2220" i="7"/>
  <c r="S2220" i="7"/>
  <c r="R2222" i="7"/>
  <c r="R2223" i="7"/>
  <c r="S2223" i="7"/>
  <c r="R2224" i="7"/>
  <c r="S2224" i="7"/>
  <c r="R2225" i="7"/>
  <c r="S2225" i="7"/>
  <c r="R2226" i="7"/>
  <c r="R2227" i="7"/>
  <c r="R2228" i="7"/>
  <c r="S2228" i="7"/>
  <c r="R2229" i="7"/>
  <c r="S2229" i="7"/>
  <c r="R2230" i="7"/>
  <c r="R2231" i="7"/>
  <c r="S2231" i="7"/>
  <c r="R2233" i="7"/>
  <c r="S2233" i="7"/>
  <c r="R2234" i="7"/>
  <c r="R2235" i="7"/>
  <c r="S2235" i="7"/>
  <c r="R2236" i="7"/>
  <c r="S2236" i="7"/>
  <c r="R2237" i="7"/>
  <c r="R2238" i="7"/>
  <c r="R2240" i="7"/>
  <c r="R2241" i="7"/>
  <c r="R2242" i="7"/>
  <c r="R2243" i="7"/>
  <c r="S2243" i="7"/>
  <c r="R2244" i="7"/>
  <c r="S2244" i="7"/>
  <c r="R2245" i="7"/>
  <c r="S2245" i="7"/>
  <c r="R2246" i="7"/>
  <c r="S2246" i="7"/>
  <c r="R2247" i="7"/>
  <c r="S2247" i="7"/>
  <c r="R2248" i="7"/>
  <c r="R2249" i="7"/>
  <c r="R2250" i="7"/>
  <c r="R2251" i="7"/>
  <c r="R2252" i="7"/>
  <c r="R2253" i="7"/>
  <c r="S2253" i="7"/>
  <c r="R2254" i="7"/>
  <c r="R2255" i="7"/>
  <c r="R2256" i="7"/>
  <c r="R2257" i="7"/>
  <c r="R2258" i="7"/>
  <c r="R2259" i="7"/>
  <c r="S2259" i="7"/>
  <c r="R2260" i="7"/>
  <c r="R2261" i="7"/>
  <c r="S2261" i="7"/>
  <c r="R2262" i="7"/>
  <c r="R2263" i="7"/>
  <c r="R2264" i="7"/>
  <c r="R2265" i="7"/>
  <c r="R2266" i="7"/>
  <c r="R2268" i="7"/>
  <c r="R2269" i="7"/>
  <c r="R2270" i="7"/>
  <c r="S2270" i="7"/>
  <c r="R2271" i="7"/>
  <c r="R2272" i="7"/>
  <c r="R2273" i="7"/>
  <c r="R2274" i="7"/>
  <c r="R2275" i="7"/>
  <c r="S2275" i="7"/>
  <c r="R2276" i="7"/>
  <c r="R2277" i="7"/>
  <c r="R2278" i="7"/>
  <c r="S2278" i="7"/>
  <c r="R2279" i="7"/>
  <c r="S2279" i="7"/>
  <c r="R2280" i="7"/>
  <c r="S2280" i="7"/>
  <c r="R2281" i="7"/>
  <c r="S2281" i="7"/>
  <c r="R2282" i="7"/>
  <c r="R2283" i="7"/>
  <c r="R2284" i="7"/>
  <c r="R2285" i="7"/>
  <c r="R2286" i="7"/>
  <c r="R2287" i="7"/>
  <c r="S2287" i="7"/>
  <c r="R2288" i="7"/>
  <c r="S2288" i="7"/>
  <c r="R2289" i="7"/>
  <c r="S2289" i="7"/>
  <c r="R2290" i="7"/>
  <c r="R2291" i="7"/>
  <c r="S2291" i="7"/>
  <c r="R2292" i="7"/>
  <c r="R2293" i="7"/>
  <c r="R2011" i="7"/>
  <c r="R2012" i="7"/>
  <c r="R2013" i="7"/>
  <c r="S2013" i="7"/>
  <c r="R2014" i="7"/>
  <c r="R2019" i="7"/>
  <c r="R2020" i="7"/>
  <c r="R2021" i="7"/>
  <c r="R2022" i="7"/>
  <c r="R2023" i="7"/>
  <c r="R2024" i="7"/>
  <c r="R2025" i="7"/>
  <c r="R2026" i="7"/>
  <c r="S2026" i="7"/>
  <c r="R2027" i="7"/>
  <c r="S2027" i="7"/>
  <c r="R2028" i="7"/>
  <c r="S2028" i="7"/>
  <c r="R2030" i="7"/>
  <c r="R2031" i="7"/>
  <c r="R2032" i="7"/>
  <c r="R2033" i="7"/>
  <c r="S2033" i="7"/>
  <c r="R2034" i="7"/>
  <c r="S2034" i="7"/>
  <c r="R2035" i="7"/>
  <c r="R2036" i="7"/>
  <c r="S2036" i="7"/>
  <c r="R2037" i="7"/>
  <c r="R2038" i="7"/>
  <c r="R2039" i="7"/>
  <c r="R2041" i="7"/>
  <c r="S2041" i="7"/>
  <c r="R2042" i="7"/>
  <c r="R2043" i="7"/>
  <c r="R2044" i="7"/>
  <c r="R2045" i="7"/>
  <c r="S2045" i="7"/>
  <c r="R2046" i="7"/>
  <c r="R2049" i="7"/>
  <c r="S2049" i="7"/>
  <c r="R2050" i="7"/>
  <c r="S2050" i="7"/>
  <c r="R2051" i="7"/>
  <c r="R2054" i="7"/>
  <c r="S2054" i="7"/>
  <c r="R2056" i="7"/>
  <c r="S2056" i="7"/>
  <c r="R2059" i="7"/>
  <c r="R2060" i="7"/>
  <c r="R2061" i="7"/>
  <c r="R2062" i="7"/>
  <c r="S2062" i="7"/>
  <c r="R2064" i="7"/>
  <c r="R2065" i="7"/>
  <c r="S2065" i="7"/>
  <c r="R2066" i="7"/>
  <c r="R2067" i="7"/>
  <c r="R2068" i="7"/>
  <c r="S2068" i="7"/>
  <c r="R2070" i="7"/>
  <c r="R2071" i="7"/>
  <c r="S2071" i="7"/>
  <c r="R2072" i="7"/>
  <c r="R2073" i="7"/>
  <c r="R2074" i="7"/>
  <c r="R2075" i="7"/>
  <c r="S2075" i="7"/>
  <c r="R2077" i="7"/>
  <c r="R2078" i="7"/>
  <c r="S2078" i="7"/>
  <c r="R2079" i="7"/>
  <c r="R2080" i="7"/>
  <c r="R2081" i="7"/>
  <c r="S2081" i="7"/>
  <c r="R2082" i="7"/>
  <c r="R2083" i="7"/>
  <c r="R2084" i="7"/>
  <c r="S2084" i="7"/>
  <c r="R2087" i="7"/>
  <c r="S2087" i="7"/>
  <c r="R2088" i="7"/>
  <c r="S2088" i="7"/>
  <c r="R2089" i="7"/>
  <c r="R2090" i="7"/>
  <c r="S2090" i="7"/>
  <c r="R2091" i="7"/>
  <c r="R2092" i="7"/>
  <c r="S2092" i="7"/>
  <c r="R2093" i="7"/>
  <c r="R2094" i="7"/>
  <c r="R2095" i="7"/>
  <c r="S2095" i="7"/>
  <c r="R2096" i="7"/>
  <c r="R2097" i="7"/>
  <c r="R2098" i="7"/>
  <c r="R2099" i="7"/>
  <c r="R2100" i="7"/>
  <c r="R2101" i="7"/>
  <c r="S2101" i="7"/>
  <c r="R2102" i="7"/>
  <c r="S2102" i="7"/>
  <c r="R2103" i="7"/>
  <c r="R2104" i="7"/>
  <c r="S2104" i="7"/>
  <c r="R2105" i="7"/>
  <c r="R2106" i="7"/>
  <c r="R2107" i="7"/>
  <c r="R1872" i="7"/>
  <c r="R1873" i="7"/>
  <c r="R1874" i="7"/>
  <c r="R1875" i="7"/>
  <c r="S1875" i="7"/>
  <c r="R1876" i="7"/>
  <c r="R1877" i="7"/>
  <c r="S1877" i="7"/>
  <c r="R1878" i="7"/>
  <c r="S1878" i="7"/>
  <c r="R1879" i="7"/>
  <c r="R1880" i="7"/>
  <c r="S1880" i="7"/>
  <c r="R1881" i="7"/>
  <c r="S1881" i="7"/>
  <c r="R1882" i="7"/>
  <c r="S1882" i="7"/>
  <c r="R1883" i="7"/>
  <c r="S1883" i="7"/>
  <c r="R1884" i="7"/>
  <c r="R1885" i="7"/>
  <c r="R1886" i="7"/>
  <c r="R1887" i="7"/>
  <c r="S1887" i="7"/>
  <c r="R1888" i="7"/>
  <c r="R1889" i="7"/>
  <c r="S1889" i="7"/>
  <c r="R1890" i="7"/>
  <c r="R1891" i="7"/>
  <c r="R1892" i="7"/>
  <c r="S1892" i="7"/>
  <c r="R1893" i="7"/>
  <c r="R1894" i="7"/>
  <c r="S1894" i="7"/>
  <c r="R1895" i="7"/>
  <c r="S1895" i="7"/>
  <c r="R1896" i="7"/>
  <c r="R1897" i="7"/>
  <c r="R1898" i="7"/>
  <c r="S1898" i="7"/>
  <c r="R1899" i="7"/>
  <c r="S1899" i="7"/>
  <c r="R1900" i="7"/>
  <c r="R1901" i="7"/>
  <c r="S1901" i="7"/>
  <c r="R1902" i="7"/>
  <c r="S1902" i="7"/>
  <c r="R1903" i="7"/>
  <c r="S1903" i="7"/>
  <c r="R1904" i="7"/>
  <c r="S1904" i="7"/>
  <c r="R1906" i="7"/>
  <c r="S1906" i="7"/>
  <c r="R1907" i="7"/>
  <c r="R1908" i="7"/>
  <c r="S1908" i="7"/>
  <c r="R1909" i="7"/>
  <c r="R1910" i="7"/>
  <c r="R1911" i="7"/>
  <c r="R1912" i="7"/>
  <c r="R1913" i="7"/>
  <c r="S1913" i="7"/>
  <c r="R1914" i="7"/>
  <c r="R1915" i="7"/>
  <c r="R1916" i="7"/>
  <c r="S1916" i="7"/>
  <c r="R1917" i="7"/>
  <c r="S1917" i="7"/>
  <c r="R1918" i="7"/>
  <c r="S1918" i="7"/>
  <c r="R1919" i="7"/>
  <c r="S1919" i="7"/>
  <c r="R1920" i="7"/>
  <c r="S1920" i="7"/>
  <c r="R1921" i="7"/>
  <c r="R1922" i="7"/>
  <c r="R1923" i="7"/>
  <c r="S1923" i="7"/>
  <c r="R1924" i="7"/>
  <c r="R1925" i="7"/>
  <c r="R1926" i="7"/>
  <c r="S1926" i="7"/>
  <c r="R1927" i="7"/>
  <c r="R1928" i="7"/>
  <c r="R1929" i="7"/>
  <c r="S1929" i="7"/>
  <c r="R1930" i="7"/>
  <c r="S1930" i="7"/>
  <c r="R1672" i="7"/>
  <c r="R1673" i="7"/>
  <c r="R1674" i="7"/>
  <c r="S1674" i="7"/>
  <c r="R1675" i="7"/>
  <c r="R1676" i="7"/>
  <c r="R1677" i="7"/>
  <c r="R1678" i="7"/>
  <c r="S1678" i="7"/>
  <c r="R1679" i="7"/>
  <c r="R1680" i="7"/>
  <c r="R1681" i="7"/>
  <c r="S1681" i="7"/>
  <c r="R1682" i="7"/>
  <c r="S1682" i="7"/>
  <c r="R1683" i="7"/>
  <c r="S1683" i="7"/>
  <c r="R1684" i="7"/>
  <c r="R1685" i="7"/>
  <c r="S1685" i="7"/>
  <c r="R1686" i="7"/>
  <c r="S1686" i="7"/>
  <c r="R1687" i="7"/>
  <c r="S1687" i="7"/>
  <c r="R1688" i="7"/>
  <c r="S1688" i="7"/>
  <c r="R1689" i="7"/>
  <c r="S1689" i="7"/>
  <c r="R1691" i="7"/>
  <c r="R1692" i="7"/>
  <c r="R1693" i="7"/>
  <c r="S1693" i="7"/>
  <c r="R1694" i="7"/>
  <c r="S1694" i="7"/>
  <c r="R1695" i="7"/>
  <c r="R1696" i="7"/>
  <c r="R1697" i="7"/>
  <c r="S1697" i="7"/>
  <c r="R1698" i="7"/>
  <c r="R1699" i="7"/>
  <c r="S1699" i="7"/>
  <c r="R1700" i="7"/>
  <c r="S1700" i="7"/>
  <c r="R1701" i="7"/>
  <c r="R1702" i="7"/>
  <c r="S1702" i="7"/>
  <c r="R1703" i="7"/>
  <c r="R1704" i="7"/>
  <c r="R1705" i="7"/>
  <c r="S1705" i="7"/>
  <c r="R1706" i="7"/>
  <c r="S1706" i="7"/>
  <c r="R1707" i="7"/>
  <c r="S1707" i="7"/>
  <c r="R1709" i="7"/>
  <c r="R1710" i="7"/>
  <c r="S1710" i="7"/>
  <c r="R1712" i="7"/>
  <c r="R1713" i="7"/>
  <c r="S1713" i="7"/>
  <c r="R1714" i="7"/>
  <c r="S1714" i="7"/>
  <c r="R1715" i="7"/>
  <c r="S1715" i="7"/>
  <c r="R1716" i="7"/>
  <c r="R1717" i="7"/>
  <c r="R1718" i="7"/>
  <c r="R1719" i="7"/>
  <c r="R1721" i="7"/>
  <c r="R1722" i="7"/>
  <c r="R1723" i="7"/>
  <c r="R1724" i="7"/>
  <c r="R1725" i="7"/>
  <c r="R1726" i="7"/>
  <c r="R1727" i="7"/>
  <c r="S1727" i="7"/>
  <c r="R1728" i="7"/>
  <c r="R1729" i="7"/>
  <c r="S1729" i="7"/>
  <c r="R1730" i="7"/>
  <c r="R1731" i="7"/>
  <c r="R1732" i="7"/>
  <c r="R1733" i="7"/>
  <c r="R1734" i="7"/>
  <c r="S1734" i="7"/>
  <c r="R1735" i="7"/>
  <c r="R1737" i="7"/>
  <c r="R1738" i="7"/>
  <c r="S1738" i="7"/>
  <c r="R1739" i="7"/>
  <c r="S1739" i="7"/>
  <c r="R1740" i="7"/>
  <c r="R1741" i="7"/>
  <c r="R1742" i="7"/>
  <c r="S1742" i="7"/>
  <c r="R1743" i="7"/>
  <c r="R1744" i="7"/>
  <c r="S1744" i="7"/>
  <c r="R1745" i="7"/>
  <c r="S1745" i="7"/>
  <c r="R1746" i="7"/>
  <c r="R1747" i="7"/>
  <c r="R1748" i="7"/>
  <c r="S1748" i="7"/>
  <c r="R1749" i="7"/>
  <c r="R1750" i="7"/>
  <c r="R1751" i="7"/>
  <c r="R1754" i="7"/>
  <c r="R1755" i="7"/>
  <c r="R1756" i="7"/>
  <c r="R1757" i="7"/>
  <c r="R1758" i="7"/>
  <c r="R1759" i="7"/>
  <c r="R1760" i="7"/>
  <c r="R1761" i="7"/>
  <c r="R1764" i="7"/>
  <c r="R1765" i="7"/>
  <c r="S1765" i="7"/>
  <c r="R1766" i="7"/>
  <c r="R1767" i="7"/>
  <c r="S1767" i="7"/>
  <c r="R1768" i="7"/>
  <c r="R1769" i="7"/>
  <c r="R1770" i="7"/>
  <c r="R1771" i="7"/>
  <c r="R1772" i="7"/>
  <c r="R1773" i="7"/>
  <c r="R1775" i="7"/>
  <c r="S1775" i="7"/>
  <c r="R1776" i="7"/>
  <c r="S1776" i="7"/>
  <c r="R1777" i="7"/>
  <c r="R1778" i="7"/>
  <c r="R1779" i="7"/>
  <c r="S1779" i="7"/>
  <c r="R1780" i="7"/>
  <c r="R1781" i="7"/>
  <c r="S1781" i="7"/>
  <c r="R1782" i="7"/>
  <c r="S1782" i="7"/>
  <c r="R1783" i="7"/>
  <c r="S1783" i="7"/>
  <c r="R1784" i="7"/>
  <c r="S1784" i="7"/>
  <c r="R1785" i="7"/>
  <c r="S1785" i="7"/>
  <c r="R1786" i="7"/>
  <c r="S1786" i="7"/>
  <c r="R1787" i="7"/>
  <c r="S1787" i="7"/>
  <c r="R1788" i="7"/>
  <c r="S1788" i="7"/>
  <c r="R1789" i="7"/>
  <c r="S1789" i="7"/>
  <c r="R1790" i="7"/>
  <c r="R1791" i="7"/>
  <c r="R1792" i="7"/>
  <c r="R750" i="7"/>
  <c r="R751" i="7"/>
  <c r="S751" i="7"/>
  <c r="R753" i="7"/>
  <c r="S753" i="7"/>
  <c r="R754" i="7"/>
  <c r="S754" i="7"/>
  <c r="R755" i="7"/>
  <c r="S755" i="7"/>
  <c r="R756" i="7"/>
  <c r="S756" i="7"/>
  <c r="R757" i="7"/>
  <c r="S757" i="7"/>
  <c r="R758" i="7"/>
  <c r="R759" i="7"/>
  <c r="R760" i="7"/>
  <c r="S760" i="7"/>
  <c r="R761" i="7"/>
  <c r="R763" i="7"/>
  <c r="R764" i="7"/>
  <c r="R765" i="7"/>
  <c r="R766" i="7"/>
  <c r="S766" i="7"/>
  <c r="R767" i="7"/>
  <c r="R768" i="7"/>
  <c r="S768" i="7"/>
  <c r="R769" i="7"/>
  <c r="S769" i="7"/>
  <c r="R770" i="7"/>
  <c r="S770" i="7"/>
  <c r="R771" i="7"/>
  <c r="S771" i="7"/>
  <c r="R772" i="7"/>
  <c r="R773" i="7"/>
  <c r="S773" i="7"/>
  <c r="R774" i="7"/>
  <c r="R775" i="7"/>
  <c r="S775" i="7"/>
  <c r="R778" i="7"/>
  <c r="R779" i="7"/>
  <c r="R780" i="7"/>
  <c r="S780" i="7"/>
  <c r="R781" i="7"/>
  <c r="S781" i="7"/>
  <c r="R783" i="7"/>
  <c r="R784" i="7"/>
  <c r="R785" i="7"/>
  <c r="R786" i="7"/>
  <c r="S786" i="7"/>
  <c r="R787" i="7"/>
  <c r="R788" i="7"/>
  <c r="S788" i="7"/>
  <c r="R789" i="7"/>
  <c r="S789" i="7"/>
  <c r="R790" i="7"/>
  <c r="R791" i="7"/>
  <c r="R792" i="7"/>
  <c r="R793" i="7"/>
  <c r="R795" i="7"/>
  <c r="R796" i="7"/>
  <c r="S796" i="7"/>
  <c r="R797" i="7"/>
  <c r="S797" i="7"/>
  <c r="R798" i="7"/>
  <c r="S798" i="7"/>
  <c r="R799" i="7"/>
  <c r="R800" i="7"/>
  <c r="S800" i="7"/>
  <c r="R801" i="7"/>
  <c r="R802" i="7"/>
  <c r="R803" i="7"/>
  <c r="S803" i="7"/>
  <c r="R804" i="7"/>
  <c r="S804" i="7"/>
  <c r="R805" i="7"/>
  <c r="S805" i="7"/>
  <c r="R806" i="7"/>
  <c r="S806" i="7"/>
  <c r="R808" i="7"/>
  <c r="R809" i="7"/>
  <c r="S809" i="7"/>
  <c r="R810" i="7"/>
  <c r="R811" i="7"/>
  <c r="R812" i="7"/>
  <c r="S812" i="7"/>
  <c r="R813" i="7"/>
  <c r="R814" i="7"/>
  <c r="S814" i="7"/>
  <c r="R815" i="7"/>
  <c r="S815" i="7"/>
  <c r="R816" i="7"/>
  <c r="R817" i="7"/>
  <c r="S817" i="7"/>
  <c r="R818" i="7"/>
  <c r="R819" i="7"/>
  <c r="S819" i="7"/>
  <c r="R820" i="7"/>
  <c r="S820" i="7"/>
  <c r="R821" i="7"/>
  <c r="R823" i="7"/>
  <c r="R824" i="7"/>
  <c r="S824" i="7"/>
  <c r="R825" i="7"/>
  <c r="S825" i="7"/>
  <c r="R826" i="7"/>
  <c r="R827" i="7"/>
  <c r="S827" i="7"/>
  <c r="R828" i="7"/>
  <c r="R829" i="7"/>
  <c r="S829" i="7"/>
  <c r="R830" i="7"/>
  <c r="S830" i="7"/>
  <c r="R831" i="7"/>
  <c r="S831" i="7"/>
  <c r="R832" i="7"/>
  <c r="R833" i="7"/>
  <c r="R834" i="7"/>
  <c r="S834" i="7"/>
  <c r="R835" i="7"/>
  <c r="R836" i="7"/>
  <c r="S836" i="7"/>
  <c r="R837" i="7"/>
  <c r="R838" i="7"/>
  <c r="R839" i="7"/>
  <c r="S839" i="7"/>
  <c r="R840" i="7"/>
  <c r="S840" i="7"/>
  <c r="R842" i="7"/>
  <c r="S842" i="7"/>
  <c r="R843" i="7"/>
  <c r="S843" i="7"/>
  <c r="R844" i="7"/>
  <c r="R845" i="7"/>
  <c r="S845" i="7"/>
  <c r="R846" i="7"/>
  <c r="R847" i="7"/>
  <c r="S847" i="7"/>
  <c r="R848" i="7"/>
  <c r="S848" i="7"/>
  <c r="R849" i="7"/>
  <c r="S849" i="7"/>
  <c r="R850" i="7"/>
  <c r="R851" i="7"/>
  <c r="R852" i="7"/>
  <c r="R853" i="7"/>
  <c r="R854" i="7"/>
  <c r="S854" i="7"/>
  <c r="R855" i="7"/>
  <c r="S855" i="7"/>
  <c r="R856" i="7"/>
  <c r="R858" i="7"/>
  <c r="S858" i="7"/>
  <c r="R859" i="7"/>
  <c r="R860" i="7"/>
  <c r="S860" i="7"/>
  <c r="R861" i="7"/>
  <c r="S861" i="7"/>
  <c r="R862" i="7"/>
  <c r="S862" i="7"/>
  <c r="R863" i="7"/>
  <c r="R864" i="7"/>
  <c r="R865" i="7"/>
  <c r="R867" i="7"/>
  <c r="S867" i="7"/>
  <c r="R868" i="7"/>
  <c r="S868" i="7"/>
  <c r="R869" i="7"/>
  <c r="R871" i="7"/>
  <c r="S871" i="7"/>
  <c r="R872" i="7"/>
  <c r="R873" i="7"/>
  <c r="S873" i="7"/>
  <c r="R874" i="7"/>
  <c r="S874" i="7"/>
  <c r="R875" i="7"/>
  <c r="S875" i="7"/>
  <c r="R876" i="7"/>
  <c r="R877" i="7"/>
  <c r="R878" i="7"/>
  <c r="R879" i="7"/>
  <c r="R880" i="7"/>
  <c r="R882" i="7"/>
  <c r="S882" i="7"/>
  <c r="R883" i="7"/>
  <c r="S883" i="7"/>
  <c r="R884" i="7"/>
  <c r="R885" i="7"/>
  <c r="S885" i="7"/>
  <c r="R886" i="7"/>
  <c r="R887" i="7"/>
  <c r="R888" i="7"/>
  <c r="S888" i="7"/>
  <c r="R889" i="7"/>
  <c r="S889" i="7"/>
  <c r="R890" i="7"/>
  <c r="S890" i="7"/>
  <c r="R892" i="7"/>
  <c r="R893" i="7"/>
  <c r="S893" i="7"/>
  <c r="R894" i="7"/>
  <c r="R895" i="7"/>
  <c r="R896" i="7"/>
  <c r="S896" i="7"/>
  <c r="R897" i="7"/>
  <c r="R898" i="7"/>
  <c r="S898" i="7"/>
  <c r="R899" i="7"/>
  <c r="S899" i="7"/>
  <c r="R900" i="7"/>
  <c r="R901" i="7"/>
  <c r="S901" i="7"/>
  <c r="R902" i="7"/>
  <c r="R903" i="7"/>
  <c r="S903" i="7"/>
  <c r="R904" i="7"/>
  <c r="S904" i="7"/>
  <c r="R905" i="7"/>
  <c r="S905" i="7"/>
  <c r="R906" i="7"/>
  <c r="S906" i="7"/>
  <c r="R907" i="7"/>
  <c r="R908" i="7"/>
  <c r="R909" i="7"/>
  <c r="S909" i="7"/>
  <c r="R910" i="7"/>
  <c r="R911" i="7"/>
  <c r="S911" i="7"/>
  <c r="R912" i="7"/>
  <c r="S912" i="7"/>
  <c r="R913" i="7"/>
  <c r="R914" i="7"/>
  <c r="S914" i="7"/>
  <c r="R915" i="7"/>
  <c r="R916" i="7"/>
  <c r="S916" i="7"/>
  <c r="R917" i="7"/>
  <c r="S917" i="7"/>
  <c r="R919" i="7"/>
  <c r="R920" i="7"/>
  <c r="R921" i="7"/>
  <c r="S921" i="7"/>
  <c r="R922" i="7"/>
  <c r="R923" i="7"/>
  <c r="S923" i="7"/>
  <c r="R924" i="7"/>
  <c r="S924" i="7"/>
  <c r="R925" i="7"/>
  <c r="R926" i="7"/>
  <c r="S926" i="7"/>
  <c r="R927" i="7"/>
  <c r="R928" i="7"/>
  <c r="S928" i="7"/>
  <c r="R929" i="7"/>
  <c r="S929" i="7"/>
  <c r="R930" i="7"/>
  <c r="R931" i="7"/>
  <c r="S931" i="7"/>
  <c r="R932" i="7"/>
  <c r="S932" i="7"/>
  <c r="R933" i="7"/>
  <c r="R934" i="7"/>
  <c r="S934" i="7"/>
  <c r="R935" i="7"/>
  <c r="R936" i="7"/>
  <c r="S936" i="7"/>
  <c r="R937" i="7"/>
  <c r="S937" i="7"/>
  <c r="R938" i="7"/>
  <c r="S938" i="7"/>
  <c r="R940" i="7"/>
  <c r="R941" i="7"/>
  <c r="R942" i="7"/>
  <c r="R943" i="7"/>
  <c r="S943" i="7"/>
  <c r="R944" i="7"/>
  <c r="R946" i="7"/>
  <c r="S946" i="7"/>
  <c r="R947" i="7"/>
  <c r="S947" i="7"/>
  <c r="R948" i="7"/>
  <c r="S948" i="7"/>
  <c r="R949" i="7"/>
  <c r="R950" i="7"/>
  <c r="R951" i="7"/>
  <c r="S951" i="7"/>
  <c r="R953" i="7"/>
  <c r="R954" i="7"/>
  <c r="R955" i="7"/>
  <c r="R956" i="7"/>
  <c r="S956" i="7"/>
  <c r="R957" i="7"/>
  <c r="R958" i="7"/>
  <c r="S958" i="7"/>
  <c r="R959" i="7"/>
  <c r="S959" i="7"/>
  <c r="R960" i="7"/>
  <c r="S960" i="7"/>
  <c r="R961" i="7"/>
  <c r="S961" i="7"/>
  <c r="R962" i="7"/>
  <c r="R963" i="7"/>
  <c r="R964" i="7"/>
  <c r="R966" i="7"/>
  <c r="R967" i="7"/>
  <c r="S967" i="7"/>
  <c r="R968" i="7"/>
  <c r="S968" i="7"/>
  <c r="R969" i="7"/>
  <c r="S969" i="7"/>
  <c r="R972" i="7"/>
  <c r="R973" i="7"/>
  <c r="R974" i="7"/>
  <c r="R975" i="7"/>
  <c r="S975" i="7"/>
  <c r="R976" i="7"/>
  <c r="R978" i="7"/>
  <c r="S978" i="7"/>
  <c r="R980" i="7"/>
  <c r="R981" i="7"/>
  <c r="R982" i="7"/>
  <c r="S982" i="7"/>
  <c r="R983" i="7"/>
  <c r="R984" i="7"/>
  <c r="S984" i="7"/>
  <c r="R985" i="7"/>
  <c r="R986" i="7"/>
  <c r="S986" i="7"/>
  <c r="R987" i="7"/>
  <c r="S987" i="7"/>
  <c r="R988" i="7"/>
  <c r="R989" i="7"/>
  <c r="S989" i="7"/>
  <c r="R990" i="7"/>
  <c r="S990" i="7"/>
  <c r="R991" i="7"/>
  <c r="S991" i="7"/>
  <c r="R993" i="7"/>
  <c r="S993" i="7"/>
  <c r="R994" i="7"/>
  <c r="S994" i="7"/>
  <c r="R995" i="7"/>
  <c r="S995" i="7"/>
  <c r="R996" i="7"/>
  <c r="R997" i="7"/>
  <c r="R998" i="7"/>
  <c r="R999" i="7"/>
  <c r="S999" i="7"/>
  <c r="R1000" i="7"/>
  <c r="S1000" i="7"/>
  <c r="R1001" i="7"/>
  <c r="S1001" i="7"/>
  <c r="R1002" i="7"/>
  <c r="S1002" i="7"/>
  <c r="R1003" i="7"/>
  <c r="S1003" i="7"/>
  <c r="R1004" i="7"/>
  <c r="R1005" i="7"/>
  <c r="S1005" i="7"/>
  <c r="R1006" i="7"/>
  <c r="S1006" i="7"/>
  <c r="R1008" i="7"/>
  <c r="S1008" i="7"/>
  <c r="R1010" i="7"/>
  <c r="S1010" i="7"/>
  <c r="R1011" i="7"/>
  <c r="S1011" i="7"/>
  <c r="R1012" i="7"/>
  <c r="R1013" i="7"/>
  <c r="S1013" i="7"/>
  <c r="R1014" i="7"/>
  <c r="S1014" i="7"/>
  <c r="R1015" i="7"/>
  <c r="S1015" i="7"/>
  <c r="R1016" i="7"/>
  <c r="S1016" i="7"/>
  <c r="R1017" i="7"/>
  <c r="S1017" i="7"/>
  <c r="R1018" i="7"/>
  <c r="S1018" i="7"/>
  <c r="R1019" i="7"/>
  <c r="S1019" i="7"/>
  <c r="R1020" i="7"/>
  <c r="S1020" i="7"/>
  <c r="R1021" i="7"/>
  <c r="R1022" i="7"/>
  <c r="S1022" i="7"/>
  <c r="R1023" i="7"/>
  <c r="S1023" i="7"/>
  <c r="R1024" i="7"/>
  <c r="R1025" i="7"/>
  <c r="S1025" i="7"/>
  <c r="R1026" i="7"/>
  <c r="R1027" i="7"/>
  <c r="S1027" i="7"/>
  <c r="R1028" i="7"/>
  <c r="S1028" i="7"/>
  <c r="R1030" i="7"/>
  <c r="S1030" i="7"/>
  <c r="R1032" i="7"/>
  <c r="R1033" i="7"/>
  <c r="R1034" i="7"/>
  <c r="S1034" i="7"/>
  <c r="R1035" i="7"/>
  <c r="R1036" i="7"/>
  <c r="R1037" i="7"/>
  <c r="S1037" i="7"/>
  <c r="R1038" i="7"/>
  <c r="S1038" i="7"/>
  <c r="R1040" i="7"/>
  <c r="S1040" i="7"/>
  <c r="R1041" i="7"/>
  <c r="S1041" i="7"/>
  <c r="R1042" i="7"/>
  <c r="R1043" i="7"/>
  <c r="S1043" i="7"/>
  <c r="R1044" i="7"/>
  <c r="S1044" i="7"/>
  <c r="R1045" i="7"/>
  <c r="S1045" i="7"/>
  <c r="R1046" i="7"/>
  <c r="S1046" i="7"/>
  <c r="R1047" i="7"/>
  <c r="S1047" i="7"/>
  <c r="R1048" i="7"/>
  <c r="S1048" i="7"/>
  <c r="R1049" i="7"/>
  <c r="R1050" i="7"/>
  <c r="R1051" i="7"/>
  <c r="R1052" i="7"/>
  <c r="S1052" i="7"/>
  <c r="R1053" i="7"/>
  <c r="S1053" i="7"/>
  <c r="R1054" i="7"/>
  <c r="S1054" i="7"/>
  <c r="R1055" i="7"/>
  <c r="S1055" i="7"/>
  <c r="R1056" i="7"/>
  <c r="R1057" i="7"/>
  <c r="R1058" i="7"/>
  <c r="S1058" i="7"/>
  <c r="R1059" i="7"/>
  <c r="S1059" i="7"/>
  <c r="R1061" i="7"/>
  <c r="S1061" i="7"/>
  <c r="R1063" i="7"/>
  <c r="S1063" i="7"/>
  <c r="R1064" i="7"/>
  <c r="S1064" i="7"/>
  <c r="R1065" i="7"/>
  <c r="R1066" i="7"/>
  <c r="R1067" i="7"/>
  <c r="R1068" i="7"/>
  <c r="S1068" i="7"/>
  <c r="R1070" i="7"/>
  <c r="R1071" i="7"/>
  <c r="S1071" i="7"/>
  <c r="R1072" i="7"/>
  <c r="S1072" i="7"/>
  <c r="R1073" i="7"/>
  <c r="R1074" i="7"/>
  <c r="R1075" i="7"/>
  <c r="R1076" i="7"/>
  <c r="R1077" i="7"/>
  <c r="R1078" i="7"/>
  <c r="R1080" i="7"/>
  <c r="S1080" i="7"/>
  <c r="R1081" i="7"/>
  <c r="S1081" i="7"/>
  <c r="R1082" i="7"/>
  <c r="R1083" i="7"/>
  <c r="S1083" i="7"/>
  <c r="R1084" i="7"/>
  <c r="S1084" i="7"/>
  <c r="R1085" i="7"/>
  <c r="S1085" i="7"/>
  <c r="R1087" i="7"/>
  <c r="S1087" i="7"/>
  <c r="R1090" i="7"/>
  <c r="R1091" i="7"/>
  <c r="R1092" i="7"/>
  <c r="R1093" i="7"/>
  <c r="R1094" i="7"/>
  <c r="S1094" i="7"/>
  <c r="R1096" i="7"/>
  <c r="S1096" i="7"/>
  <c r="R1097" i="7"/>
  <c r="S1097" i="7"/>
  <c r="R1098" i="7"/>
  <c r="R1099" i="7"/>
  <c r="S1099" i="7"/>
  <c r="R1100" i="7"/>
  <c r="R1101" i="7"/>
  <c r="R1102" i="7"/>
  <c r="S1102" i="7"/>
  <c r="R1103" i="7"/>
  <c r="S1103" i="7"/>
  <c r="R1104" i="7"/>
  <c r="S1104" i="7"/>
  <c r="R1105" i="7"/>
  <c r="R1106" i="7"/>
  <c r="R1107" i="7"/>
  <c r="R1108" i="7"/>
  <c r="S1108" i="7"/>
  <c r="R1109" i="7"/>
  <c r="R1110" i="7"/>
  <c r="R1111" i="7"/>
  <c r="S1111" i="7"/>
  <c r="R1112" i="7"/>
  <c r="S1112" i="7"/>
  <c r="R1113" i="7"/>
  <c r="R1114" i="7"/>
  <c r="S1114" i="7"/>
  <c r="R1115" i="7"/>
  <c r="S1115" i="7"/>
  <c r="R1117" i="7"/>
  <c r="S1117" i="7"/>
  <c r="R1120" i="7"/>
  <c r="R1121" i="7"/>
  <c r="S1121" i="7"/>
  <c r="R1122" i="7"/>
  <c r="R1123" i="7"/>
  <c r="S1123" i="7"/>
  <c r="R1124" i="7"/>
  <c r="S1124" i="7"/>
  <c r="R1125" i="7"/>
  <c r="R1126" i="7"/>
  <c r="R1128" i="7"/>
  <c r="R1130" i="7"/>
  <c r="S1130" i="7"/>
  <c r="R1131" i="7"/>
  <c r="S1131" i="7"/>
  <c r="R1132" i="7"/>
  <c r="R1133" i="7"/>
  <c r="S1133" i="7"/>
  <c r="R1134" i="7"/>
  <c r="S1134" i="7"/>
  <c r="R1135" i="7"/>
  <c r="S1135" i="7"/>
  <c r="R1136" i="7"/>
  <c r="S1136" i="7"/>
  <c r="R1137" i="7"/>
  <c r="S1137" i="7"/>
  <c r="R1138" i="7"/>
  <c r="S1138" i="7"/>
  <c r="R1139" i="7"/>
  <c r="S1139" i="7"/>
  <c r="R1140" i="7"/>
  <c r="S1140" i="7"/>
  <c r="R1141" i="7"/>
  <c r="S1141" i="7"/>
  <c r="R1142" i="7"/>
  <c r="R1143" i="7"/>
  <c r="S1143" i="7"/>
  <c r="R1144" i="7"/>
  <c r="S1144" i="7"/>
  <c r="R1145" i="7"/>
  <c r="S1145" i="7"/>
  <c r="R1146" i="7"/>
  <c r="S1146" i="7"/>
  <c r="R1147" i="7"/>
  <c r="S1147" i="7"/>
  <c r="R1148" i="7"/>
  <c r="R1149" i="7"/>
  <c r="S1149" i="7"/>
  <c r="R1150" i="7"/>
  <c r="S1150" i="7"/>
  <c r="R1152" i="7"/>
  <c r="S1152" i="7"/>
  <c r="R1155" i="7"/>
  <c r="R1156" i="7"/>
  <c r="S1156" i="7"/>
  <c r="R1157" i="7"/>
  <c r="R1158" i="7"/>
  <c r="R1159" i="7"/>
  <c r="R1161" i="7"/>
  <c r="S1161" i="7"/>
  <c r="R1162" i="7"/>
  <c r="S1162" i="7"/>
  <c r="R1163" i="7"/>
  <c r="R1164" i="7"/>
  <c r="S1164" i="7"/>
  <c r="R1165" i="7"/>
  <c r="S1165" i="7"/>
  <c r="R1166" i="7"/>
  <c r="S1166" i="7"/>
  <c r="R1167" i="7"/>
  <c r="S1167" i="7"/>
  <c r="R1168" i="7"/>
  <c r="S1168" i="7"/>
  <c r="R1169" i="7"/>
  <c r="S1169" i="7"/>
  <c r="R1170" i="7"/>
  <c r="S1170" i="7"/>
  <c r="R1171" i="7"/>
  <c r="S1171" i="7"/>
  <c r="R1172" i="7"/>
  <c r="S1172" i="7"/>
  <c r="R1173" i="7"/>
  <c r="S1173" i="7"/>
  <c r="R1174" i="7"/>
  <c r="R1175" i="7"/>
  <c r="S1175" i="7"/>
  <c r="R1176" i="7"/>
  <c r="S1176" i="7"/>
  <c r="R1177" i="7"/>
  <c r="S1177" i="7"/>
  <c r="R1178" i="7"/>
  <c r="S1178" i="7"/>
  <c r="R1179" i="7"/>
  <c r="S1179" i="7"/>
  <c r="R1180" i="7"/>
  <c r="S1180" i="7"/>
  <c r="R1181" i="7"/>
  <c r="R1182" i="7"/>
  <c r="S1182" i="7"/>
  <c r="R1183" i="7"/>
  <c r="S1183" i="7"/>
  <c r="R1184" i="7"/>
  <c r="S1184" i="7"/>
  <c r="R1186" i="7"/>
  <c r="S1186" i="7"/>
  <c r="R1188" i="7"/>
  <c r="S1188" i="7"/>
  <c r="R1189" i="7"/>
  <c r="S1189" i="7"/>
  <c r="R1190" i="7"/>
  <c r="R1191" i="7"/>
  <c r="S1191" i="7"/>
  <c r="R1192" i="7"/>
  <c r="R1193" i="7"/>
  <c r="S1193" i="7"/>
  <c r="R1194" i="7"/>
  <c r="S1194" i="7"/>
  <c r="R1195" i="7"/>
  <c r="S1195" i="7"/>
  <c r="R1196" i="7"/>
  <c r="S1196" i="7"/>
  <c r="R1197" i="7"/>
  <c r="R1198" i="7"/>
  <c r="R1199" i="7"/>
  <c r="R1200" i="7"/>
  <c r="S1200" i="7"/>
  <c r="R1201" i="7"/>
  <c r="S1201" i="7"/>
  <c r="R1202" i="7"/>
  <c r="R1203" i="7"/>
  <c r="S1203" i="7"/>
  <c r="R1204" i="7"/>
  <c r="R1205" i="7"/>
  <c r="R1206" i="7"/>
  <c r="S1206" i="7"/>
  <c r="R1207" i="7"/>
  <c r="S1207" i="7"/>
  <c r="R1208" i="7"/>
  <c r="R1209" i="7"/>
  <c r="S1209" i="7"/>
  <c r="R1210" i="7"/>
  <c r="S1210" i="7"/>
  <c r="R1212" i="7"/>
  <c r="S1212" i="7"/>
  <c r="R1214" i="7"/>
  <c r="R1215" i="7"/>
  <c r="S1215" i="7"/>
  <c r="R1216" i="7"/>
  <c r="S1216" i="7"/>
  <c r="R1217" i="7"/>
  <c r="R1218" i="7"/>
  <c r="R1219" i="7"/>
  <c r="S1219" i="7"/>
  <c r="R1221" i="7"/>
  <c r="R1222" i="7"/>
  <c r="S1222" i="7"/>
  <c r="R1223" i="7"/>
  <c r="S1223" i="7"/>
  <c r="R1224" i="7"/>
  <c r="S1224" i="7"/>
  <c r="R1225" i="7"/>
  <c r="S1225" i="7"/>
  <c r="R1226" i="7"/>
  <c r="S1226" i="7"/>
  <c r="R1227" i="7"/>
  <c r="S1227" i="7"/>
  <c r="R1228" i="7"/>
  <c r="S1228" i="7"/>
  <c r="R1230" i="7"/>
  <c r="R1231" i="7"/>
  <c r="R1232" i="7"/>
  <c r="R1233" i="7"/>
  <c r="S1233" i="7"/>
  <c r="R1234" i="7"/>
  <c r="S1234" i="7"/>
  <c r="R1235" i="7"/>
  <c r="S1235" i="7"/>
  <c r="R1237" i="7"/>
  <c r="R1238" i="7"/>
  <c r="R1239" i="7"/>
  <c r="S1239" i="7"/>
  <c r="R1240" i="7"/>
  <c r="R1241" i="7"/>
  <c r="S1241" i="7"/>
  <c r="R1242" i="7"/>
  <c r="S1242" i="7"/>
  <c r="R1243" i="7"/>
  <c r="R1244" i="7"/>
  <c r="S1244" i="7"/>
  <c r="R1245" i="7"/>
  <c r="S1245" i="7"/>
  <c r="R1246" i="7"/>
  <c r="S1246" i="7"/>
  <c r="R1247" i="7"/>
  <c r="R1248" i="7"/>
  <c r="R1249" i="7"/>
  <c r="R1250" i="7"/>
  <c r="R1251" i="7"/>
  <c r="S1251" i="7"/>
  <c r="R1252" i="7"/>
  <c r="S1252" i="7"/>
  <c r="R1253" i="7"/>
  <c r="S1253" i="7"/>
  <c r="R1254" i="7"/>
  <c r="S1254" i="7"/>
  <c r="R1255" i="7"/>
  <c r="R1256" i="7"/>
  <c r="S1256" i="7"/>
  <c r="R1257" i="7"/>
  <c r="S1257" i="7"/>
  <c r="R1258" i="7"/>
  <c r="R1259" i="7"/>
  <c r="S1259" i="7"/>
  <c r="R1260" i="7"/>
  <c r="S1260" i="7"/>
  <c r="R1261" i="7"/>
  <c r="S1261" i="7"/>
  <c r="R1262" i="7"/>
  <c r="S1262" i="7"/>
  <c r="R1263" i="7"/>
  <c r="R1264" i="7"/>
  <c r="R1265" i="7"/>
  <c r="R1266" i="7"/>
  <c r="R1267" i="7"/>
  <c r="S1267" i="7"/>
  <c r="R1268" i="7"/>
  <c r="S1268" i="7"/>
  <c r="R1270" i="7"/>
  <c r="S1270" i="7"/>
  <c r="R1271" i="7"/>
  <c r="S1271" i="7"/>
  <c r="R1272" i="7"/>
  <c r="R1273" i="7"/>
  <c r="S1273" i="7"/>
  <c r="R1274" i="7"/>
  <c r="S1274" i="7"/>
  <c r="R1275" i="7"/>
  <c r="R1276" i="7"/>
  <c r="S1276" i="7"/>
  <c r="R1277" i="7"/>
  <c r="S1277" i="7"/>
  <c r="R1278" i="7"/>
  <c r="S1278" i="7"/>
  <c r="R1281" i="7"/>
  <c r="R1282" i="7"/>
  <c r="R1283" i="7"/>
  <c r="R1284" i="7"/>
  <c r="S1284" i="7"/>
  <c r="R1285" i="7"/>
  <c r="S1285" i="7"/>
  <c r="R1286" i="7"/>
  <c r="S1286" i="7"/>
  <c r="R1287" i="7"/>
  <c r="S1287" i="7"/>
  <c r="R1288" i="7"/>
  <c r="R1289" i="7"/>
  <c r="R1290" i="7"/>
  <c r="R1291" i="7"/>
  <c r="R1292" i="7"/>
  <c r="S1292" i="7"/>
  <c r="R1293" i="7"/>
  <c r="R1294" i="7"/>
  <c r="S1294" i="7"/>
  <c r="R1295" i="7"/>
  <c r="S1295" i="7"/>
  <c r="R1296" i="7"/>
  <c r="R1297" i="7"/>
  <c r="R1298" i="7"/>
  <c r="R1299" i="7"/>
  <c r="R1300" i="7"/>
  <c r="S1300" i="7"/>
  <c r="R1301" i="7"/>
  <c r="S1301" i="7"/>
  <c r="R1302" i="7"/>
  <c r="S1302" i="7"/>
  <c r="R1303" i="7"/>
  <c r="S1303" i="7"/>
  <c r="R1304" i="7"/>
  <c r="R1305" i="7"/>
  <c r="S1305" i="7"/>
  <c r="R1306" i="7"/>
  <c r="S1306" i="7"/>
  <c r="R1307" i="7"/>
  <c r="R1308" i="7"/>
  <c r="S1308" i="7"/>
  <c r="R1309" i="7"/>
  <c r="S1309" i="7"/>
  <c r="R1310" i="7"/>
  <c r="S1310" i="7"/>
  <c r="R1311" i="7"/>
  <c r="S1311" i="7"/>
  <c r="R1312" i="7"/>
  <c r="R1313" i="7"/>
  <c r="S1313" i="7"/>
  <c r="R1314" i="7"/>
  <c r="S1314" i="7"/>
  <c r="R1315" i="7"/>
  <c r="R1316" i="7"/>
  <c r="S1316" i="7"/>
  <c r="R1317" i="7"/>
  <c r="S1317" i="7"/>
  <c r="R1318" i="7"/>
  <c r="S1318" i="7"/>
  <c r="R1319" i="7"/>
  <c r="S1319" i="7"/>
  <c r="R1320" i="7"/>
  <c r="S1320" i="7"/>
  <c r="R1321" i="7"/>
  <c r="S1321" i="7"/>
  <c r="R1322" i="7"/>
  <c r="R1323" i="7"/>
  <c r="R1324" i="7"/>
  <c r="S1324" i="7"/>
  <c r="R1326" i="7"/>
  <c r="R1327" i="7"/>
  <c r="S1327" i="7"/>
  <c r="R1328" i="7"/>
  <c r="S1328" i="7"/>
  <c r="R1329" i="7"/>
  <c r="R1331" i="7"/>
  <c r="S1331" i="7"/>
  <c r="R1332" i="7"/>
  <c r="S1332" i="7"/>
  <c r="R1335" i="7"/>
  <c r="R1336" i="7"/>
  <c r="R1337" i="7"/>
  <c r="R1338" i="7"/>
  <c r="S1338" i="7"/>
  <c r="R1339" i="7"/>
  <c r="S1339" i="7"/>
  <c r="R1340" i="7"/>
  <c r="S1340" i="7"/>
  <c r="R1341" i="7"/>
  <c r="R1342" i="7"/>
  <c r="S1342" i="7"/>
  <c r="R1343" i="7"/>
  <c r="S1343" i="7"/>
  <c r="R1344" i="7"/>
  <c r="R1345" i="7"/>
  <c r="S1345" i="7"/>
  <c r="R1346" i="7"/>
  <c r="S1346" i="7"/>
  <c r="R1347" i="7"/>
  <c r="S1347" i="7"/>
  <c r="R1350" i="7"/>
  <c r="R1351" i="7"/>
  <c r="S1351" i="7"/>
  <c r="R1352" i="7"/>
  <c r="R1353" i="7"/>
  <c r="S1353" i="7"/>
  <c r="R1354" i="7"/>
  <c r="S1354" i="7"/>
  <c r="R1355" i="7"/>
  <c r="S1355" i="7"/>
  <c r="R1357" i="7"/>
  <c r="R1358" i="7"/>
  <c r="S1358" i="7"/>
  <c r="R1359" i="7"/>
  <c r="S1359" i="7"/>
  <c r="R1360" i="7"/>
  <c r="R1361" i="7"/>
  <c r="S1361" i="7"/>
  <c r="R1362" i="7"/>
  <c r="S1362" i="7"/>
  <c r="R1363" i="7"/>
  <c r="S1363" i="7"/>
  <c r="R1364" i="7"/>
  <c r="R1365" i="7"/>
  <c r="S1365" i="7"/>
  <c r="R1366" i="7"/>
  <c r="S1366" i="7"/>
  <c r="R1367" i="7"/>
  <c r="R1368" i="7"/>
  <c r="S1368" i="7"/>
  <c r="R1369" i="7"/>
  <c r="S1369" i="7"/>
  <c r="R1370" i="7"/>
  <c r="S1370" i="7"/>
  <c r="R1371" i="7"/>
  <c r="R1372" i="7"/>
  <c r="S1372" i="7"/>
  <c r="R1373" i="7"/>
  <c r="S1373" i="7"/>
  <c r="R1374" i="7"/>
  <c r="R1375" i="7"/>
  <c r="S1375" i="7"/>
  <c r="R1376" i="7"/>
  <c r="S1376" i="7"/>
  <c r="R1377" i="7"/>
  <c r="S1377" i="7"/>
  <c r="R1379" i="7"/>
  <c r="R1380" i="7"/>
  <c r="S1380" i="7"/>
  <c r="R1381" i="7"/>
  <c r="S1381" i="7"/>
  <c r="R1382" i="7"/>
  <c r="R1383" i="7"/>
  <c r="S1383" i="7"/>
  <c r="R1384" i="7"/>
  <c r="S1384" i="7"/>
  <c r="R1385" i="7"/>
  <c r="S1385" i="7"/>
  <c r="R1387" i="7"/>
  <c r="R1388" i="7"/>
  <c r="S1388" i="7"/>
  <c r="R1389" i="7"/>
  <c r="S1389" i="7"/>
  <c r="R1390" i="7"/>
  <c r="R1391" i="7"/>
  <c r="S1391" i="7"/>
  <c r="R1392" i="7"/>
  <c r="S1392" i="7"/>
  <c r="R1393" i="7"/>
  <c r="S1393" i="7"/>
  <c r="R1394" i="7"/>
  <c r="R1395" i="7"/>
  <c r="S1395" i="7"/>
  <c r="R1396" i="7"/>
  <c r="S1396" i="7"/>
  <c r="R1397" i="7"/>
  <c r="R1398" i="7"/>
  <c r="R1399" i="7"/>
  <c r="S1399" i="7"/>
  <c r="R1400" i="7"/>
  <c r="S1400" i="7"/>
  <c r="R1401" i="7"/>
  <c r="S1401" i="7"/>
  <c r="R1402" i="7"/>
  <c r="R1403" i="7"/>
  <c r="S1403" i="7"/>
  <c r="R1404" i="7"/>
  <c r="S1404" i="7"/>
  <c r="R1405" i="7"/>
  <c r="R1406" i="7"/>
  <c r="S1406" i="7"/>
  <c r="R1407" i="7"/>
  <c r="S1407" i="7"/>
  <c r="R1408" i="7"/>
  <c r="S1408" i="7"/>
  <c r="R1409" i="7"/>
  <c r="R1410" i="7"/>
  <c r="S1410" i="7"/>
  <c r="R1411" i="7"/>
  <c r="S1411" i="7"/>
  <c r="R1412" i="7"/>
  <c r="R1413" i="7"/>
  <c r="S1413" i="7"/>
  <c r="R1414" i="7"/>
  <c r="S1414" i="7"/>
  <c r="R1415" i="7"/>
  <c r="S1415" i="7"/>
  <c r="R1416" i="7"/>
  <c r="R1417" i="7"/>
  <c r="S1417" i="7"/>
  <c r="R1418" i="7"/>
  <c r="S1418" i="7"/>
  <c r="R1419" i="7"/>
  <c r="R1420" i="7"/>
  <c r="S1420" i="7"/>
  <c r="R1421" i="7"/>
  <c r="S1421" i="7"/>
  <c r="R1422" i="7"/>
  <c r="S1422" i="7"/>
  <c r="R1424" i="7"/>
  <c r="R1425" i="7"/>
  <c r="S1425" i="7"/>
  <c r="R1426" i="7"/>
  <c r="S1426" i="7"/>
  <c r="R1427" i="7"/>
  <c r="R1428" i="7"/>
  <c r="S1428" i="7"/>
  <c r="R1429" i="7"/>
  <c r="S1429" i="7"/>
  <c r="R1430" i="7"/>
  <c r="S1430" i="7"/>
  <c r="R1431" i="7"/>
  <c r="R1432" i="7"/>
  <c r="S1432" i="7"/>
  <c r="R1433" i="7"/>
  <c r="S1433" i="7"/>
  <c r="R1434" i="7"/>
  <c r="R1435" i="7"/>
  <c r="S1435" i="7"/>
  <c r="R1436" i="7"/>
  <c r="S1436" i="7"/>
  <c r="R1437" i="7"/>
  <c r="S1437" i="7"/>
  <c r="R1438" i="7"/>
  <c r="S1438" i="7"/>
  <c r="R1441" i="7"/>
  <c r="S1441" i="7"/>
  <c r="R1442" i="7"/>
  <c r="S1442" i="7"/>
  <c r="R1443" i="7"/>
  <c r="R1444" i="7"/>
  <c r="S1444" i="7"/>
  <c r="R1445" i="7"/>
  <c r="S1445" i="7"/>
  <c r="R1446" i="7"/>
  <c r="S1446" i="7"/>
  <c r="R1447" i="7"/>
  <c r="S1447" i="7"/>
  <c r="R1448" i="7"/>
  <c r="S1448" i="7"/>
  <c r="R1449" i="7"/>
  <c r="S1449" i="7"/>
  <c r="R1450" i="7"/>
  <c r="S1450" i="7"/>
  <c r="R1451" i="7"/>
  <c r="R1452" i="7"/>
  <c r="S1452" i="7"/>
  <c r="R1453" i="7"/>
  <c r="R1454" i="7"/>
  <c r="R1455" i="7"/>
  <c r="S1455" i="7"/>
  <c r="R1456" i="7"/>
  <c r="R1458" i="7"/>
  <c r="R1459" i="7"/>
  <c r="R1460" i="7"/>
  <c r="R1461" i="7"/>
  <c r="S1461" i="7"/>
  <c r="R1462" i="7"/>
  <c r="S1462" i="7"/>
  <c r="R1463" i="7"/>
  <c r="S1463" i="7"/>
  <c r="R1464" i="7"/>
  <c r="S1464" i="7"/>
  <c r="R1465" i="7"/>
  <c r="S1465" i="7"/>
  <c r="R1466" i="7"/>
  <c r="R1467" i="7"/>
  <c r="R1468" i="7"/>
  <c r="R1469" i="7"/>
  <c r="S1469" i="7"/>
  <c r="R1470" i="7"/>
  <c r="R1471" i="7"/>
  <c r="S1471" i="7"/>
  <c r="R1472" i="7"/>
  <c r="S1472" i="7"/>
  <c r="R1473" i="7"/>
  <c r="S1473" i="7"/>
  <c r="R1475" i="7"/>
  <c r="R1476" i="7"/>
  <c r="S1476" i="7"/>
  <c r="R1477" i="7"/>
  <c r="R1478" i="7"/>
  <c r="S1478" i="7"/>
  <c r="R1480" i="7"/>
  <c r="R1481" i="7"/>
  <c r="S1481" i="7"/>
  <c r="R1482" i="7"/>
  <c r="R1483" i="7"/>
  <c r="S1483" i="7"/>
  <c r="R1484" i="7"/>
  <c r="S1484" i="7"/>
  <c r="R1485" i="7"/>
  <c r="S1485" i="7"/>
  <c r="R1486" i="7"/>
  <c r="S1486" i="7"/>
  <c r="R1487" i="7"/>
  <c r="S1487" i="7"/>
  <c r="R1488" i="7"/>
  <c r="R1489" i="7"/>
  <c r="S1489" i="7"/>
  <c r="R1490" i="7"/>
  <c r="R1491" i="7"/>
  <c r="S1491" i="7"/>
  <c r="R1492" i="7"/>
  <c r="S1492" i="7"/>
  <c r="R1493" i="7"/>
  <c r="S1493" i="7"/>
  <c r="R1494" i="7"/>
  <c r="S1494" i="7"/>
  <c r="R1495" i="7"/>
  <c r="S1495" i="7"/>
  <c r="R1497" i="7"/>
  <c r="S1497" i="7"/>
  <c r="R1498" i="7"/>
  <c r="R1499" i="7"/>
  <c r="R1500" i="7"/>
  <c r="S1500" i="7"/>
  <c r="R1501" i="7"/>
  <c r="S1501" i="7"/>
  <c r="R1502" i="7"/>
  <c r="S1502" i="7"/>
  <c r="R1503" i="7"/>
  <c r="S1503" i="7"/>
  <c r="R1504" i="7"/>
  <c r="R1505" i="7"/>
  <c r="S1505" i="7"/>
  <c r="R1506" i="7"/>
  <c r="S1506" i="7"/>
  <c r="R1507" i="7"/>
  <c r="R1508" i="7"/>
  <c r="S1508" i="7"/>
  <c r="R1509" i="7"/>
  <c r="S1509" i="7"/>
  <c r="R1510" i="7"/>
  <c r="S1510" i="7"/>
  <c r="R1511" i="7"/>
  <c r="S1511" i="7"/>
  <c r="R1512" i="7"/>
  <c r="S1512" i="7"/>
  <c r="R1514" i="7"/>
  <c r="S1514" i="7"/>
  <c r="R1515" i="7"/>
  <c r="S1515" i="7"/>
  <c r="R1516" i="7"/>
  <c r="R1517" i="7"/>
  <c r="S1517" i="7"/>
  <c r="R1518" i="7"/>
  <c r="S1518" i="7"/>
  <c r="R1519" i="7"/>
  <c r="S1519" i="7"/>
  <c r="R1520" i="7"/>
  <c r="S1520" i="7"/>
  <c r="R1521" i="7"/>
  <c r="S1521" i="7"/>
  <c r="R1522" i="7"/>
  <c r="S1522" i="7"/>
  <c r="R1523" i="7"/>
  <c r="R1524" i="7"/>
  <c r="R1525" i="7"/>
  <c r="R1526" i="7"/>
  <c r="S1526" i="7"/>
  <c r="R1527" i="7"/>
  <c r="S1527" i="7"/>
  <c r="R1528" i="7"/>
  <c r="S1528" i="7"/>
  <c r="R1529" i="7"/>
  <c r="S1529" i="7"/>
  <c r="R1530" i="7"/>
  <c r="S1530" i="7"/>
  <c r="R1531" i="7"/>
  <c r="S1531" i="7"/>
  <c r="R1532" i="7"/>
  <c r="R1535" i="7"/>
  <c r="S1535" i="7"/>
  <c r="R1536" i="7"/>
  <c r="S1536" i="7"/>
  <c r="R1537" i="7"/>
  <c r="R1538" i="7"/>
  <c r="S1538" i="7"/>
  <c r="R1539" i="7"/>
  <c r="S1539" i="7"/>
  <c r="R1540" i="7"/>
  <c r="S1540" i="7"/>
  <c r="R1541" i="7"/>
  <c r="S1541" i="7"/>
  <c r="R1542" i="7"/>
  <c r="S1542" i="7"/>
  <c r="R1543" i="7"/>
  <c r="S1543" i="7"/>
  <c r="R1544" i="7"/>
  <c r="S1544" i="7"/>
  <c r="R1545" i="7"/>
  <c r="S1545" i="7"/>
  <c r="R1546" i="7"/>
  <c r="R1547" i="7"/>
  <c r="S1547" i="7"/>
  <c r="R1548" i="7"/>
  <c r="S1548" i="7"/>
  <c r="R1549" i="7"/>
  <c r="S1549" i="7"/>
  <c r="R1550" i="7"/>
  <c r="S1550" i="7"/>
  <c r="R1551" i="7"/>
  <c r="S1551" i="7"/>
  <c r="R1552" i="7"/>
  <c r="S1552" i="7"/>
  <c r="R1554" i="7"/>
  <c r="R1555" i="7"/>
  <c r="S1555" i="7"/>
  <c r="R1556" i="7"/>
  <c r="R1557" i="7"/>
  <c r="R1559" i="7"/>
  <c r="R1560" i="7"/>
  <c r="R1561" i="7"/>
  <c r="R1562" i="7"/>
  <c r="S1562" i="7"/>
  <c r="R1563" i="7"/>
  <c r="S1563" i="7"/>
  <c r="R1564" i="7"/>
  <c r="S1564" i="7"/>
  <c r="R1565" i="7"/>
  <c r="S1565" i="7"/>
  <c r="R1566" i="7"/>
  <c r="R1567" i="7"/>
  <c r="R1568" i="7"/>
  <c r="R1569" i="7"/>
  <c r="S1569" i="7"/>
  <c r="R1570" i="7"/>
  <c r="S1570" i="7"/>
  <c r="R1571" i="7"/>
  <c r="R1572" i="7"/>
  <c r="S1572" i="7"/>
  <c r="R1573" i="7"/>
  <c r="S1573" i="7"/>
  <c r="R1574" i="7"/>
  <c r="S1574" i="7"/>
  <c r="R1576" i="7"/>
  <c r="R1577" i="7"/>
  <c r="R1578" i="7"/>
  <c r="S1578" i="7"/>
  <c r="R1579" i="7"/>
  <c r="R1580" i="7"/>
  <c r="R1581" i="7"/>
  <c r="S1581" i="7"/>
  <c r="R1582" i="7"/>
  <c r="S1582" i="7"/>
  <c r="R1583" i="7"/>
  <c r="S1583" i="7"/>
  <c r="R1584" i="7"/>
  <c r="S1584" i="7"/>
  <c r="R1585" i="7"/>
  <c r="R1586" i="7"/>
  <c r="R1587" i="7"/>
  <c r="S1587" i="7"/>
  <c r="R1588" i="7"/>
  <c r="R1589" i="7"/>
  <c r="R1590" i="7"/>
  <c r="S1590" i="7"/>
  <c r="R1591" i="7"/>
  <c r="R1592" i="7"/>
  <c r="R1593" i="7"/>
  <c r="S1593" i="7"/>
  <c r="R1594" i="7"/>
  <c r="S1594" i="7"/>
  <c r="R1595" i="7"/>
  <c r="S1595" i="7"/>
  <c r="R1596" i="7"/>
  <c r="S1596" i="7"/>
  <c r="R1598" i="7"/>
  <c r="R1599" i="7"/>
  <c r="R1600" i="7"/>
  <c r="R1602" i="7"/>
  <c r="S1602" i="7"/>
  <c r="R1603" i="7"/>
  <c r="R1604" i="7"/>
  <c r="S1604" i="7"/>
  <c r="R1605" i="7"/>
  <c r="S1605" i="7"/>
  <c r="R1606" i="7"/>
  <c r="S1606" i="7"/>
  <c r="R1607" i="7"/>
  <c r="S1607" i="7"/>
  <c r="R1608" i="7"/>
  <c r="R558" i="7"/>
  <c r="R559" i="7"/>
  <c r="R560" i="7"/>
  <c r="R562" i="7"/>
  <c r="R563" i="7"/>
  <c r="S563" i="7"/>
  <c r="R564" i="7"/>
  <c r="S564" i="7"/>
  <c r="R565" i="7"/>
  <c r="R566" i="7"/>
  <c r="R567" i="7"/>
  <c r="R568" i="7"/>
  <c r="R569" i="7"/>
  <c r="R570" i="7"/>
  <c r="R571" i="7"/>
  <c r="S571" i="7"/>
  <c r="R572" i="7"/>
  <c r="R573" i="7"/>
  <c r="S573" i="7"/>
  <c r="R574" i="7"/>
  <c r="S574" i="7"/>
  <c r="R575" i="7"/>
  <c r="S575" i="7"/>
  <c r="R576" i="7"/>
  <c r="S576" i="7"/>
  <c r="R577" i="7"/>
  <c r="S577" i="7"/>
  <c r="R578" i="7"/>
  <c r="R579" i="7"/>
  <c r="S579" i="7"/>
  <c r="R580" i="7"/>
  <c r="R581" i="7"/>
  <c r="R582" i="7"/>
  <c r="S582" i="7"/>
  <c r="R584" i="7"/>
  <c r="R585" i="7"/>
  <c r="R586" i="7"/>
  <c r="R587" i="7"/>
  <c r="R588" i="7"/>
  <c r="S588" i="7"/>
  <c r="R589" i="7"/>
  <c r="S589" i="7"/>
  <c r="R590" i="7"/>
  <c r="R591" i="7"/>
  <c r="S591" i="7"/>
  <c r="R592" i="7"/>
  <c r="R593" i="7"/>
  <c r="R594" i="7"/>
  <c r="S594" i="7"/>
  <c r="R598" i="7"/>
  <c r="R597" i="7" s="1"/>
  <c r="S598" i="7"/>
  <c r="S597" i="7" s="1"/>
  <c r="R599" i="7"/>
  <c r="R600" i="7"/>
  <c r="S600" i="7"/>
  <c r="R601" i="7"/>
  <c r="R602" i="7"/>
  <c r="S602" i="7"/>
  <c r="R603" i="7"/>
  <c r="S603" i="7"/>
  <c r="R604" i="7"/>
  <c r="S604" i="7"/>
  <c r="R605" i="7"/>
  <c r="S605" i="7"/>
  <c r="R606" i="7"/>
  <c r="S606" i="7"/>
  <c r="R607" i="7"/>
  <c r="S607" i="7"/>
  <c r="R608" i="7"/>
  <c r="S608" i="7"/>
  <c r="R609" i="7"/>
  <c r="S609" i="7"/>
  <c r="R610" i="7"/>
  <c r="R611" i="7"/>
  <c r="S611" i="7"/>
  <c r="R612" i="7"/>
  <c r="R613" i="7"/>
  <c r="S613" i="7"/>
  <c r="R614" i="7"/>
  <c r="S614" i="7"/>
  <c r="R615" i="7"/>
  <c r="S615" i="7"/>
  <c r="R616" i="7"/>
  <c r="S616" i="7"/>
  <c r="R617" i="7"/>
  <c r="S617" i="7"/>
  <c r="R618" i="7"/>
  <c r="S618" i="7"/>
  <c r="R619" i="7"/>
  <c r="S619" i="7"/>
  <c r="R620" i="7"/>
  <c r="S620" i="7"/>
  <c r="R621" i="7"/>
  <c r="R622" i="7"/>
  <c r="S622" i="7"/>
  <c r="R623" i="7"/>
  <c r="S623" i="7"/>
  <c r="R624" i="7"/>
  <c r="S624" i="7"/>
  <c r="R625" i="7"/>
  <c r="S625" i="7"/>
  <c r="R626" i="7"/>
  <c r="S626" i="7"/>
  <c r="R627" i="7"/>
  <c r="S627" i="7"/>
  <c r="R628" i="7"/>
  <c r="S628" i="7"/>
  <c r="R629" i="7"/>
  <c r="S629" i="7"/>
  <c r="R630" i="7"/>
  <c r="S630" i="7"/>
  <c r="R631" i="7"/>
  <c r="R632" i="7"/>
  <c r="R633" i="7"/>
  <c r="R634" i="7"/>
  <c r="R635" i="7"/>
  <c r="R636" i="7"/>
  <c r="R637" i="7"/>
  <c r="R638" i="7"/>
  <c r="R639" i="7"/>
  <c r="R640" i="7"/>
  <c r="R641" i="7"/>
  <c r="R642" i="7"/>
  <c r="R643" i="7"/>
  <c r="R644" i="7"/>
  <c r="R645" i="7"/>
  <c r="R646" i="7"/>
  <c r="S646" i="7"/>
  <c r="R647" i="7"/>
  <c r="S647" i="7"/>
  <c r="R648" i="7"/>
  <c r="R649" i="7"/>
  <c r="R650" i="7"/>
  <c r="S650" i="7"/>
  <c r="R651" i="7"/>
  <c r="S651" i="7"/>
  <c r="R652" i="7"/>
  <c r="R653" i="7"/>
  <c r="R654" i="7"/>
  <c r="R655" i="7"/>
  <c r="S655" i="7"/>
  <c r="R656" i="7"/>
  <c r="S656" i="7"/>
  <c r="R657" i="7"/>
  <c r="S657" i="7"/>
  <c r="R658" i="7"/>
  <c r="S658" i="7"/>
  <c r="R659" i="7"/>
  <c r="R660" i="7"/>
  <c r="R661" i="7"/>
  <c r="S661" i="7"/>
  <c r="R662" i="7"/>
  <c r="R663" i="7"/>
  <c r="R664" i="7"/>
  <c r="S664" i="7"/>
  <c r="R665" i="7"/>
  <c r="S665" i="7"/>
  <c r="R666" i="7"/>
  <c r="S666" i="7"/>
  <c r="R667" i="7"/>
  <c r="S667" i="7"/>
  <c r="R668" i="7"/>
  <c r="R669" i="7"/>
  <c r="S669" i="7"/>
  <c r="R670" i="7"/>
  <c r="S670" i="7"/>
  <c r="R671" i="7"/>
  <c r="S671" i="7"/>
  <c r="R672" i="7"/>
  <c r="R673" i="7"/>
  <c r="R674" i="7"/>
  <c r="S674" i="7"/>
  <c r="R675" i="7"/>
  <c r="R676" i="7"/>
  <c r="S676" i="7"/>
  <c r="R677" i="7"/>
  <c r="R678" i="7"/>
  <c r="S678" i="7"/>
  <c r="R679" i="7"/>
  <c r="R680" i="7"/>
  <c r="R681" i="7"/>
  <c r="R682" i="7"/>
  <c r="R683" i="7"/>
  <c r="R684" i="7"/>
  <c r="R685" i="7"/>
  <c r="R686" i="7"/>
  <c r="S686" i="7"/>
  <c r="R687" i="7"/>
  <c r="R688" i="7"/>
  <c r="S688" i="7"/>
  <c r="R689" i="7"/>
  <c r="S689" i="7"/>
  <c r="R690" i="7"/>
  <c r="S690" i="7"/>
  <c r="R691" i="7"/>
  <c r="S691" i="7"/>
  <c r="R692" i="7"/>
  <c r="S692" i="7"/>
  <c r="R693" i="7"/>
  <c r="R694" i="7"/>
  <c r="R695" i="7"/>
  <c r="R696" i="7"/>
  <c r="R418" i="7"/>
  <c r="R419" i="7"/>
  <c r="R420" i="7"/>
  <c r="R421" i="7"/>
  <c r="R422" i="7"/>
  <c r="S422" i="7"/>
  <c r="R423" i="7"/>
  <c r="R424" i="7"/>
  <c r="R425" i="7"/>
  <c r="R426" i="7"/>
  <c r="R427" i="7"/>
  <c r="R428" i="7"/>
  <c r="R429" i="7"/>
  <c r="S429" i="7"/>
  <c r="R430" i="7"/>
  <c r="R433" i="7"/>
  <c r="R434" i="7"/>
  <c r="R435" i="7"/>
  <c r="R437" i="7"/>
  <c r="R438" i="7"/>
  <c r="S438" i="7"/>
  <c r="R439" i="7"/>
  <c r="R440" i="7"/>
  <c r="R441" i="7"/>
  <c r="S441" i="7"/>
  <c r="R442" i="7"/>
  <c r="R443" i="7"/>
  <c r="R444" i="7"/>
  <c r="R445" i="7"/>
  <c r="R446" i="7"/>
  <c r="R447" i="7"/>
  <c r="R448" i="7"/>
  <c r="R450" i="7"/>
  <c r="S450" i="7"/>
  <c r="R451" i="7"/>
  <c r="S451" i="7"/>
  <c r="R452" i="7"/>
  <c r="R453" i="7"/>
  <c r="R454" i="7"/>
  <c r="S454" i="7"/>
  <c r="R455" i="7"/>
  <c r="S455" i="7"/>
  <c r="R456" i="7"/>
  <c r="R457" i="7"/>
  <c r="S457" i="7"/>
  <c r="R458" i="7"/>
  <c r="R459" i="7"/>
  <c r="R460" i="7"/>
  <c r="S460" i="7"/>
  <c r="R462" i="7"/>
  <c r="R463" i="7"/>
  <c r="R464" i="7"/>
  <c r="R465" i="7"/>
  <c r="R466" i="7"/>
  <c r="R467" i="7"/>
  <c r="R468" i="7"/>
  <c r="S468" i="7"/>
  <c r="R469" i="7"/>
  <c r="R470" i="7"/>
  <c r="R471" i="7"/>
  <c r="S471" i="7"/>
  <c r="R473" i="7"/>
  <c r="R474" i="7"/>
  <c r="S474" i="7"/>
  <c r="R475" i="7"/>
  <c r="S475" i="7"/>
  <c r="R476" i="7"/>
  <c r="S476" i="7"/>
  <c r="R477" i="7"/>
  <c r="R478" i="7"/>
  <c r="R479" i="7"/>
  <c r="R480" i="7"/>
  <c r="S480" i="7"/>
  <c r="R481" i="7"/>
  <c r="S481" i="7"/>
  <c r="R482" i="7"/>
  <c r="S482" i="7"/>
  <c r="R483" i="7"/>
  <c r="R484" i="7"/>
  <c r="R485" i="7"/>
  <c r="S485" i="7"/>
  <c r="R486" i="7"/>
  <c r="R487" i="7"/>
  <c r="R488" i="7"/>
  <c r="S488" i="7"/>
  <c r="R281" i="7"/>
  <c r="R282" i="7"/>
  <c r="S282" i="7"/>
  <c r="R283" i="7"/>
  <c r="R284" i="7"/>
  <c r="S284" i="7"/>
  <c r="R285" i="7"/>
  <c r="S285" i="7"/>
  <c r="R286" i="7"/>
  <c r="R287" i="7"/>
  <c r="R288" i="7"/>
  <c r="R289" i="7"/>
  <c r="R290" i="7"/>
  <c r="S290" i="7"/>
  <c r="R291" i="7"/>
  <c r="S291" i="7"/>
  <c r="R292" i="7"/>
  <c r="R293" i="7"/>
  <c r="S293" i="7"/>
  <c r="R294" i="7"/>
  <c r="R295" i="7"/>
  <c r="S295" i="7"/>
  <c r="R296" i="7"/>
  <c r="S296" i="7"/>
  <c r="R297" i="7"/>
  <c r="R298" i="7"/>
  <c r="R299" i="7"/>
  <c r="R300" i="7"/>
  <c r="R301" i="7"/>
  <c r="S301" i="7"/>
  <c r="R302" i="7"/>
  <c r="R303" i="7"/>
  <c r="R304" i="7"/>
  <c r="R305" i="7"/>
  <c r="S305" i="7"/>
  <c r="R306" i="7"/>
  <c r="S306" i="7"/>
  <c r="R307" i="7"/>
  <c r="R308" i="7"/>
  <c r="R309" i="7"/>
  <c r="S309" i="7"/>
  <c r="R310" i="7"/>
  <c r="S310" i="7"/>
  <c r="R311" i="7"/>
  <c r="R312" i="7"/>
  <c r="S312" i="7"/>
  <c r="R313" i="7"/>
  <c r="S313" i="7"/>
  <c r="R314" i="7"/>
  <c r="S314" i="7"/>
  <c r="R315" i="7"/>
  <c r="S315" i="7"/>
  <c r="R316" i="7"/>
  <c r="S316" i="7"/>
  <c r="R319" i="7"/>
  <c r="S319" i="7"/>
  <c r="R320" i="7"/>
  <c r="S320" i="7"/>
  <c r="R321" i="7"/>
  <c r="R322" i="7"/>
  <c r="S322" i="7"/>
  <c r="R323" i="7"/>
  <c r="R324" i="7"/>
  <c r="R325" i="7"/>
  <c r="S325" i="7"/>
  <c r="R326" i="7"/>
  <c r="S326" i="7"/>
  <c r="R327" i="7"/>
  <c r="R328" i="7"/>
  <c r="S328" i="7"/>
  <c r="R330" i="7"/>
  <c r="R331" i="7"/>
  <c r="S331" i="7"/>
  <c r="R332" i="7"/>
  <c r="S332" i="7"/>
  <c r="R333" i="7"/>
  <c r="R334" i="7"/>
  <c r="S334" i="7"/>
  <c r="R335" i="7"/>
  <c r="S335" i="7"/>
  <c r="R337" i="7"/>
  <c r="R338" i="7"/>
  <c r="R339" i="7"/>
  <c r="R340" i="7"/>
  <c r="R341" i="7"/>
  <c r="S341" i="7"/>
  <c r="R342" i="7"/>
  <c r="R343" i="7"/>
  <c r="R344" i="7"/>
  <c r="R345" i="7"/>
  <c r="R346" i="7"/>
  <c r="R347" i="7"/>
  <c r="S347" i="7"/>
  <c r="R348" i="7"/>
  <c r="S348" i="7"/>
  <c r="R349" i="7"/>
  <c r="R350" i="7"/>
  <c r="S350" i="7"/>
  <c r="R351" i="7"/>
  <c r="S351" i="7"/>
  <c r="R352" i="7"/>
  <c r="S352" i="7"/>
  <c r="R353" i="7"/>
  <c r="S353" i="7"/>
  <c r="R354" i="7"/>
  <c r="S354" i="7"/>
  <c r="R149" i="7"/>
  <c r="R150" i="7"/>
  <c r="S150" i="7"/>
  <c r="R153" i="7"/>
  <c r="S153" i="7"/>
  <c r="R154" i="7"/>
  <c r="R156" i="7"/>
  <c r="S156" i="7"/>
  <c r="R157" i="7"/>
  <c r="R160" i="7"/>
  <c r="S160" i="7"/>
  <c r="R161" i="7"/>
  <c r="S161" i="7"/>
  <c r="R163" i="7"/>
  <c r="R165" i="7"/>
  <c r="R166" i="7"/>
  <c r="S166" i="7"/>
  <c r="R167" i="7"/>
  <c r="S167" i="7"/>
  <c r="R171" i="7"/>
  <c r="R172" i="7"/>
  <c r="S172" i="7"/>
  <c r="R173" i="7"/>
  <c r="R176" i="7"/>
  <c r="R177" i="7"/>
  <c r="S177" i="7"/>
  <c r="R178" i="7"/>
  <c r="S178" i="7"/>
  <c r="R179" i="7"/>
  <c r="S179" i="7"/>
  <c r="R180" i="7"/>
  <c r="S180" i="7"/>
  <c r="R181" i="7"/>
  <c r="R182" i="7"/>
  <c r="S182" i="7"/>
  <c r="R183" i="7"/>
  <c r="R186" i="7"/>
  <c r="R188" i="7"/>
  <c r="S188" i="7"/>
  <c r="R189" i="7"/>
  <c r="S189" i="7"/>
  <c r="R190" i="7"/>
  <c r="S190" i="7"/>
  <c r="R192" i="7"/>
  <c r="S192" i="7"/>
  <c r="R194" i="7"/>
  <c r="S194" i="7"/>
  <c r="R196" i="7"/>
  <c r="S196" i="7"/>
  <c r="R197" i="7"/>
  <c r="S197" i="7"/>
  <c r="R200" i="7"/>
  <c r="R201" i="7"/>
  <c r="S201" i="7"/>
  <c r="R202" i="7"/>
  <c r="S202" i="7"/>
  <c r="R203" i="7"/>
  <c r="S203" i="7"/>
  <c r="R205" i="7"/>
  <c r="R206" i="7"/>
  <c r="R208" i="7"/>
  <c r="R209" i="7"/>
  <c r="S209" i="7"/>
  <c r="R212" i="7"/>
  <c r="S212" i="7"/>
  <c r="R213" i="7"/>
  <c r="S213" i="7"/>
  <c r="R216" i="7"/>
  <c r="S216" i="7"/>
  <c r="R217" i="7"/>
  <c r="S217" i="7"/>
  <c r="R218" i="7"/>
  <c r="S218" i="7"/>
  <c r="R220" i="7"/>
  <c r="R221" i="7"/>
  <c r="R222" i="7"/>
  <c r="R223" i="7"/>
  <c r="R226" i="7"/>
  <c r="S226" i="7"/>
  <c r="R227" i="7"/>
  <c r="S227" i="7"/>
  <c r="R89" i="7"/>
  <c r="S89" i="7"/>
  <c r="R90" i="7"/>
  <c r="R93" i="7"/>
  <c r="R94" i="7"/>
  <c r="S94" i="7"/>
  <c r="R96" i="7"/>
  <c r="R10" i="7"/>
  <c r="R11" i="7"/>
  <c r="S11" i="7"/>
  <c r="R12" i="7"/>
  <c r="S12" i="7"/>
  <c r="R13" i="7"/>
  <c r="S13" i="7"/>
  <c r="R14" i="7"/>
  <c r="S14" i="7"/>
  <c r="R15" i="7"/>
  <c r="S15" i="7"/>
  <c r="R18" i="7"/>
  <c r="S18" i="7"/>
  <c r="R21" i="7"/>
  <c r="S21" i="7"/>
  <c r="R26" i="7"/>
  <c r="S26" i="7"/>
  <c r="R28" i="7"/>
  <c r="S28" i="7"/>
  <c r="R30" i="7"/>
  <c r="S30" i="7"/>
  <c r="R31" i="7"/>
  <c r="S31" i="7"/>
  <c r="R33" i="7"/>
  <c r="R35" i="7"/>
  <c r="S35" i="7"/>
  <c r="R36" i="7"/>
  <c r="R38" i="7"/>
  <c r="R39" i="7"/>
  <c r="S39" i="7"/>
  <c r="R40" i="7"/>
  <c r="S40" i="7"/>
  <c r="R42" i="7"/>
  <c r="R43" i="7"/>
  <c r="R44" i="7"/>
  <c r="R45" i="7"/>
  <c r="S45" i="7"/>
  <c r="R46" i="7"/>
  <c r="S46" i="7"/>
  <c r="R48" i="7"/>
  <c r="R50" i="7"/>
  <c r="S50" i="7"/>
  <c r="R51" i="7"/>
  <c r="S51" i="7"/>
  <c r="R52" i="7"/>
  <c r="S52" i="7"/>
  <c r="R53" i="7"/>
  <c r="R54" i="7"/>
  <c r="S54" i="7"/>
  <c r="R56" i="7"/>
  <c r="R57" i="7"/>
  <c r="R58" i="7"/>
  <c r="R59" i="7"/>
  <c r="R60" i="7"/>
  <c r="R61" i="7"/>
  <c r="R62" i="7"/>
  <c r="R63" i="7"/>
  <c r="R64" i="7"/>
  <c r="R65" i="7"/>
  <c r="R66" i="7"/>
  <c r="R67" i="7"/>
  <c r="R69" i="7"/>
  <c r="R71" i="7"/>
  <c r="S71" i="7"/>
  <c r="R72" i="7"/>
  <c r="S72" i="7"/>
  <c r="R74" i="7"/>
  <c r="R75" i="7"/>
  <c r="S75" i="7"/>
  <c r="R76" i="7"/>
  <c r="S76" i="7"/>
  <c r="R939" i="7" l="1"/>
  <c r="R461" i="7"/>
  <c r="R219" i="7"/>
  <c r="R417" i="7"/>
  <c r="R1513" i="7"/>
  <c r="R1457" i="7"/>
  <c r="R807" i="7"/>
  <c r="N1690" i="7"/>
  <c r="R794" i="7"/>
  <c r="R952" i="7"/>
  <c r="R1474" i="7"/>
  <c r="R211" i="7"/>
  <c r="R1089" i="7"/>
  <c r="R841" i="7"/>
  <c r="R1129" i="7"/>
  <c r="J27" i="7"/>
  <c r="R27" i="7" s="1"/>
  <c r="J16" i="7"/>
  <c r="R16" i="7" s="1"/>
  <c r="J158" i="7"/>
  <c r="R866" i="7"/>
  <c r="R20" i="7"/>
  <c r="R2239" i="7"/>
  <c r="J280" i="7"/>
  <c r="E8" i="8" s="1"/>
  <c r="R2146" i="7"/>
  <c r="N2144" i="7"/>
  <c r="H15" i="8" s="1"/>
  <c r="R1496" i="7"/>
  <c r="R317" i="7"/>
  <c r="R971" i="7"/>
  <c r="R1062" i="7"/>
  <c r="R162" i="7"/>
  <c r="R318" i="7"/>
  <c r="K13" i="8"/>
  <c r="R1736" i="7"/>
  <c r="R762" i="7"/>
  <c r="R1009" i="7"/>
  <c r="N776" i="7"/>
  <c r="N749" i="7" s="1"/>
  <c r="K16" i="8"/>
  <c r="R2029" i="7"/>
  <c r="N436" i="7"/>
  <c r="R436" i="7" s="1"/>
  <c r="N1762" i="7"/>
  <c r="R1534" i="7"/>
  <c r="J214" i="7"/>
  <c r="R214" i="7" s="1"/>
  <c r="R2304" i="7"/>
  <c r="J1333" i="7"/>
  <c r="R1333" i="7" s="1"/>
  <c r="R2069" i="7"/>
  <c r="N2058" i="7"/>
  <c r="R2058" i="7" s="1"/>
  <c r="R2010" i="7"/>
  <c r="R2086" i="7"/>
  <c r="R1871" i="7"/>
  <c r="R1711" i="7"/>
  <c r="R1708" i="7"/>
  <c r="R1763" i="7"/>
  <c r="R891" i="7"/>
  <c r="R881" i="7"/>
  <c r="R1119" i="7"/>
  <c r="R1095" i="7"/>
  <c r="N965" i="7"/>
  <c r="R1553" i="7"/>
  <c r="N1325" i="7"/>
  <c r="R1575" i="7"/>
  <c r="N557" i="7"/>
  <c r="H10" i="8" s="1"/>
  <c r="R596" i="7"/>
  <c r="R595" i="7"/>
  <c r="R449" i="7"/>
  <c r="R472" i="7"/>
  <c r="R336" i="7"/>
  <c r="N280" i="7"/>
  <c r="H8" i="8" s="1"/>
  <c r="R175" i="7"/>
  <c r="N143" i="7"/>
  <c r="H7" i="8" s="1"/>
  <c r="R41" i="7"/>
  <c r="N7" i="7"/>
  <c r="H5" i="8" s="1"/>
  <c r="R2305" i="7"/>
  <c r="J2186" i="7"/>
  <c r="R2186" i="7" s="1"/>
  <c r="R2221" i="7"/>
  <c r="R2232" i="7"/>
  <c r="J2009" i="7"/>
  <c r="E14" i="8" s="1"/>
  <c r="R1905" i="7"/>
  <c r="R1753" i="7"/>
  <c r="J1690" i="7"/>
  <c r="R1720" i="7"/>
  <c r="J776" i="7"/>
  <c r="J965" i="7"/>
  <c r="J1220" i="7"/>
  <c r="R1220" i="7" s="1"/>
  <c r="R1280" i="7"/>
  <c r="R1334" i="7"/>
  <c r="R1597" i="7"/>
  <c r="R583" i="7"/>
  <c r="J557" i="7"/>
  <c r="E10" i="8" s="1"/>
  <c r="R561" i="7"/>
  <c r="J416" i="7"/>
  <c r="E9" i="8" s="1"/>
  <c r="R145" i="7"/>
  <c r="J184" i="7"/>
  <c r="R184" i="7" s="1"/>
  <c r="R187" i="7"/>
  <c r="R198" i="7"/>
  <c r="J195" i="7"/>
  <c r="R195" i="7" s="1"/>
  <c r="R224" i="7"/>
  <c r="R169" i="7"/>
  <c r="R152" i="7"/>
  <c r="J151" i="7"/>
  <c r="R151" i="7" s="1"/>
  <c r="R225" i="7"/>
  <c r="R199" i="7"/>
  <c r="R193" i="7"/>
  <c r="R158" i="7"/>
  <c r="J87" i="7"/>
  <c r="R87" i="7" s="1"/>
  <c r="R88" i="7"/>
  <c r="R95" i="7"/>
  <c r="J92" i="7"/>
  <c r="R25" i="7"/>
  <c r="R49" i="7"/>
  <c r="J47" i="7"/>
  <c r="R47" i="7" s="1"/>
  <c r="J23" i="7"/>
  <c r="R24" i="7"/>
  <c r="R37" i="7"/>
  <c r="J34" i="7"/>
  <c r="R34" i="7" s="1"/>
  <c r="J68" i="7"/>
  <c r="R70" i="7"/>
  <c r="R73" i="7"/>
  <c r="Q2318" i="7"/>
  <c r="Q2317" i="7"/>
  <c r="Q2316" i="7"/>
  <c r="Q2315" i="7"/>
  <c r="I2314" i="7"/>
  <c r="K2314" i="7" s="1"/>
  <c r="S2314" i="7" s="1"/>
  <c r="Q2313" i="7"/>
  <c r="Q2312" i="7"/>
  <c r="M2311" i="7"/>
  <c r="O2311" i="7" s="1"/>
  <c r="I2311" i="7"/>
  <c r="Q2309" i="7"/>
  <c r="I2308" i="7"/>
  <c r="K2308" i="7" s="1"/>
  <c r="S2308" i="7" s="1"/>
  <c r="M2307" i="7"/>
  <c r="O2307" i="7" s="1"/>
  <c r="B2304" i="7"/>
  <c r="B2305" i="7" s="1"/>
  <c r="B2306" i="7" s="1"/>
  <c r="B2307" i="7" s="1"/>
  <c r="B2308" i="7" s="1"/>
  <c r="B2309" i="7" s="1"/>
  <c r="B2310" i="7" s="1"/>
  <c r="B2311" i="7" s="1"/>
  <c r="B2312" i="7" s="1"/>
  <c r="B2313" i="7" s="1"/>
  <c r="B2314" i="7" s="1"/>
  <c r="B2315" i="7" s="1"/>
  <c r="B2316" i="7" s="1"/>
  <c r="B2317" i="7" s="1"/>
  <c r="B2318" i="7" s="1"/>
  <c r="B2319" i="7" s="1"/>
  <c r="I2293" i="7"/>
  <c r="K2293" i="7" s="1"/>
  <c r="S2293" i="7" s="1"/>
  <c r="I2292" i="7"/>
  <c r="Q2291" i="7"/>
  <c r="I2290" i="7"/>
  <c r="K2290" i="7" s="1"/>
  <c r="S2290" i="7" s="1"/>
  <c r="Q2289" i="7"/>
  <c r="Q2288" i="7"/>
  <c r="Q2287" i="7"/>
  <c r="M2286" i="7"/>
  <c r="O2286" i="7" s="1"/>
  <c r="I2285" i="7"/>
  <c r="I2284" i="7"/>
  <c r="K2284" i="7" s="1"/>
  <c r="S2284" i="7" s="1"/>
  <c r="M2282" i="7"/>
  <c r="O2282" i="7" s="1"/>
  <c r="Q2281" i="7"/>
  <c r="Q2280" i="7"/>
  <c r="Q2279" i="7"/>
  <c r="Q2278" i="7"/>
  <c r="I2277" i="7"/>
  <c r="K2277" i="7" s="1"/>
  <c r="S2277" i="7" s="1"/>
  <c r="I2276" i="7"/>
  <c r="Q2275" i="7"/>
  <c r="M2274" i="7"/>
  <c r="O2274" i="7" s="1"/>
  <c r="I2272" i="7"/>
  <c r="K2272" i="7" s="1"/>
  <c r="S2272" i="7" s="1"/>
  <c r="M2271" i="7"/>
  <c r="Q2270" i="7"/>
  <c r="I2269" i="7"/>
  <c r="I2268" i="7" s="1"/>
  <c r="M2268" i="7"/>
  <c r="O2268" i="7" s="1"/>
  <c r="I2266" i="7"/>
  <c r="K2266" i="7" s="1"/>
  <c r="S2266" i="7" s="1"/>
  <c r="M2265" i="7"/>
  <c r="O2265" i="7" s="1"/>
  <c r="I2263" i="7"/>
  <c r="I2262" i="7"/>
  <c r="K2262" i="7" s="1"/>
  <c r="S2262" i="7" s="1"/>
  <c r="Q2261" i="7"/>
  <c r="I2260" i="7"/>
  <c r="Q2259" i="7"/>
  <c r="M2258" i="7"/>
  <c r="I2257" i="7"/>
  <c r="K2257" i="7" s="1"/>
  <c r="S2257" i="7" s="1"/>
  <c r="I2256" i="7"/>
  <c r="Q2253" i="7"/>
  <c r="M2252" i="7"/>
  <c r="O2252" i="7" s="1"/>
  <c r="S2252" i="7" s="1"/>
  <c r="I2251" i="7"/>
  <c r="I2250" i="7" s="1"/>
  <c r="I2249" i="7"/>
  <c r="I2248" i="7"/>
  <c r="K2248" i="7" s="1"/>
  <c r="S2248" i="7" s="1"/>
  <c r="Q2247" i="7"/>
  <c r="Q2246" i="7"/>
  <c r="Q2245" i="7"/>
  <c r="Q2244" i="7"/>
  <c r="Q2243" i="7"/>
  <c r="M2242" i="7"/>
  <c r="I2241" i="7"/>
  <c r="I2240" i="7"/>
  <c r="K2240" i="7" s="1"/>
  <c r="S2240" i="7" s="1"/>
  <c r="I2238" i="7"/>
  <c r="Q2236" i="7"/>
  <c r="Q2235" i="7"/>
  <c r="M2234" i="7"/>
  <c r="I2234" i="7"/>
  <c r="Q2233" i="7"/>
  <c r="Q2231" i="7"/>
  <c r="I2230" i="7"/>
  <c r="Q2229" i="7"/>
  <c r="Q2228" i="7"/>
  <c r="M2227" i="7"/>
  <c r="O2227" i="7" s="1"/>
  <c r="I2227" i="7"/>
  <c r="I2226" i="7" s="1"/>
  <c r="Q2225" i="7"/>
  <c r="Q2224" i="7"/>
  <c r="Q2223" i="7"/>
  <c r="M2222" i="7"/>
  <c r="O2222" i="7" s="1"/>
  <c r="I2222" i="7"/>
  <c r="K2222" i="7" s="1"/>
  <c r="Q2220" i="7"/>
  <c r="Q2219" i="7"/>
  <c r="Q2218" i="7"/>
  <c r="M2217" i="7"/>
  <c r="O2217" i="7" s="1"/>
  <c r="I2217" i="7"/>
  <c r="I2216" i="7"/>
  <c r="K2216" i="7" s="1"/>
  <c r="S2216" i="7" s="1"/>
  <c r="I2215" i="7"/>
  <c r="I2214" i="7"/>
  <c r="K2214" i="7" s="1"/>
  <c r="S2214" i="7" s="1"/>
  <c r="Q2213" i="7"/>
  <c r="I2212" i="7"/>
  <c r="I2211" i="7"/>
  <c r="K2211" i="7" s="1"/>
  <c r="S2211" i="7" s="1"/>
  <c r="Q2210" i="7"/>
  <c r="M2209" i="7"/>
  <c r="O2209" i="7" s="1"/>
  <c r="Q2208" i="7"/>
  <c r="I2207" i="7"/>
  <c r="Q2204" i="7"/>
  <c r="Q2203" i="7"/>
  <c r="Q2202" i="7"/>
  <c r="Q2201" i="7"/>
  <c r="Q2200" i="7"/>
  <c r="Q2199" i="7"/>
  <c r="Q2198" i="7"/>
  <c r="Q2197" i="7"/>
  <c r="Q2196" i="7"/>
  <c r="Q2195" i="7"/>
  <c r="I2194" i="7"/>
  <c r="K2194" i="7" s="1"/>
  <c r="S2194" i="7" s="1"/>
  <c r="Q2191" i="7"/>
  <c r="Q2190" i="7"/>
  <c r="Q2189" i="7"/>
  <c r="M2188" i="7"/>
  <c r="O2188" i="7" s="1"/>
  <c r="I2188" i="7"/>
  <c r="Q2185" i="7"/>
  <c r="I2184" i="7"/>
  <c r="I2183" i="7"/>
  <c r="K2183" i="7" s="1"/>
  <c r="S2183" i="7" s="1"/>
  <c r="I2182" i="7"/>
  <c r="I2181" i="7"/>
  <c r="K2181" i="7" s="1"/>
  <c r="S2181" i="7" s="1"/>
  <c r="M2180" i="7"/>
  <c r="O2180" i="7" s="1"/>
  <c r="I2179" i="7"/>
  <c r="I2178" i="7"/>
  <c r="K2178" i="7" s="1"/>
  <c r="S2178" i="7" s="1"/>
  <c r="Q2175" i="7"/>
  <c r="Q2174" i="7"/>
  <c r="I2173" i="7"/>
  <c r="I2172" i="7"/>
  <c r="K2172" i="7" s="1"/>
  <c r="S2172" i="7" s="1"/>
  <c r="I2171" i="7"/>
  <c r="I2170" i="7"/>
  <c r="K2170" i="7" s="1"/>
  <c r="S2170" i="7" s="1"/>
  <c r="I2169" i="7"/>
  <c r="I2168" i="7"/>
  <c r="K2168" i="7" s="1"/>
  <c r="S2168" i="7" s="1"/>
  <c r="I2167" i="7"/>
  <c r="I2165" i="7"/>
  <c r="I2164" i="7"/>
  <c r="K2164" i="7" s="1"/>
  <c r="S2164" i="7" s="1"/>
  <c r="Q2163" i="7"/>
  <c r="I2160" i="7"/>
  <c r="I2159" i="7" s="1"/>
  <c r="K2159" i="7" s="1"/>
  <c r="M2159" i="7"/>
  <c r="O2159" i="7" s="1"/>
  <c r="Q2158" i="7"/>
  <c r="Q2157" i="7"/>
  <c r="M2156" i="7"/>
  <c r="O2156" i="7" s="1"/>
  <c r="S2156" i="7" s="1"/>
  <c r="I2155" i="7"/>
  <c r="I2154" i="7"/>
  <c r="I2153" i="7"/>
  <c r="K2153" i="7" s="1"/>
  <c r="S2153" i="7" s="1"/>
  <c r="I2152" i="7"/>
  <c r="I2151" i="7"/>
  <c r="K2151" i="7" s="1"/>
  <c r="S2151" i="7" s="1"/>
  <c r="Q2150" i="7"/>
  <c r="M2149" i="7"/>
  <c r="O2149" i="7" s="1"/>
  <c r="Q2148" i="7"/>
  <c r="Q2147" i="7"/>
  <c r="B2144" i="7"/>
  <c r="B2145" i="7" s="1"/>
  <c r="B2146" i="7" s="1"/>
  <c r="B2147" i="7" s="1"/>
  <c r="B2148" i="7" s="1"/>
  <c r="B2149" i="7" s="1"/>
  <c r="B2150" i="7" s="1"/>
  <c r="B2151" i="7" s="1"/>
  <c r="B2152" i="7" s="1"/>
  <c r="B2153" i="7" s="1"/>
  <c r="B2154" i="7" s="1"/>
  <c r="B2155" i="7" s="1"/>
  <c r="B2156" i="7" s="1"/>
  <c r="B2157" i="7" s="1"/>
  <c r="B2158" i="7" s="1"/>
  <c r="B2159" i="7" s="1"/>
  <c r="B2160" i="7" s="1"/>
  <c r="B2161" i="7" s="1"/>
  <c r="B2162" i="7" s="1"/>
  <c r="B2163" i="7" s="1"/>
  <c r="B2164" i="7" s="1"/>
  <c r="B2165" i="7" s="1"/>
  <c r="B2166" i="7" s="1"/>
  <c r="B2167" i="7" s="1"/>
  <c r="B2168" i="7" s="1"/>
  <c r="B2169" i="7" s="1"/>
  <c r="B2170" i="7" s="1"/>
  <c r="B2171" i="7" s="1"/>
  <c r="B2172" i="7" s="1"/>
  <c r="B2173" i="7" s="1"/>
  <c r="B2174" i="7" s="1"/>
  <c r="B2175" i="7" s="1"/>
  <c r="B2176" i="7" s="1"/>
  <c r="B2177" i="7" s="1"/>
  <c r="B2178" i="7" s="1"/>
  <c r="B2179" i="7" s="1"/>
  <c r="B2180" i="7" s="1"/>
  <c r="B2181" i="7" s="1"/>
  <c r="B2182" i="7" s="1"/>
  <c r="B2183" i="7" s="1"/>
  <c r="B2184" i="7" s="1"/>
  <c r="B2185" i="7" s="1"/>
  <c r="B2186" i="7" s="1"/>
  <c r="B2187" i="7" s="1"/>
  <c r="B2188" i="7" s="1"/>
  <c r="B2189" i="7" s="1"/>
  <c r="B2190" i="7" s="1"/>
  <c r="B2191" i="7" s="1"/>
  <c r="B2192" i="7" s="1"/>
  <c r="B2193" i="7" s="1"/>
  <c r="B2194" i="7" s="1"/>
  <c r="B2195" i="7" s="1"/>
  <c r="B2196" i="7" s="1"/>
  <c r="B2197" i="7" s="1"/>
  <c r="B2198" i="7" s="1"/>
  <c r="B2199" i="7" s="1"/>
  <c r="B2200" i="7" s="1"/>
  <c r="B2201" i="7" s="1"/>
  <c r="B2202" i="7" s="1"/>
  <c r="B2203" i="7" s="1"/>
  <c r="B2204" i="7" s="1"/>
  <c r="B2205" i="7" s="1"/>
  <c r="B2206" i="7" s="1"/>
  <c r="B2207" i="7" s="1"/>
  <c r="B2208" i="7" s="1"/>
  <c r="B2209" i="7" s="1"/>
  <c r="B2210" i="7" s="1"/>
  <c r="B2211" i="7" s="1"/>
  <c r="B2212" i="7" s="1"/>
  <c r="B2213" i="7" s="1"/>
  <c r="B2214" i="7" s="1"/>
  <c r="B2215" i="7" s="1"/>
  <c r="B2216" i="7" s="1"/>
  <c r="B2217" i="7" s="1"/>
  <c r="B2218" i="7" s="1"/>
  <c r="B2219" i="7" s="1"/>
  <c r="B2220" i="7" s="1"/>
  <c r="B2221" i="7" s="1"/>
  <c r="B2222" i="7" s="1"/>
  <c r="B2223" i="7" s="1"/>
  <c r="B2224" i="7" s="1"/>
  <c r="B2225" i="7" s="1"/>
  <c r="B2226" i="7" s="1"/>
  <c r="B2227" i="7" s="1"/>
  <c r="B2228" i="7" s="1"/>
  <c r="B2229" i="7" s="1"/>
  <c r="B2230" i="7" s="1"/>
  <c r="B2231" i="7" s="1"/>
  <c r="B2232" i="7" s="1"/>
  <c r="B2233" i="7" s="1"/>
  <c r="B2234" i="7" s="1"/>
  <c r="B2235" i="7" s="1"/>
  <c r="B2236" i="7" s="1"/>
  <c r="B2237" i="7" s="1"/>
  <c r="B2238" i="7" s="1"/>
  <c r="B2239" i="7" s="1"/>
  <c r="B2240" i="7" s="1"/>
  <c r="B2241" i="7" s="1"/>
  <c r="B2242" i="7" s="1"/>
  <c r="B2243" i="7" s="1"/>
  <c r="B2244" i="7" s="1"/>
  <c r="B2245" i="7" s="1"/>
  <c r="B2246" i="7" s="1"/>
  <c r="B2247" i="7" s="1"/>
  <c r="B2248" i="7" s="1"/>
  <c r="B2249" i="7" s="1"/>
  <c r="B2250" i="7" s="1"/>
  <c r="B2251" i="7" s="1"/>
  <c r="B2252" i="7" s="1"/>
  <c r="B2253" i="7" s="1"/>
  <c r="B2254" i="7" s="1"/>
  <c r="B2255" i="7" s="1"/>
  <c r="B2256" i="7" s="1"/>
  <c r="B2257" i="7" s="1"/>
  <c r="B2258" i="7" s="1"/>
  <c r="B2259" i="7" s="1"/>
  <c r="B2260" i="7" s="1"/>
  <c r="B2261" i="7" s="1"/>
  <c r="B2262" i="7" s="1"/>
  <c r="B2263" i="7" s="1"/>
  <c r="B2264" i="7" s="1"/>
  <c r="B2265" i="7" s="1"/>
  <c r="B2266" i="7" s="1"/>
  <c r="B2267" i="7" s="1"/>
  <c r="B2268" i="7" s="1"/>
  <c r="B2269" i="7" s="1"/>
  <c r="B2270" i="7" s="1"/>
  <c r="B2271" i="7" s="1"/>
  <c r="B2272" i="7" s="1"/>
  <c r="B2273" i="7" s="1"/>
  <c r="B2274" i="7" s="1"/>
  <c r="B2275" i="7" s="1"/>
  <c r="B2276" i="7" s="1"/>
  <c r="B2277" i="7" s="1"/>
  <c r="B2278" i="7" s="1"/>
  <c r="B2279" i="7" s="1"/>
  <c r="B2280" i="7" s="1"/>
  <c r="B2281" i="7" s="1"/>
  <c r="B2282" i="7" s="1"/>
  <c r="B2283" i="7" s="1"/>
  <c r="B2284" i="7" s="1"/>
  <c r="B2285" i="7" s="1"/>
  <c r="B2286" i="7" s="1"/>
  <c r="B2287" i="7" s="1"/>
  <c r="B2288" i="7" s="1"/>
  <c r="B2289" i="7" s="1"/>
  <c r="B2290" i="7" s="1"/>
  <c r="B2291" i="7" s="1"/>
  <c r="B2292" i="7" s="1"/>
  <c r="B2293" i="7" s="1"/>
  <c r="I2107" i="7"/>
  <c r="K2107" i="7" s="1"/>
  <c r="S2107" i="7" s="1"/>
  <c r="I2106" i="7"/>
  <c r="I2105" i="7"/>
  <c r="Q2104" i="7"/>
  <c r="I2103" i="7"/>
  <c r="Q2102" i="7"/>
  <c r="Q2101" i="7"/>
  <c r="M2100" i="7"/>
  <c r="O2100" i="7" s="1"/>
  <c r="I2099" i="7"/>
  <c r="I2098" i="7"/>
  <c r="K2098" i="7" s="1"/>
  <c r="S2098" i="7" s="1"/>
  <c r="M2096" i="7"/>
  <c r="O2096" i="7" s="1"/>
  <c r="Q2095" i="7"/>
  <c r="M2094" i="7"/>
  <c r="O2094" i="7" s="1"/>
  <c r="S2094" i="7" s="1"/>
  <c r="Q2092" i="7"/>
  <c r="I2091" i="7"/>
  <c r="K2091" i="7" s="1"/>
  <c r="S2091" i="7" s="1"/>
  <c r="Q2090" i="7"/>
  <c r="M2089" i="7"/>
  <c r="O2089" i="7" s="1"/>
  <c r="Q2088" i="7"/>
  <c r="Q2087" i="7"/>
  <c r="Q2084" i="7"/>
  <c r="M2083" i="7"/>
  <c r="O2083" i="7" s="1"/>
  <c r="S2083" i="7" s="1"/>
  <c r="I2082" i="7"/>
  <c r="Q2081" i="7"/>
  <c r="M2080" i="7"/>
  <c r="O2080" i="7" s="1"/>
  <c r="S2080" i="7" s="1"/>
  <c r="Q2078" i="7"/>
  <c r="I2077" i="7"/>
  <c r="K2077" i="7" s="1"/>
  <c r="Q2075" i="7"/>
  <c r="I2074" i="7"/>
  <c r="I2073" i="7" s="1"/>
  <c r="M2073" i="7"/>
  <c r="O2073" i="7" s="1"/>
  <c r="I2072" i="7"/>
  <c r="K2072" i="7" s="1"/>
  <c r="S2072" i="7" s="1"/>
  <c r="Q2071" i="7"/>
  <c r="M2070" i="7"/>
  <c r="Q2068" i="7"/>
  <c r="M2067" i="7"/>
  <c r="O2067" i="7" s="1"/>
  <c r="S2067" i="7" s="1"/>
  <c r="Q2065" i="7"/>
  <c r="M2064" i="7"/>
  <c r="O2064" i="7" s="1"/>
  <c r="I2064" i="7"/>
  <c r="K2064" i="7" s="1"/>
  <c r="Q2062" i="7"/>
  <c r="I2061" i="7"/>
  <c r="M2060" i="7"/>
  <c r="O2060" i="7" s="1"/>
  <c r="M2059" i="7"/>
  <c r="O2059" i="7" s="1"/>
  <c r="Q2056" i="7"/>
  <c r="Q2054" i="7"/>
  <c r="I2051" i="7"/>
  <c r="Q2050" i="7"/>
  <c r="Q2049" i="7"/>
  <c r="I2046" i="7"/>
  <c r="Q2045" i="7"/>
  <c r="I2044" i="7"/>
  <c r="K2044" i="7" s="1"/>
  <c r="S2044" i="7" s="1"/>
  <c r="M2043" i="7"/>
  <c r="O2043" i="7" s="1"/>
  <c r="I2042" i="7"/>
  <c r="Q2041" i="7"/>
  <c r="I2039" i="7"/>
  <c r="K2039" i="7" s="1"/>
  <c r="S2039" i="7" s="1"/>
  <c r="I2038" i="7"/>
  <c r="K2038" i="7" s="1"/>
  <c r="S2038" i="7" s="1"/>
  <c r="I2037" i="7"/>
  <c r="Q2036" i="7"/>
  <c r="I2035" i="7"/>
  <c r="K2035" i="7" s="1"/>
  <c r="S2035" i="7" s="1"/>
  <c r="Q2034" i="7"/>
  <c r="Q2033" i="7"/>
  <c r="M2032" i="7"/>
  <c r="O2032" i="7" s="1"/>
  <c r="I2031" i="7"/>
  <c r="I2030" i="7"/>
  <c r="Q2028" i="7"/>
  <c r="Q2027" i="7"/>
  <c r="Q2026" i="7"/>
  <c r="M2025" i="7"/>
  <c r="O2025" i="7" s="1"/>
  <c r="S2025" i="7" s="1"/>
  <c r="M2024" i="7"/>
  <c r="O2024" i="7" s="1"/>
  <c r="S2024" i="7" s="1"/>
  <c r="M2021" i="7"/>
  <c r="O2021" i="7" s="1"/>
  <c r="S2021" i="7" s="1"/>
  <c r="I2018" i="7"/>
  <c r="K2018" i="7" s="1"/>
  <c r="I2017" i="7"/>
  <c r="K2017" i="7" s="1"/>
  <c r="I2016" i="7"/>
  <c r="K2016" i="7" s="1"/>
  <c r="I2015" i="7"/>
  <c r="K2015" i="7" s="1"/>
  <c r="Q2013" i="7"/>
  <c r="I2012" i="7"/>
  <c r="K2012" i="7" s="1"/>
  <c r="S2012" i="7" s="1"/>
  <c r="B2009" i="7"/>
  <c r="B2010" i="7" s="1"/>
  <c r="B2011" i="7" s="1"/>
  <c r="B2012" i="7" s="1"/>
  <c r="B2013" i="7" s="1"/>
  <c r="B2014" i="7" s="1"/>
  <c r="B2015" i="7" s="1"/>
  <c r="B2016" i="7" s="1"/>
  <c r="B2017" i="7" s="1"/>
  <c r="B2018" i="7" s="1"/>
  <c r="B2019" i="7" s="1"/>
  <c r="B2020" i="7" s="1"/>
  <c r="B2021" i="7" s="1"/>
  <c r="B2022" i="7" s="1"/>
  <c r="B2023" i="7" s="1"/>
  <c r="B2024" i="7" s="1"/>
  <c r="B2025" i="7" s="1"/>
  <c r="B2026" i="7" s="1"/>
  <c r="B2027" i="7" s="1"/>
  <c r="B2028" i="7" s="1"/>
  <c r="B2029" i="7" s="1"/>
  <c r="B2030" i="7" s="1"/>
  <c r="B2031" i="7" s="1"/>
  <c r="B2032" i="7" s="1"/>
  <c r="B2033" i="7" s="1"/>
  <c r="B2034" i="7" s="1"/>
  <c r="B2035" i="7" s="1"/>
  <c r="B2036" i="7" s="1"/>
  <c r="B2037" i="7" s="1"/>
  <c r="B2038" i="7" s="1"/>
  <c r="B2039" i="7" s="1"/>
  <c r="B2040" i="7" s="1"/>
  <c r="B2041" i="7" s="1"/>
  <c r="B2042" i="7" s="1"/>
  <c r="B2043" i="7" s="1"/>
  <c r="B2044" i="7" s="1"/>
  <c r="B2045" i="7" s="1"/>
  <c r="B2046" i="7" s="1"/>
  <c r="B2047" i="7" s="1"/>
  <c r="B2048" i="7" s="1"/>
  <c r="B2049" i="7" s="1"/>
  <c r="B2050" i="7" s="1"/>
  <c r="B2051" i="7" s="1"/>
  <c r="B2052" i="7" s="1"/>
  <c r="B2053" i="7" s="1"/>
  <c r="B2054" i="7" s="1"/>
  <c r="B2055" i="7" s="1"/>
  <c r="B2056" i="7" s="1"/>
  <c r="B2057" i="7" s="1"/>
  <c r="B2058" i="7" s="1"/>
  <c r="B2059" i="7" s="1"/>
  <c r="B2060" i="7" s="1"/>
  <c r="B2061" i="7" s="1"/>
  <c r="B2062" i="7" s="1"/>
  <c r="B2063" i="7" s="1"/>
  <c r="B2064" i="7" s="1"/>
  <c r="B2065" i="7" s="1"/>
  <c r="B2066" i="7" s="1"/>
  <c r="B2067" i="7" s="1"/>
  <c r="B2068" i="7" s="1"/>
  <c r="B2069" i="7" s="1"/>
  <c r="B2070" i="7" s="1"/>
  <c r="B2071" i="7" s="1"/>
  <c r="B2072" i="7" s="1"/>
  <c r="B2073" i="7" s="1"/>
  <c r="B2074" i="7" s="1"/>
  <c r="B2075" i="7" s="1"/>
  <c r="B2077" i="7" s="1"/>
  <c r="B2078" i="7" s="1"/>
  <c r="B2079" i="7" s="1"/>
  <c r="B2080" i="7" s="1"/>
  <c r="B2081" i="7" s="1"/>
  <c r="B2082" i="7" s="1"/>
  <c r="B2083" i="7" s="1"/>
  <c r="B2084" i="7" s="1"/>
  <c r="B2085" i="7" s="1"/>
  <c r="B2086" i="7" s="1"/>
  <c r="B2087" i="7" s="1"/>
  <c r="B2088" i="7" s="1"/>
  <c r="B2089" i="7" s="1"/>
  <c r="B2090" i="7" s="1"/>
  <c r="B2091" i="7" s="1"/>
  <c r="B2092" i="7" s="1"/>
  <c r="B2093" i="7" s="1"/>
  <c r="B2094" i="7" s="1"/>
  <c r="B2095" i="7" s="1"/>
  <c r="B2096" i="7" s="1"/>
  <c r="B2097" i="7" s="1"/>
  <c r="B2098" i="7" s="1"/>
  <c r="B2099" i="7" s="1"/>
  <c r="B2100" i="7" s="1"/>
  <c r="B2101" i="7" s="1"/>
  <c r="B2102" i="7" s="1"/>
  <c r="B2103" i="7" s="1"/>
  <c r="B2104" i="7" s="1"/>
  <c r="B2105" i="7" s="1"/>
  <c r="B2106" i="7" s="1"/>
  <c r="B2107" i="7" s="1"/>
  <c r="Q1930" i="7"/>
  <c r="Q1929" i="7"/>
  <c r="M1928" i="7"/>
  <c r="I1928" i="7"/>
  <c r="K1928" i="7" s="1"/>
  <c r="Q1926" i="7"/>
  <c r="M1925" i="7"/>
  <c r="Q1923" i="7"/>
  <c r="I1922" i="7"/>
  <c r="I1921" i="7"/>
  <c r="K1921" i="7" s="1"/>
  <c r="S1921" i="7" s="1"/>
  <c r="Q1920" i="7"/>
  <c r="Q1919" i="7"/>
  <c r="Q1918" i="7"/>
  <c r="Q1917" i="7"/>
  <c r="Q1916" i="7"/>
  <c r="M1915" i="7"/>
  <c r="O1915" i="7" s="1"/>
  <c r="Q1913" i="7"/>
  <c r="M1912" i="7"/>
  <c r="O1912" i="7" s="1"/>
  <c r="S1912" i="7" s="1"/>
  <c r="I1910" i="7"/>
  <c r="I1909" i="7"/>
  <c r="K1909" i="7" s="1"/>
  <c r="S1909" i="7" s="1"/>
  <c r="Q1908" i="7"/>
  <c r="Q1906" i="7"/>
  <c r="Q1904" i="7"/>
  <c r="Q1903" i="7"/>
  <c r="Q1902" i="7"/>
  <c r="Q1901" i="7"/>
  <c r="I1900" i="7"/>
  <c r="Q1899" i="7"/>
  <c r="Q1898" i="7"/>
  <c r="I1897" i="7"/>
  <c r="I1896" i="7"/>
  <c r="K1896" i="7" s="1"/>
  <c r="S1896" i="7" s="1"/>
  <c r="Q1895" i="7"/>
  <c r="Q1894" i="7"/>
  <c r="I1893" i="7"/>
  <c r="K1893" i="7" s="1"/>
  <c r="S1893" i="7" s="1"/>
  <c r="Q1892" i="7"/>
  <c r="I1891" i="7"/>
  <c r="K1891" i="7" s="1"/>
  <c r="S1891" i="7" s="1"/>
  <c r="I1890" i="7"/>
  <c r="Q1890" i="7" s="1"/>
  <c r="Q1889" i="7"/>
  <c r="Q1887" i="7"/>
  <c r="I1886" i="7"/>
  <c r="K1886" i="7" s="1"/>
  <c r="S1886" i="7" s="1"/>
  <c r="M1885" i="7"/>
  <c r="O1885" i="7" s="1"/>
  <c r="Q1883" i="7"/>
  <c r="Q1882" i="7"/>
  <c r="Q1881" i="7"/>
  <c r="Q1880" i="7"/>
  <c r="I1879" i="7"/>
  <c r="Q1878" i="7"/>
  <c r="Q1877" i="7"/>
  <c r="I1876" i="7"/>
  <c r="K1876" i="7" s="1"/>
  <c r="S1876" i="7" s="1"/>
  <c r="Q1875" i="7"/>
  <c r="I1874" i="7"/>
  <c r="M1872" i="7"/>
  <c r="O1872" i="7" s="1"/>
  <c r="B1871" i="7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B1885" i="7" s="1"/>
  <c r="B1886" i="7" s="1"/>
  <c r="B1888" i="7" s="1"/>
  <c r="B1889" i="7" s="1"/>
  <c r="B1890" i="7" s="1"/>
  <c r="B1891" i="7" s="1"/>
  <c r="B1892" i="7" s="1"/>
  <c r="B1893" i="7" s="1"/>
  <c r="B1894" i="7" s="1"/>
  <c r="B1895" i="7" s="1"/>
  <c r="B1896" i="7" s="1"/>
  <c r="B1897" i="7" s="1"/>
  <c r="B1898" i="7" s="1"/>
  <c r="B1899" i="7" s="1"/>
  <c r="B1900" i="7" s="1"/>
  <c r="B1901" i="7" s="1"/>
  <c r="B1902" i="7" s="1"/>
  <c r="B1903" i="7" s="1"/>
  <c r="B1904" i="7" s="1"/>
  <c r="B1905" i="7" s="1"/>
  <c r="B1906" i="7" s="1"/>
  <c r="B1907" i="7" s="1"/>
  <c r="B1908" i="7" s="1"/>
  <c r="B1909" i="7" s="1"/>
  <c r="B1910" i="7" s="1"/>
  <c r="B1911" i="7" s="1"/>
  <c r="B1912" i="7" s="1"/>
  <c r="B1913" i="7" s="1"/>
  <c r="B1914" i="7" s="1"/>
  <c r="B1915" i="7" s="1"/>
  <c r="B1916" i="7" s="1"/>
  <c r="B1917" i="7" s="1"/>
  <c r="B1918" i="7" s="1"/>
  <c r="B1919" i="7" s="1"/>
  <c r="B1920" i="7" s="1"/>
  <c r="B1921" i="7" s="1"/>
  <c r="B1922" i="7" s="1"/>
  <c r="B1923" i="7" s="1"/>
  <c r="B1924" i="7" s="1"/>
  <c r="B1925" i="7" s="1"/>
  <c r="B1926" i="7" s="1"/>
  <c r="B1927" i="7" s="1"/>
  <c r="B1928" i="7" s="1"/>
  <c r="B1929" i="7" s="1"/>
  <c r="B1930" i="7" s="1"/>
  <c r="M1792" i="7"/>
  <c r="Q1789" i="7"/>
  <c r="Q1788" i="7"/>
  <c r="Q1787" i="7"/>
  <c r="Q1786" i="7"/>
  <c r="Q1785" i="7"/>
  <c r="Q1784" i="7"/>
  <c r="Q1783" i="7"/>
  <c r="Q1782" i="7"/>
  <c r="Q1781" i="7"/>
  <c r="I1780" i="7"/>
  <c r="K1780" i="7" s="1"/>
  <c r="S1780" i="7" s="1"/>
  <c r="Q1779" i="7"/>
  <c r="I1778" i="7"/>
  <c r="M1777" i="7"/>
  <c r="O1777" i="7" s="1"/>
  <c r="Q1776" i="7"/>
  <c r="Q1775" i="7"/>
  <c r="M1773" i="7"/>
  <c r="M1772" i="7"/>
  <c r="O1772" i="7" s="1"/>
  <c r="S1772" i="7" s="1"/>
  <c r="M1771" i="7"/>
  <c r="O1771" i="7" s="1"/>
  <c r="S1771" i="7" s="1"/>
  <c r="M1770" i="7"/>
  <c r="M1768" i="7"/>
  <c r="M1766" i="7" s="1"/>
  <c r="Q1767" i="7"/>
  <c r="Q1765" i="7"/>
  <c r="M1764" i="7"/>
  <c r="I1761" i="7"/>
  <c r="I1760" i="7"/>
  <c r="K1760" i="7" s="1"/>
  <c r="S1760" i="7" s="1"/>
  <c r="I1759" i="7"/>
  <c r="I1758" i="7"/>
  <c r="I1757" i="7"/>
  <c r="I1755" i="7"/>
  <c r="K1755" i="7" s="1"/>
  <c r="S1755" i="7" s="1"/>
  <c r="I1754" i="7"/>
  <c r="I1751" i="7"/>
  <c r="I1750" i="7"/>
  <c r="I1749" i="7"/>
  <c r="Q1748" i="7"/>
  <c r="I1747" i="7"/>
  <c r="Q1745" i="7"/>
  <c r="Q1744" i="7"/>
  <c r="Q1742" i="7"/>
  <c r="M1741" i="7"/>
  <c r="Q1739" i="7"/>
  <c r="Q1738" i="7"/>
  <c r="M1737" i="7"/>
  <c r="I1735" i="7"/>
  <c r="Q1734" i="7"/>
  <c r="I1733" i="7"/>
  <c r="K1733" i="7" s="1"/>
  <c r="S1733" i="7" s="1"/>
  <c r="M1732" i="7"/>
  <c r="O1732" i="7" s="1"/>
  <c r="I1730" i="7"/>
  <c r="Q1729" i="7"/>
  <c r="I1728" i="7"/>
  <c r="K1728" i="7" s="1"/>
  <c r="S1728" i="7" s="1"/>
  <c r="Q1727" i="7"/>
  <c r="I1726" i="7"/>
  <c r="I1725" i="7"/>
  <c r="K1725" i="7" s="1"/>
  <c r="S1725" i="7" s="1"/>
  <c r="I1724" i="7"/>
  <c r="M1723" i="7"/>
  <c r="O1723" i="7" s="1"/>
  <c r="I1722" i="7"/>
  <c r="K1722" i="7" s="1"/>
  <c r="S1722" i="7" s="1"/>
  <c r="I1721" i="7"/>
  <c r="M1719" i="7"/>
  <c r="O1719" i="7" s="1"/>
  <c r="S1719" i="7" s="1"/>
  <c r="M1718" i="7"/>
  <c r="M1717" i="7"/>
  <c r="O1717" i="7" s="1"/>
  <c r="S1717" i="7" s="1"/>
  <c r="Q1715" i="7"/>
  <c r="Q1714" i="7"/>
  <c r="Q1713" i="7"/>
  <c r="M1712" i="7"/>
  <c r="O1712" i="7" s="1"/>
  <c r="S1712" i="7" s="1"/>
  <c r="Q1710" i="7"/>
  <c r="M1709" i="7"/>
  <c r="O1709" i="7" s="1"/>
  <c r="I1709" i="7"/>
  <c r="K1709" i="7" s="1"/>
  <c r="Q1707" i="7"/>
  <c r="Q1706" i="7"/>
  <c r="Q1705" i="7"/>
  <c r="M1704" i="7"/>
  <c r="O1704" i="7" s="1"/>
  <c r="S1704" i="7" s="1"/>
  <c r="I1703" i="7"/>
  <c r="Q1702" i="7"/>
  <c r="I1701" i="7"/>
  <c r="Q1700" i="7"/>
  <c r="Q1699" i="7"/>
  <c r="I1698" i="7"/>
  <c r="K1698" i="7" s="1"/>
  <c r="S1698" i="7" s="1"/>
  <c r="Q1697" i="7"/>
  <c r="M1696" i="7"/>
  <c r="Q1694" i="7"/>
  <c r="Q1693" i="7"/>
  <c r="I1692" i="7"/>
  <c r="I1691" i="7" s="1"/>
  <c r="M1691" i="7"/>
  <c r="O1691" i="7" s="1"/>
  <c r="Q1689" i="7"/>
  <c r="Q1688" i="7"/>
  <c r="Q1687" i="7"/>
  <c r="Q1686" i="7"/>
  <c r="Q1685" i="7"/>
  <c r="I1684" i="7"/>
  <c r="K1684" i="7" s="1"/>
  <c r="S1684" i="7" s="1"/>
  <c r="Q1683" i="7"/>
  <c r="Q1682" i="7"/>
  <c r="Q1681" i="7"/>
  <c r="I1680" i="7"/>
  <c r="I1679" i="7"/>
  <c r="K1679" i="7" s="1"/>
  <c r="S1679" i="7" s="1"/>
  <c r="Q1678" i="7"/>
  <c r="I1677" i="7"/>
  <c r="M1676" i="7"/>
  <c r="O1676" i="7" s="1"/>
  <c r="Q1674" i="7"/>
  <c r="I1673" i="7"/>
  <c r="K1673" i="7" s="1"/>
  <c r="S1673" i="7" s="1"/>
  <c r="M1672" i="7"/>
  <c r="O1672" i="7" s="1"/>
  <c r="B1671" i="7"/>
  <c r="B1672" i="7" s="1"/>
  <c r="B1673" i="7" s="1"/>
  <c r="B1674" i="7" s="1"/>
  <c r="B1675" i="7" s="1"/>
  <c r="B1676" i="7" s="1"/>
  <c r="B1677" i="7" s="1"/>
  <c r="B1678" i="7" s="1"/>
  <c r="B1679" i="7" s="1"/>
  <c r="B1680" i="7" s="1"/>
  <c r="B1681" i="7" s="1"/>
  <c r="B1682" i="7" s="1"/>
  <c r="B1683" i="7" s="1"/>
  <c r="B1684" i="7" s="1"/>
  <c r="B1685" i="7" s="1"/>
  <c r="B1686" i="7" s="1"/>
  <c r="B1687" i="7" s="1"/>
  <c r="B1688" i="7" s="1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B1717" i="7" s="1"/>
  <c r="B1718" i="7" s="1"/>
  <c r="B1719" i="7" s="1"/>
  <c r="B1720" i="7" s="1"/>
  <c r="B1721" i="7" s="1"/>
  <c r="B1722" i="7" s="1"/>
  <c r="B1723" i="7" s="1"/>
  <c r="B1724" i="7" s="1"/>
  <c r="B1725" i="7" s="1"/>
  <c r="B1726" i="7" s="1"/>
  <c r="B1727" i="7" s="1"/>
  <c r="B1728" i="7" s="1"/>
  <c r="B1729" i="7" s="1"/>
  <c r="B1730" i="7" s="1"/>
  <c r="B1731" i="7" s="1"/>
  <c r="B1732" i="7" s="1"/>
  <c r="B1733" i="7" s="1"/>
  <c r="B1734" i="7" s="1"/>
  <c r="B1735" i="7" s="1"/>
  <c r="B1736" i="7" s="1"/>
  <c r="B1737" i="7" s="1"/>
  <c r="B1738" i="7" s="1"/>
  <c r="B1739" i="7" s="1"/>
  <c r="B1740" i="7" s="1"/>
  <c r="B1741" i="7" s="1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B1769" i="7" s="1"/>
  <c r="B1770" i="7" s="1"/>
  <c r="B1771" i="7" s="1"/>
  <c r="B1772" i="7" s="1"/>
  <c r="B1773" i="7" s="1"/>
  <c r="B1774" i="7" s="1"/>
  <c r="B1775" i="7" s="1"/>
  <c r="B1776" i="7" s="1"/>
  <c r="B1777" i="7" s="1"/>
  <c r="B1778" i="7" s="1"/>
  <c r="B1779" i="7" s="1"/>
  <c r="B1780" i="7" s="1"/>
  <c r="B1781" i="7" s="1"/>
  <c r="B1782" i="7" s="1"/>
  <c r="B1783" i="7" s="1"/>
  <c r="B1784" i="7" s="1"/>
  <c r="B1785" i="7" s="1"/>
  <c r="B1786" i="7" s="1"/>
  <c r="B1787" i="7" s="1"/>
  <c r="B1788" i="7" s="1"/>
  <c r="B1789" i="7" s="1"/>
  <c r="B1790" i="7" s="1"/>
  <c r="B1791" i="7" s="1"/>
  <c r="B1792" i="7" s="1"/>
  <c r="I1608" i="7"/>
  <c r="K1608" i="7" s="1"/>
  <c r="S1608" i="7" s="1"/>
  <c r="Q1607" i="7"/>
  <c r="Q1606" i="7"/>
  <c r="Q1605" i="7"/>
  <c r="Q1604" i="7"/>
  <c r="I1603" i="7"/>
  <c r="K1603" i="7" s="1"/>
  <c r="S1603" i="7" s="1"/>
  <c r="Q1602" i="7"/>
  <c r="M1600" i="7"/>
  <c r="I1599" i="7"/>
  <c r="K1599" i="7" s="1"/>
  <c r="S1599" i="7" s="1"/>
  <c r="I1598" i="7"/>
  <c r="Q1596" i="7"/>
  <c r="Q1595" i="7"/>
  <c r="Q1594" i="7"/>
  <c r="Q1593" i="7"/>
  <c r="I1592" i="7"/>
  <c r="K1592" i="7" s="1"/>
  <c r="S1592" i="7" s="1"/>
  <c r="I1591" i="7"/>
  <c r="Q1590" i="7"/>
  <c r="I1589" i="7"/>
  <c r="K1589" i="7" s="1"/>
  <c r="S1589" i="7" s="1"/>
  <c r="M1588" i="7"/>
  <c r="Q1587" i="7"/>
  <c r="I1586" i="7"/>
  <c r="Q1584" i="7"/>
  <c r="Q1583" i="7"/>
  <c r="Q1582" i="7"/>
  <c r="Q1581" i="7"/>
  <c r="I1580" i="7"/>
  <c r="K1580" i="7" s="1"/>
  <c r="S1580" i="7" s="1"/>
  <c r="M1579" i="7"/>
  <c r="O1579" i="7" s="1"/>
  <c r="Q1578" i="7"/>
  <c r="M1577" i="7"/>
  <c r="I1577" i="7"/>
  <c r="K1577" i="7" s="1"/>
  <c r="Q1574" i="7"/>
  <c r="Q1573" i="7"/>
  <c r="Q1572" i="7"/>
  <c r="I1571" i="7"/>
  <c r="K1571" i="7" s="1"/>
  <c r="S1571" i="7" s="1"/>
  <c r="Q1570" i="7"/>
  <c r="Q1569" i="7"/>
  <c r="M1568" i="7"/>
  <c r="I1567" i="7"/>
  <c r="K1567" i="7" s="1"/>
  <c r="S1567" i="7" s="1"/>
  <c r="I1566" i="7"/>
  <c r="Q1565" i="7"/>
  <c r="Q1564" i="7"/>
  <c r="Q1563" i="7"/>
  <c r="Q1562" i="7"/>
  <c r="M1561" i="7"/>
  <c r="O1561" i="7" s="1"/>
  <c r="I1561" i="7"/>
  <c r="K1561" i="7" s="1"/>
  <c r="I1560" i="7"/>
  <c r="K1560" i="7" s="1"/>
  <c r="S1560" i="7" s="1"/>
  <c r="I1559" i="7"/>
  <c r="K1559" i="7" s="1"/>
  <c r="S1559" i="7" s="1"/>
  <c r="M1557" i="7"/>
  <c r="Q1557" i="7" s="1"/>
  <c r="Q1555" i="7"/>
  <c r="M1554" i="7"/>
  <c r="O1554" i="7" s="1"/>
  <c r="S1554" i="7" s="1"/>
  <c r="I1553" i="7"/>
  <c r="K1553" i="7" s="1"/>
  <c r="Q1552" i="7"/>
  <c r="Q1551" i="7"/>
  <c r="Q1550" i="7"/>
  <c r="Q1549" i="7"/>
  <c r="Q1548" i="7"/>
  <c r="Q1547" i="7"/>
  <c r="M1546" i="7"/>
  <c r="I1546" i="7"/>
  <c r="K1546" i="7" s="1"/>
  <c r="Q1545" i="7"/>
  <c r="Q1544" i="7"/>
  <c r="Q1543" i="7"/>
  <c r="Q1542" i="7"/>
  <c r="Q1541" i="7"/>
  <c r="Q1540" i="7"/>
  <c r="Q1539" i="7"/>
  <c r="Q1538" i="7"/>
  <c r="M1537" i="7"/>
  <c r="O1537" i="7" s="1"/>
  <c r="I1537" i="7"/>
  <c r="Q1536" i="7"/>
  <c r="Q1535" i="7"/>
  <c r="M1532" i="7"/>
  <c r="O1532" i="7" s="1"/>
  <c r="S1532" i="7" s="1"/>
  <c r="Q1531" i="7"/>
  <c r="Q1530" i="7"/>
  <c r="Q1529" i="7"/>
  <c r="Q1528" i="7"/>
  <c r="Q1527" i="7"/>
  <c r="Q1526" i="7"/>
  <c r="M1525" i="7"/>
  <c r="I1525" i="7"/>
  <c r="K1525" i="7" s="1"/>
  <c r="I1524" i="7"/>
  <c r="K1524" i="7" s="1"/>
  <c r="S1524" i="7" s="1"/>
  <c r="I1523" i="7"/>
  <c r="K1523" i="7" s="1"/>
  <c r="S1523" i="7" s="1"/>
  <c r="Q1522" i="7"/>
  <c r="Q1521" i="7"/>
  <c r="Q1520" i="7"/>
  <c r="Q1519" i="7"/>
  <c r="Q1518" i="7"/>
  <c r="Q1517" i="7"/>
  <c r="M1516" i="7"/>
  <c r="I1516" i="7"/>
  <c r="K1516" i="7" s="1"/>
  <c r="Q1515" i="7"/>
  <c r="Q1514" i="7"/>
  <c r="Q1512" i="7"/>
  <c r="Q1511" i="7"/>
  <c r="Q1510" i="7"/>
  <c r="Q1509" i="7"/>
  <c r="Q1508" i="7"/>
  <c r="M1507" i="7"/>
  <c r="I1507" i="7"/>
  <c r="K1507" i="7" s="1"/>
  <c r="Q1506" i="7"/>
  <c r="Q1505" i="7"/>
  <c r="I1504" i="7"/>
  <c r="Q1503" i="7"/>
  <c r="Q1502" i="7"/>
  <c r="Q1501" i="7"/>
  <c r="Q1500" i="7"/>
  <c r="M1499" i="7"/>
  <c r="O1499" i="7" s="1"/>
  <c r="I1499" i="7"/>
  <c r="K1499" i="7" s="1"/>
  <c r="I1498" i="7"/>
  <c r="K1498" i="7" s="1"/>
  <c r="S1498" i="7" s="1"/>
  <c r="Q1497" i="7"/>
  <c r="Q1495" i="7"/>
  <c r="Q1494" i="7"/>
  <c r="Q1493" i="7"/>
  <c r="Q1492" i="7"/>
  <c r="Q1491" i="7"/>
  <c r="M1490" i="7"/>
  <c r="O1490" i="7" s="1"/>
  <c r="I1490" i="7"/>
  <c r="K1490" i="7" s="1"/>
  <c r="Q1489" i="7"/>
  <c r="I1488" i="7"/>
  <c r="Q1487" i="7"/>
  <c r="Q1486" i="7"/>
  <c r="Q1485" i="7"/>
  <c r="Q1484" i="7"/>
  <c r="Q1483" i="7"/>
  <c r="M1482" i="7"/>
  <c r="O1482" i="7" s="1"/>
  <c r="I1482" i="7"/>
  <c r="K1482" i="7" s="1"/>
  <c r="Q1481" i="7"/>
  <c r="I1480" i="7"/>
  <c r="K1480" i="7" s="1"/>
  <c r="S1480" i="7" s="1"/>
  <c r="Q1478" i="7"/>
  <c r="M1477" i="7"/>
  <c r="I1477" i="7"/>
  <c r="Q1476" i="7"/>
  <c r="M1475" i="7"/>
  <c r="I1475" i="7"/>
  <c r="K1475" i="7" s="1"/>
  <c r="Q1473" i="7"/>
  <c r="Q1472" i="7"/>
  <c r="Q1471" i="7"/>
  <c r="I1470" i="7"/>
  <c r="K1470" i="7" s="1"/>
  <c r="S1470" i="7" s="1"/>
  <c r="Q1469" i="7"/>
  <c r="M1468" i="7"/>
  <c r="O1468" i="7" s="1"/>
  <c r="I1467" i="7"/>
  <c r="K1467" i="7" s="1"/>
  <c r="S1467" i="7" s="1"/>
  <c r="I1466" i="7"/>
  <c r="Q1465" i="7"/>
  <c r="Q1464" i="7"/>
  <c r="Q1463" i="7"/>
  <c r="Q1462" i="7"/>
  <c r="Q1461" i="7"/>
  <c r="M1460" i="7"/>
  <c r="O1460" i="7" s="1"/>
  <c r="I1460" i="7"/>
  <c r="I1459" i="7"/>
  <c r="K1459" i="7" s="1"/>
  <c r="S1459" i="7" s="1"/>
  <c r="I1458" i="7"/>
  <c r="K1458" i="7" s="1"/>
  <c r="S1458" i="7" s="1"/>
  <c r="I1456" i="7"/>
  <c r="K1456" i="7" s="1"/>
  <c r="S1456" i="7" s="1"/>
  <c r="Q1455" i="7"/>
  <c r="I1454" i="7"/>
  <c r="I1453" i="7"/>
  <c r="K1453" i="7" s="1"/>
  <c r="S1453" i="7" s="1"/>
  <c r="Q1452" i="7"/>
  <c r="M1451" i="7"/>
  <c r="Q1450" i="7"/>
  <c r="Q1449" i="7"/>
  <c r="Q1448" i="7"/>
  <c r="Q1447" i="7"/>
  <c r="Q1446" i="7"/>
  <c r="Q1445" i="7"/>
  <c r="Q1444" i="7"/>
  <c r="M1443" i="7"/>
  <c r="O1443" i="7" s="1"/>
  <c r="I1443" i="7"/>
  <c r="K1443" i="7" s="1"/>
  <c r="Q1442" i="7"/>
  <c r="Q1441" i="7"/>
  <c r="Q1438" i="7"/>
  <c r="Q1437" i="7"/>
  <c r="Q1436" i="7"/>
  <c r="Q1435" i="7"/>
  <c r="M1434" i="7"/>
  <c r="O1434" i="7" s="1"/>
  <c r="I1434" i="7"/>
  <c r="K1434" i="7" s="1"/>
  <c r="Q1433" i="7"/>
  <c r="Q1432" i="7"/>
  <c r="Q1430" i="7"/>
  <c r="Q1429" i="7"/>
  <c r="Q1428" i="7"/>
  <c r="M1427" i="7"/>
  <c r="O1427" i="7" s="1"/>
  <c r="I1427" i="7"/>
  <c r="Q1426" i="7"/>
  <c r="Q1425" i="7"/>
  <c r="Q1422" i="7"/>
  <c r="Q1421" i="7"/>
  <c r="Q1420" i="7"/>
  <c r="M1419" i="7"/>
  <c r="M1416" i="7" s="1"/>
  <c r="I1419" i="7"/>
  <c r="K1419" i="7" s="1"/>
  <c r="Q1418" i="7"/>
  <c r="Q1417" i="7"/>
  <c r="Q1415" i="7"/>
  <c r="Q1414" i="7"/>
  <c r="Q1413" i="7"/>
  <c r="M1412" i="7"/>
  <c r="M1409" i="7" s="1"/>
  <c r="I1412" i="7"/>
  <c r="K1412" i="7" s="1"/>
  <c r="Q1411" i="7"/>
  <c r="Q1410" i="7"/>
  <c r="Q1408" i="7"/>
  <c r="Q1407" i="7"/>
  <c r="Q1406" i="7"/>
  <c r="M1405" i="7"/>
  <c r="O1405" i="7" s="1"/>
  <c r="I1405" i="7"/>
  <c r="K1405" i="7" s="1"/>
  <c r="Q1404" i="7"/>
  <c r="Q1403" i="7"/>
  <c r="Q1401" i="7"/>
  <c r="Q1400" i="7"/>
  <c r="Q1399" i="7"/>
  <c r="I1398" i="7"/>
  <c r="M1397" i="7"/>
  <c r="O1397" i="7" s="1"/>
  <c r="Q1396" i="7"/>
  <c r="Q1395" i="7"/>
  <c r="Q1393" i="7"/>
  <c r="Q1392" i="7"/>
  <c r="Q1391" i="7"/>
  <c r="M1390" i="7"/>
  <c r="I1390" i="7"/>
  <c r="K1390" i="7" s="1"/>
  <c r="Q1389" i="7"/>
  <c r="Q1388" i="7"/>
  <c r="Q1385" i="7"/>
  <c r="Q1384" i="7"/>
  <c r="Q1383" i="7"/>
  <c r="M1382" i="7"/>
  <c r="O1382" i="7" s="1"/>
  <c r="I1382" i="7"/>
  <c r="K1382" i="7" s="1"/>
  <c r="Q1381" i="7"/>
  <c r="Q1380" i="7"/>
  <c r="Q1377" i="7"/>
  <c r="Q1376" i="7"/>
  <c r="Q1375" i="7"/>
  <c r="M1374" i="7"/>
  <c r="I1374" i="7"/>
  <c r="K1374" i="7" s="1"/>
  <c r="Q1373" i="7"/>
  <c r="Q1372" i="7"/>
  <c r="Q1370" i="7"/>
  <c r="Q1369" i="7"/>
  <c r="Q1368" i="7"/>
  <c r="M1367" i="7"/>
  <c r="O1367" i="7" s="1"/>
  <c r="I1367" i="7"/>
  <c r="K1367" i="7" s="1"/>
  <c r="Q1366" i="7"/>
  <c r="Q1365" i="7"/>
  <c r="Q1363" i="7"/>
  <c r="Q1362" i="7"/>
  <c r="Q1361" i="7"/>
  <c r="M1360" i="7"/>
  <c r="O1360" i="7" s="1"/>
  <c r="I1360" i="7"/>
  <c r="K1360" i="7" s="1"/>
  <c r="Q1359" i="7"/>
  <c r="Q1358" i="7"/>
  <c r="M1357" i="7"/>
  <c r="O1357" i="7" s="1"/>
  <c r="Q1355" i="7"/>
  <c r="Q1354" i="7"/>
  <c r="Q1353" i="7"/>
  <c r="M1352" i="7"/>
  <c r="O1352" i="7" s="1"/>
  <c r="I1352" i="7"/>
  <c r="Q1351" i="7"/>
  <c r="I1350" i="7"/>
  <c r="K1350" i="7" s="1"/>
  <c r="S1350" i="7" s="1"/>
  <c r="Q1347" i="7"/>
  <c r="Q1346" i="7"/>
  <c r="Q1345" i="7"/>
  <c r="M1344" i="7"/>
  <c r="I1344" i="7"/>
  <c r="K1344" i="7" s="1"/>
  <c r="Q1343" i="7"/>
  <c r="Q1342" i="7"/>
  <c r="Q1340" i="7"/>
  <c r="Q1339" i="7"/>
  <c r="Q1338" i="7"/>
  <c r="M1337" i="7"/>
  <c r="O1337" i="7" s="1"/>
  <c r="I1337" i="7"/>
  <c r="K1337" i="7" s="1"/>
  <c r="I1336" i="7"/>
  <c r="K1336" i="7" s="1"/>
  <c r="S1336" i="7" s="1"/>
  <c r="I1335" i="7"/>
  <c r="K1335" i="7" s="1"/>
  <c r="S1335" i="7" s="1"/>
  <c r="Q1332" i="7"/>
  <c r="Q1331" i="7"/>
  <c r="I1329" i="7"/>
  <c r="Q1328" i="7"/>
  <c r="Q1327" i="7"/>
  <c r="Q1324" i="7"/>
  <c r="M1323" i="7"/>
  <c r="O1323" i="7" s="1"/>
  <c r="S1323" i="7" s="1"/>
  <c r="I1322" i="7"/>
  <c r="K1322" i="7" s="1"/>
  <c r="S1322" i="7" s="1"/>
  <c r="Q1321" i="7"/>
  <c r="Q1320" i="7"/>
  <c r="Q1319" i="7"/>
  <c r="Q1318" i="7"/>
  <c r="Q1317" i="7"/>
  <c r="Q1316" i="7"/>
  <c r="M1315" i="7"/>
  <c r="O1315" i="7" s="1"/>
  <c r="I1315" i="7"/>
  <c r="Q1314" i="7"/>
  <c r="Q1313" i="7"/>
  <c r="Q1311" i="7"/>
  <c r="Q1310" i="7"/>
  <c r="Q1309" i="7"/>
  <c r="Q1308" i="7"/>
  <c r="M1307" i="7"/>
  <c r="M1304" i="7" s="1"/>
  <c r="I1307" i="7"/>
  <c r="K1307" i="7" s="1"/>
  <c r="Q1306" i="7"/>
  <c r="Q1305" i="7"/>
  <c r="Q1303" i="7"/>
  <c r="Q1302" i="7"/>
  <c r="Q1301" i="7"/>
  <c r="Q1300" i="7"/>
  <c r="M1299" i="7"/>
  <c r="O1299" i="7" s="1"/>
  <c r="I1299" i="7"/>
  <c r="K1299" i="7" s="1"/>
  <c r="I1298" i="7"/>
  <c r="K1298" i="7" s="1"/>
  <c r="S1298" i="7" s="1"/>
  <c r="I1297" i="7"/>
  <c r="K1297" i="7" s="1"/>
  <c r="S1297" i="7" s="1"/>
  <c r="Q1295" i="7"/>
  <c r="Q1294" i="7"/>
  <c r="I1293" i="7"/>
  <c r="K1293" i="7" s="1"/>
  <c r="S1293" i="7" s="1"/>
  <c r="Q1292" i="7"/>
  <c r="M1291" i="7"/>
  <c r="O1291" i="7" s="1"/>
  <c r="I1290" i="7"/>
  <c r="K1290" i="7" s="1"/>
  <c r="S1290" i="7" s="1"/>
  <c r="I1289" i="7"/>
  <c r="K1289" i="7" s="1"/>
  <c r="S1289" i="7" s="1"/>
  <c r="Q1287" i="7"/>
  <c r="Q1286" i="7"/>
  <c r="Q1285" i="7"/>
  <c r="Q1284" i="7"/>
  <c r="M1283" i="7"/>
  <c r="I1283" i="7"/>
  <c r="K1283" i="7" s="1"/>
  <c r="I1282" i="7"/>
  <c r="K1282" i="7" s="1"/>
  <c r="S1282" i="7" s="1"/>
  <c r="I1281" i="7"/>
  <c r="Q1278" i="7"/>
  <c r="Q1277" i="7"/>
  <c r="Q1276" i="7"/>
  <c r="M1275" i="7"/>
  <c r="O1275" i="7" s="1"/>
  <c r="I1275" i="7"/>
  <c r="Q1274" i="7"/>
  <c r="Q1273" i="7"/>
  <c r="Q1271" i="7"/>
  <c r="Q1270" i="7"/>
  <c r="Q1268" i="7"/>
  <c r="Q1267" i="7"/>
  <c r="M1266" i="7"/>
  <c r="I1266" i="7"/>
  <c r="I1265" i="7"/>
  <c r="K1265" i="7" s="1"/>
  <c r="S1265" i="7" s="1"/>
  <c r="I1264" i="7"/>
  <c r="K1264" i="7" s="1"/>
  <c r="S1264" i="7" s="1"/>
  <c r="Q1262" i="7"/>
  <c r="Q1261" i="7"/>
  <c r="Q1260" i="7"/>
  <c r="Q1259" i="7"/>
  <c r="M1258" i="7"/>
  <c r="O1258" i="7" s="1"/>
  <c r="I1258" i="7"/>
  <c r="Q1257" i="7"/>
  <c r="Q1256" i="7"/>
  <c r="I1255" i="7"/>
  <c r="Q1254" i="7"/>
  <c r="Q1253" i="7"/>
  <c r="Q1252" i="7"/>
  <c r="Q1251" i="7"/>
  <c r="M1250" i="7"/>
  <c r="O1250" i="7" s="1"/>
  <c r="I1250" i="7"/>
  <c r="K1250" i="7" s="1"/>
  <c r="I1249" i="7"/>
  <c r="K1249" i="7" s="1"/>
  <c r="S1249" i="7" s="1"/>
  <c r="I1248" i="7"/>
  <c r="K1248" i="7" s="1"/>
  <c r="S1248" i="7" s="1"/>
  <c r="M1247" i="7"/>
  <c r="O1247" i="7" s="1"/>
  <c r="Q1246" i="7"/>
  <c r="Q1245" i="7"/>
  <c r="Q1244" i="7"/>
  <c r="M1243" i="7"/>
  <c r="O1243" i="7" s="1"/>
  <c r="I1243" i="7"/>
  <c r="K1243" i="7" s="1"/>
  <c r="Q1242" i="7"/>
  <c r="Q1241" i="7"/>
  <c r="Q1239" i="7"/>
  <c r="I1238" i="7"/>
  <c r="K1238" i="7" s="1"/>
  <c r="S1238" i="7" s="1"/>
  <c r="I1237" i="7"/>
  <c r="Q1235" i="7"/>
  <c r="Q1234" i="7"/>
  <c r="Q1233" i="7"/>
  <c r="M1232" i="7"/>
  <c r="O1232" i="7" s="1"/>
  <c r="I1231" i="7"/>
  <c r="K1231" i="7" s="1"/>
  <c r="S1231" i="7" s="1"/>
  <c r="I1230" i="7"/>
  <c r="K1230" i="7" s="1"/>
  <c r="S1230" i="7" s="1"/>
  <c r="Q1228" i="7"/>
  <c r="Q1227" i="7"/>
  <c r="Q1226" i="7"/>
  <c r="Q1225" i="7"/>
  <c r="Q1224" i="7"/>
  <c r="Q1223" i="7"/>
  <c r="Q1222" i="7"/>
  <c r="I1221" i="7"/>
  <c r="Q1219" i="7"/>
  <c r="M1218" i="7"/>
  <c r="Q1216" i="7"/>
  <c r="Q1215" i="7"/>
  <c r="M1214" i="7"/>
  <c r="O1214" i="7" s="1"/>
  <c r="S1214" i="7" s="1"/>
  <c r="Q1212" i="7"/>
  <c r="Q1210" i="7"/>
  <c r="Q1209" i="7"/>
  <c r="I1208" i="7"/>
  <c r="Q1208" i="7" s="1"/>
  <c r="Q1207" i="7"/>
  <c r="Q1206" i="7"/>
  <c r="I1205" i="7"/>
  <c r="I1204" i="7"/>
  <c r="K1204" i="7" s="1"/>
  <c r="S1204" i="7" s="1"/>
  <c r="Q1203" i="7"/>
  <c r="M1202" i="7"/>
  <c r="O1202" i="7" s="1"/>
  <c r="Q1201" i="7"/>
  <c r="Q1200" i="7"/>
  <c r="M1199" i="7"/>
  <c r="O1199" i="7" s="1"/>
  <c r="S1199" i="7" s="1"/>
  <c r="I1197" i="7"/>
  <c r="K1197" i="7" s="1"/>
  <c r="Q1196" i="7"/>
  <c r="Q1195" i="7"/>
  <c r="Q1194" i="7"/>
  <c r="Q1193" i="7"/>
  <c r="I1192" i="7"/>
  <c r="Q1192" i="7" s="1"/>
  <c r="Q1191" i="7"/>
  <c r="Q1189" i="7"/>
  <c r="Q1188" i="7"/>
  <c r="Q1186" i="7"/>
  <c r="Q1184" i="7"/>
  <c r="Q1183" i="7"/>
  <c r="Q1182" i="7"/>
  <c r="I1181" i="7"/>
  <c r="K1181" i="7" s="1"/>
  <c r="S1181" i="7" s="1"/>
  <c r="Q1180" i="7"/>
  <c r="Q1179" i="7"/>
  <c r="Q1178" i="7"/>
  <c r="Q1177" i="7"/>
  <c r="Q1176" i="7"/>
  <c r="Q1175" i="7"/>
  <c r="M1174" i="7"/>
  <c r="Q1173" i="7"/>
  <c r="Q1172" i="7"/>
  <c r="Q1171" i="7"/>
  <c r="Q1170" i="7"/>
  <c r="Q1169" i="7"/>
  <c r="Q1168" i="7"/>
  <c r="Q1167" i="7"/>
  <c r="Q1166" i="7"/>
  <c r="Q1165" i="7"/>
  <c r="Q1164" i="7"/>
  <c r="I1163" i="7"/>
  <c r="Q1163" i="7" s="1"/>
  <c r="Q1162" i="7"/>
  <c r="Q1161" i="7"/>
  <c r="M1159" i="7"/>
  <c r="O1159" i="7" s="1"/>
  <c r="S1159" i="7" s="1"/>
  <c r="M1158" i="7"/>
  <c r="O1158" i="7" s="1"/>
  <c r="S1158" i="7" s="1"/>
  <c r="Q1156" i="7"/>
  <c r="M1155" i="7"/>
  <c r="O1155" i="7" s="1"/>
  <c r="S1155" i="7" s="1"/>
  <c r="I1154" i="7"/>
  <c r="K1154" i="7" s="1"/>
  <c r="Q1152" i="7"/>
  <c r="Q1150" i="7"/>
  <c r="Q1149" i="7"/>
  <c r="I1148" i="7"/>
  <c r="K1148" i="7" s="1"/>
  <c r="S1148" i="7" s="1"/>
  <c r="Q1147" i="7"/>
  <c r="Q1146" i="7"/>
  <c r="Q1145" i="7"/>
  <c r="Q1144" i="7"/>
  <c r="Q1143" i="7"/>
  <c r="M1142" i="7"/>
  <c r="O1142" i="7" s="1"/>
  <c r="Q1141" i="7"/>
  <c r="Q1140" i="7"/>
  <c r="Q1139" i="7"/>
  <c r="Q1138" i="7"/>
  <c r="Q1137" i="7"/>
  <c r="Q1136" i="7"/>
  <c r="Q1135" i="7"/>
  <c r="Q1134" i="7"/>
  <c r="Q1133" i="7"/>
  <c r="I1132" i="7"/>
  <c r="K1132" i="7" s="1"/>
  <c r="S1132" i="7" s="1"/>
  <c r="Q1131" i="7"/>
  <c r="Q1130" i="7"/>
  <c r="M1128" i="7"/>
  <c r="O1128" i="7" s="1"/>
  <c r="S1128" i="7" s="1"/>
  <c r="M1126" i="7"/>
  <c r="O1126" i="7" s="1"/>
  <c r="S1126" i="7" s="1"/>
  <c r="Q1124" i="7"/>
  <c r="Q1123" i="7"/>
  <c r="M1122" i="7"/>
  <c r="Q1121" i="7"/>
  <c r="M1120" i="7"/>
  <c r="I1119" i="7"/>
  <c r="K1119" i="7" s="1"/>
  <c r="Q1117" i="7"/>
  <c r="Q1115" i="7"/>
  <c r="Q1114" i="7"/>
  <c r="I1113" i="7"/>
  <c r="K1113" i="7" s="1"/>
  <c r="S1113" i="7" s="1"/>
  <c r="Q1112" i="7"/>
  <c r="Q1111" i="7"/>
  <c r="I1110" i="7"/>
  <c r="K1110" i="7" s="1"/>
  <c r="S1110" i="7" s="1"/>
  <c r="I1109" i="7"/>
  <c r="K1109" i="7" s="1"/>
  <c r="S1109" i="7" s="1"/>
  <c r="Q1108" i="7"/>
  <c r="M1107" i="7"/>
  <c r="O1107" i="7" s="1"/>
  <c r="I1106" i="7"/>
  <c r="K1106" i="7" s="1"/>
  <c r="S1106" i="7" s="1"/>
  <c r="I1105" i="7"/>
  <c r="Q1104" i="7"/>
  <c r="Q1103" i="7"/>
  <c r="Q1102" i="7"/>
  <c r="I1101" i="7"/>
  <c r="K1101" i="7" s="1"/>
  <c r="S1101" i="7" s="1"/>
  <c r="I1100" i="7"/>
  <c r="Q1099" i="7"/>
  <c r="Q1097" i="7"/>
  <c r="Q1096" i="7"/>
  <c r="Q1094" i="7"/>
  <c r="M1093" i="7"/>
  <c r="O1093" i="7" s="1"/>
  <c r="S1093" i="7" s="1"/>
  <c r="M1091" i="7"/>
  <c r="I1089" i="7"/>
  <c r="K1089" i="7" s="1"/>
  <c r="Q1087" i="7"/>
  <c r="Q1085" i="7"/>
  <c r="Q1084" i="7"/>
  <c r="Q1083" i="7"/>
  <c r="I1082" i="7"/>
  <c r="K1082" i="7" s="1"/>
  <c r="S1082" i="7" s="1"/>
  <c r="Q1081" i="7"/>
  <c r="Q1080" i="7"/>
  <c r="I1078" i="7"/>
  <c r="K1078" i="7" s="1"/>
  <c r="S1078" i="7" s="1"/>
  <c r="I1077" i="7"/>
  <c r="I1076" i="7"/>
  <c r="K1076" i="7" s="1"/>
  <c r="S1076" i="7" s="1"/>
  <c r="M1075" i="7"/>
  <c r="O1075" i="7" s="1"/>
  <c r="I1074" i="7"/>
  <c r="K1074" i="7" s="1"/>
  <c r="S1074" i="7" s="1"/>
  <c r="I1073" i="7"/>
  <c r="Q1072" i="7"/>
  <c r="Q1071" i="7"/>
  <c r="I1070" i="7"/>
  <c r="K1070" i="7" s="1"/>
  <c r="S1070" i="7" s="1"/>
  <c r="Q1068" i="7"/>
  <c r="I1067" i="7"/>
  <c r="K1067" i="7" s="1"/>
  <c r="S1067" i="7" s="1"/>
  <c r="I1066" i="7"/>
  <c r="Q1064" i="7"/>
  <c r="Q1063" i="7"/>
  <c r="Q1061" i="7"/>
  <c r="Q1059" i="7"/>
  <c r="Q1058" i="7"/>
  <c r="I1057" i="7"/>
  <c r="K1057" i="7" s="1"/>
  <c r="S1057" i="7" s="1"/>
  <c r="I1056" i="7"/>
  <c r="Q1055" i="7"/>
  <c r="Q1054" i="7"/>
  <c r="Q1053" i="7"/>
  <c r="Q1052" i="7"/>
  <c r="M1051" i="7"/>
  <c r="O1051" i="7" s="1"/>
  <c r="I1050" i="7"/>
  <c r="K1050" i="7" s="1"/>
  <c r="S1050" i="7" s="1"/>
  <c r="I1049" i="7"/>
  <c r="K1049" i="7" s="1"/>
  <c r="S1049" i="7" s="1"/>
  <c r="Q1048" i="7"/>
  <c r="Q1047" i="7"/>
  <c r="Q1046" i="7"/>
  <c r="Q1045" i="7"/>
  <c r="Q1044" i="7"/>
  <c r="Q1043" i="7"/>
  <c r="I1042" i="7"/>
  <c r="K1042" i="7" s="1"/>
  <c r="S1042" i="7" s="1"/>
  <c r="Q1041" i="7"/>
  <c r="Q1040" i="7"/>
  <c r="Q1038" i="7"/>
  <c r="Q1037" i="7"/>
  <c r="Q1034" i="7"/>
  <c r="M1033" i="7"/>
  <c r="O1033" i="7" s="1"/>
  <c r="S1033" i="7" s="1"/>
  <c r="Q1030" i="7"/>
  <c r="Q1028" i="7"/>
  <c r="Q1027" i="7"/>
  <c r="I1026" i="7"/>
  <c r="K1026" i="7" s="1"/>
  <c r="S1026" i="7" s="1"/>
  <c r="Q1025" i="7"/>
  <c r="I1024" i="7"/>
  <c r="K1024" i="7" s="1"/>
  <c r="S1024" i="7" s="1"/>
  <c r="Q1023" i="7"/>
  <c r="Q1022" i="7"/>
  <c r="M1021" i="7"/>
  <c r="Q1020" i="7"/>
  <c r="Q1019" i="7"/>
  <c r="Q1018" i="7"/>
  <c r="Q1017" i="7"/>
  <c r="Q1016" i="7"/>
  <c r="Q1015" i="7"/>
  <c r="Q1014" i="7"/>
  <c r="Q1013" i="7"/>
  <c r="I1012" i="7"/>
  <c r="K1012" i="7" s="1"/>
  <c r="S1012" i="7" s="1"/>
  <c r="Q1011" i="7"/>
  <c r="Q1010" i="7"/>
  <c r="Q1008" i="7"/>
  <c r="Q1006" i="7"/>
  <c r="Q1005" i="7"/>
  <c r="I1004" i="7"/>
  <c r="K1004" i="7" s="1"/>
  <c r="S1004" i="7" s="1"/>
  <c r="Q1003" i="7"/>
  <c r="Q1002" i="7"/>
  <c r="Q1001" i="7"/>
  <c r="Q1000" i="7"/>
  <c r="Q999" i="7"/>
  <c r="M998" i="7"/>
  <c r="I997" i="7"/>
  <c r="I996" i="7"/>
  <c r="K996" i="7" s="1"/>
  <c r="S996" i="7" s="1"/>
  <c r="Q995" i="7"/>
  <c r="Q994" i="7"/>
  <c r="Q993" i="7"/>
  <c r="Q991" i="7"/>
  <c r="Q990" i="7"/>
  <c r="Q989" i="7"/>
  <c r="I988" i="7"/>
  <c r="K988" i="7" s="1"/>
  <c r="S988" i="7" s="1"/>
  <c r="Q987" i="7"/>
  <c r="Q986" i="7"/>
  <c r="Q984" i="7"/>
  <c r="M983" i="7"/>
  <c r="O983" i="7" s="1"/>
  <c r="S983" i="7" s="1"/>
  <c r="Q982" i="7"/>
  <c r="M981" i="7"/>
  <c r="O981" i="7" s="1"/>
  <c r="S981" i="7" s="1"/>
  <c r="I980" i="7"/>
  <c r="K980" i="7" s="1"/>
  <c r="Q978" i="7"/>
  <c r="I976" i="7"/>
  <c r="K976" i="7" s="1"/>
  <c r="S976" i="7" s="1"/>
  <c r="Q975" i="7"/>
  <c r="I973" i="7"/>
  <c r="K973" i="7" s="1"/>
  <c r="S973" i="7" s="1"/>
  <c r="I972" i="7"/>
  <c r="Q969" i="7"/>
  <c r="Q968" i="7"/>
  <c r="Q967" i="7"/>
  <c r="I966" i="7"/>
  <c r="K966" i="7" s="1"/>
  <c r="S966" i="7" s="1"/>
  <c r="M964" i="7"/>
  <c r="O964" i="7" s="1"/>
  <c r="S964" i="7" s="1"/>
  <c r="I962" i="7"/>
  <c r="K962" i="7" s="1"/>
  <c r="Q961" i="7"/>
  <c r="Q960" i="7"/>
  <c r="Q959" i="7"/>
  <c r="Q958" i="7"/>
  <c r="I957" i="7"/>
  <c r="K957" i="7" s="1"/>
  <c r="S957" i="7" s="1"/>
  <c r="Q956" i="7"/>
  <c r="M955" i="7"/>
  <c r="O955" i="7" s="1"/>
  <c r="I954" i="7"/>
  <c r="K954" i="7" s="1"/>
  <c r="S954" i="7" s="1"/>
  <c r="I953" i="7"/>
  <c r="K953" i="7" s="1"/>
  <c r="S953" i="7" s="1"/>
  <c r="Q951" i="7"/>
  <c r="M950" i="7"/>
  <c r="O950" i="7" s="1"/>
  <c r="S950" i="7" s="1"/>
  <c r="I949" i="7"/>
  <c r="K949" i="7" s="1"/>
  <c r="Q948" i="7"/>
  <c r="Q947" i="7"/>
  <c r="Q946" i="7"/>
  <c r="I944" i="7"/>
  <c r="Q943" i="7"/>
  <c r="M942" i="7"/>
  <c r="O942" i="7" s="1"/>
  <c r="I941" i="7"/>
  <c r="I940" i="7"/>
  <c r="Q938" i="7"/>
  <c r="Q937" i="7"/>
  <c r="Q936" i="7"/>
  <c r="I935" i="7"/>
  <c r="K935" i="7" s="1"/>
  <c r="S935" i="7" s="1"/>
  <c r="Q934" i="7"/>
  <c r="M933" i="7"/>
  <c r="O933" i="7" s="1"/>
  <c r="Q932" i="7"/>
  <c r="Q931" i="7"/>
  <c r="Q929" i="7"/>
  <c r="Q928" i="7"/>
  <c r="I927" i="7"/>
  <c r="K927" i="7" s="1"/>
  <c r="S927" i="7" s="1"/>
  <c r="Q926" i="7"/>
  <c r="M925" i="7"/>
  <c r="O925" i="7" s="1"/>
  <c r="Q924" i="7"/>
  <c r="Q923" i="7"/>
  <c r="Q921" i="7"/>
  <c r="M920" i="7"/>
  <c r="O920" i="7" s="1"/>
  <c r="S920" i="7" s="1"/>
  <c r="Q917" i="7"/>
  <c r="Q916" i="7"/>
  <c r="I915" i="7"/>
  <c r="Q915" i="7" s="1"/>
  <c r="Q914" i="7"/>
  <c r="Q912" i="7"/>
  <c r="Q911" i="7"/>
  <c r="Q909" i="7"/>
  <c r="M908" i="7"/>
  <c r="O908" i="7" s="1"/>
  <c r="S908" i="7" s="1"/>
  <c r="Q906" i="7"/>
  <c r="Q905" i="7"/>
  <c r="Q904" i="7"/>
  <c r="Q903" i="7"/>
  <c r="I902" i="7"/>
  <c r="Q902" i="7" s="1"/>
  <c r="Q901" i="7"/>
  <c r="Q899" i="7"/>
  <c r="Q898" i="7"/>
  <c r="Q896" i="7"/>
  <c r="M895" i="7"/>
  <c r="O895" i="7" s="1"/>
  <c r="S895" i="7" s="1"/>
  <c r="Q893" i="7"/>
  <c r="M892" i="7"/>
  <c r="Q890" i="7"/>
  <c r="Q889" i="7"/>
  <c r="Q888" i="7"/>
  <c r="I887" i="7"/>
  <c r="I886" i="7"/>
  <c r="K886" i="7" s="1"/>
  <c r="S886" i="7" s="1"/>
  <c r="Q885" i="7"/>
  <c r="Q883" i="7"/>
  <c r="Q882" i="7"/>
  <c r="M880" i="7"/>
  <c r="O880" i="7" s="1"/>
  <c r="S880" i="7" s="1"/>
  <c r="M878" i="7"/>
  <c r="O878" i="7" s="1"/>
  <c r="S878" i="7" s="1"/>
  <c r="I876" i="7"/>
  <c r="K876" i="7" s="1"/>
  <c r="Q875" i="7"/>
  <c r="Q874" i="7"/>
  <c r="Q873" i="7"/>
  <c r="I872" i="7"/>
  <c r="Q871" i="7"/>
  <c r="Q868" i="7"/>
  <c r="Q867" i="7"/>
  <c r="M865" i="7"/>
  <c r="O865" i="7" s="1"/>
  <c r="S865" i="7" s="1"/>
  <c r="I863" i="7"/>
  <c r="K863" i="7" s="1"/>
  <c r="Q862" i="7"/>
  <c r="Q861" i="7"/>
  <c r="Q860" i="7"/>
  <c r="I859" i="7"/>
  <c r="Q858" i="7"/>
  <c r="Q855" i="7"/>
  <c r="Q854" i="7"/>
  <c r="M852" i="7"/>
  <c r="O852" i="7" s="1"/>
  <c r="S852" i="7" s="1"/>
  <c r="I850" i="7"/>
  <c r="K850" i="7" s="1"/>
  <c r="Q849" i="7"/>
  <c r="Q848" i="7"/>
  <c r="Q847" i="7"/>
  <c r="I846" i="7"/>
  <c r="Q845" i="7"/>
  <c r="M844" i="7"/>
  <c r="O844" i="7" s="1"/>
  <c r="Q843" i="7"/>
  <c r="Q842" i="7"/>
  <c r="Q840" i="7"/>
  <c r="Q839" i="7"/>
  <c r="I838" i="7"/>
  <c r="K838" i="7" s="1"/>
  <c r="S838" i="7" s="1"/>
  <c r="I837" i="7"/>
  <c r="Q837" i="7" s="1"/>
  <c r="Q836" i="7"/>
  <c r="Q834" i="7"/>
  <c r="I833" i="7"/>
  <c r="K833" i="7" s="1"/>
  <c r="S833" i="7" s="1"/>
  <c r="M832" i="7"/>
  <c r="O832" i="7" s="1"/>
  <c r="Q831" i="7"/>
  <c r="Q830" i="7"/>
  <c r="Q829" i="7"/>
  <c r="I828" i="7"/>
  <c r="K828" i="7" s="1"/>
  <c r="S828" i="7" s="1"/>
  <c r="Q827" i="7"/>
  <c r="M826" i="7"/>
  <c r="Q825" i="7"/>
  <c r="Q824" i="7"/>
  <c r="I821" i="7"/>
  <c r="K821" i="7" s="1"/>
  <c r="S821" i="7" s="1"/>
  <c r="Q820" i="7"/>
  <c r="Q819" i="7"/>
  <c r="I818" i="7"/>
  <c r="K818" i="7" s="1"/>
  <c r="S818" i="7" s="1"/>
  <c r="Q817" i="7"/>
  <c r="Q815" i="7"/>
  <c r="Q814" i="7"/>
  <c r="M813" i="7"/>
  <c r="O813" i="7" s="1"/>
  <c r="Q812" i="7"/>
  <c r="M811" i="7"/>
  <c r="O811" i="7" s="1"/>
  <c r="S811" i="7" s="1"/>
  <c r="Q809" i="7"/>
  <c r="M808" i="7"/>
  <c r="O808" i="7" s="1"/>
  <c r="S808" i="7" s="1"/>
  <c r="I807" i="7"/>
  <c r="K807" i="7" s="1"/>
  <c r="Q806" i="7"/>
  <c r="Q805" i="7"/>
  <c r="Q804" i="7"/>
  <c r="Q803" i="7"/>
  <c r="I802" i="7"/>
  <c r="I801" i="7"/>
  <c r="K801" i="7" s="1"/>
  <c r="S801" i="7" s="1"/>
  <c r="Q800" i="7"/>
  <c r="Q798" i="7"/>
  <c r="Q797" i="7"/>
  <c r="Q796" i="7"/>
  <c r="I795" i="7"/>
  <c r="K795" i="7" s="1"/>
  <c r="S795" i="7" s="1"/>
  <c r="M793" i="7"/>
  <c r="O793" i="7" s="1"/>
  <c r="S793" i="7" s="1"/>
  <c r="M792" i="7"/>
  <c r="O792" i="7" s="1"/>
  <c r="S792" i="7" s="1"/>
  <c r="I790" i="7"/>
  <c r="K790" i="7" s="1"/>
  <c r="Q789" i="7"/>
  <c r="Q788" i="7"/>
  <c r="I787" i="7"/>
  <c r="Q787" i="7" s="1"/>
  <c r="Q786" i="7"/>
  <c r="M785" i="7"/>
  <c r="O785" i="7" s="1"/>
  <c r="I784" i="7"/>
  <c r="K784" i="7" s="1"/>
  <c r="S784" i="7" s="1"/>
  <c r="I783" i="7"/>
  <c r="K783" i="7" s="1"/>
  <c r="S783" i="7" s="1"/>
  <c r="Q781" i="7"/>
  <c r="Q780" i="7"/>
  <c r="I779" i="7"/>
  <c r="M778" i="7"/>
  <c r="O778" i="7" s="1"/>
  <c r="Q775" i="7"/>
  <c r="M774" i="7"/>
  <c r="Q773" i="7"/>
  <c r="M772" i="7"/>
  <c r="O772" i="7" s="1"/>
  <c r="S772" i="7" s="1"/>
  <c r="Q771" i="7"/>
  <c r="Q770" i="7"/>
  <c r="Q769" i="7"/>
  <c r="Q768" i="7"/>
  <c r="I767" i="7"/>
  <c r="K767" i="7" s="1"/>
  <c r="S767" i="7" s="1"/>
  <c r="Q766" i="7"/>
  <c r="M765" i="7"/>
  <c r="O765" i="7" s="1"/>
  <c r="I764" i="7"/>
  <c r="K764" i="7" s="1"/>
  <c r="S764" i="7" s="1"/>
  <c r="I763" i="7"/>
  <c r="I761" i="7"/>
  <c r="K761" i="7" s="1"/>
  <c r="S761" i="7" s="1"/>
  <c r="Q760" i="7"/>
  <c r="I759" i="7"/>
  <c r="I758" i="7"/>
  <c r="K758" i="7" s="1"/>
  <c r="S758" i="7" s="1"/>
  <c r="Q757" i="7"/>
  <c r="Q756" i="7"/>
  <c r="Q755" i="7"/>
  <c r="Q754" i="7"/>
  <c r="Q753" i="7"/>
  <c r="I752" i="7"/>
  <c r="K752" i="7" s="1"/>
  <c r="Q751" i="7"/>
  <c r="B749" i="7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M696" i="7"/>
  <c r="O696" i="7" s="1"/>
  <c r="S696" i="7" s="1"/>
  <c r="M695" i="7"/>
  <c r="I693" i="7"/>
  <c r="Q692" i="7"/>
  <c r="Q691" i="7"/>
  <c r="Q690" i="7"/>
  <c r="Q689" i="7"/>
  <c r="Q688" i="7"/>
  <c r="M687" i="7"/>
  <c r="Q686" i="7"/>
  <c r="M685" i="7"/>
  <c r="O685" i="7" s="1"/>
  <c r="S685" i="7" s="1"/>
  <c r="M684" i="7"/>
  <c r="M683" i="7"/>
  <c r="M682" i="7"/>
  <c r="O682" i="7" s="1"/>
  <c r="S682" i="7" s="1"/>
  <c r="M681" i="7"/>
  <c r="O681" i="7" s="1"/>
  <c r="S681" i="7" s="1"/>
  <c r="M680" i="7"/>
  <c r="M679" i="7"/>
  <c r="Q678" i="7"/>
  <c r="M677" i="7"/>
  <c r="Q676" i="7"/>
  <c r="M675" i="7"/>
  <c r="O675" i="7" s="1"/>
  <c r="S675" i="7" s="1"/>
  <c r="Q674" i="7"/>
  <c r="M673" i="7"/>
  <c r="O673" i="7" s="1"/>
  <c r="S673" i="7" s="1"/>
  <c r="M672" i="7"/>
  <c r="O672" i="7" s="1"/>
  <c r="S672" i="7" s="1"/>
  <c r="Q671" i="7"/>
  <c r="Q670" i="7"/>
  <c r="Q669" i="7"/>
  <c r="M668" i="7"/>
  <c r="Q667" i="7"/>
  <c r="Q666" i="7"/>
  <c r="Q665" i="7"/>
  <c r="Q664" i="7"/>
  <c r="M663" i="7"/>
  <c r="O663" i="7" s="1"/>
  <c r="S663" i="7" s="1"/>
  <c r="M662" i="7"/>
  <c r="Q661" i="7"/>
  <c r="M660" i="7"/>
  <c r="O660" i="7" s="1"/>
  <c r="S660" i="7" s="1"/>
  <c r="M659" i="7"/>
  <c r="Q658" i="7"/>
  <c r="Q657" i="7"/>
  <c r="Q656" i="7"/>
  <c r="Q655" i="7"/>
  <c r="M654" i="7"/>
  <c r="M653" i="7"/>
  <c r="O653" i="7" s="1"/>
  <c r="S653" i="7" s="1"/>
  <c r="M652" i="7"/>
  <c r="Q651" i="7"/>
  <c r="Q650" i="7"/>
  <c r="M649" i="7"/>
  <c r="M648" i="7"/>
  <c r="Q647" i="7"/>
  <c r="Q646" i="7"/>
  <c r="M645" i="7"/>
  <c r="M644" i="7"/>
  <c r="O644" i="7" s="1"/>
  <c r="S644" i="7" s="1"/>
  <c r="M643" i="7"/>
  <c r="M642" i="7"/>
  <c r="M641" i="7"/>
  <c r="O641" i="7" s="1"/>
  <c r="S641" i="7" s="1"/>
  <c r="M640" i="7"/>
  <c r="M639" i="7"/>
  <c r="M638" i="7"/>
  <c r="M637" i="7"/>
  <c r="M636" i="7"/>
  <c r="O636" i="7" s="1"/>
  <c r="S636" i="7" s="1"/>
  <c r="M635" i="7"/>
  <c r="M634" i="7"/>
  <c r="M633" i="7"/>
  <c r="O633" i="7" s="1"/>
  <c r="S633" i="7" s="1"/>
  <c r="M632" i="7"/>
  <c r="Q630" i="7"/>
  <c r="Q629" i="7"/>
  <c r="Q628" i="7"/>
  <c r="Q627" i="7"/>
  <c r="Q626" i="7"/>
  <c r="Q625" i="7"/>
  <c r="Q624" i="7"/>
  <c r="Q623" i="7"/>
  <c r="Q622" i="7"/>
  <c r="M621" i="7"/>
  <c r="Q620" i="7"/>
  <c r="Q619" i="7"/>
  <c r="Q618" i="7"/>
  <c r="Q617" i="7"/>
  <c r="Q616" i="7"/>
  <c r="Q615" i="7"/>
  <c r="Q614" i="7"/>
  <c r="Q613" i="7"/>
  <c r="M612" i="7"/>
  <c r="Q611" i="7"/>
  <c r="M610" i="7"/>
  <c r="Q609" i="7"/>
  <c r="Q608" i="7"/>
  <c r="Q607" i="7"/>
  <c r="Q606" i="7"/>
  <c r="Q605" i="7"/>
  <c r="Q604" i="7"/>
  <c r="Q603" i="7"/>
  <c r="Q602" i="7"/>
  <c r="M601" i="7"/>
  <c r="Q600" i="7"/>
  <c r="Q598" i="7"/>
  <c r="Q597" i="7" s="1"/>
  <c r="M597" i="7"/>
  <c r="O597" i="7" s="1"/>
  <c r="I596" i="7"/>
  <c r="I595" i="7" s="1"/>
  <c r="K595" i="7" s="1"/>
  <c r="Q594" i="7"/>
  <c r="M593" i="7"/>
  <c r="O593" i="7" s="1"/>
  <c r="S593" i="7" s="1"/>
  <c r="I592" i="7"/>
  <c r="K592" i="7" s="1"/>
  <c r="Q591" i="7"/>
  <c r="I590" i="7"/>
  <c r="Q589" i="7"/>
  <c r="Q588" i="7"/>
  <c r="I587" i="7"/>
  <c r="K587" i="7" s="1"/>
  <c r="S587" i="7" s="1"/>
  <c r="M586" i="7"/>
  <c r="I585" i="7"/>
  <c r="K585" i="7" s="1"/>
  <c r="S585" i="7" s="1"/>
  <c r="I584" i="7"/>
  <c r="Q582" i="7"/>
  <c r="M581" i="7"/>
  <c r="Q581" i="7" s="1"/>
  <c r="I580" i="7"/>
  <c r="Q579" i="7"/>
  <c r="I578" i="7"/>
  <c r="K578" i="7" s="1"/>
  <c r="S578" i="7" s="1"/>
  <c r="Q577" i="7"/>
  <c r="Q576" i="7"/>
  <c r="Q575" i="7"/>
  <c r="Q574" i="7"/>
  <c r="Q573" i="7"/>
  <c r="I572" i="7"/>
  <c r="Q571" i="7"/>
  <c r="I570" i="7"/>
  <c r="I569" i="7"/>
  <c r="I568" i="7"/>
  <c r="I567" i="7"/>
  <c r="I566" i="7"/>
  <c r="K566" i="7" s="1"/>
  <c r="S566" i="7" s="1"/>
  <c r="Q564" i="7"/>
  <c r="Q563" i="7"/>
  <c r="M562" i="7"/>
  <c r="O562" i="7" s="1"/>
  <c r="I560" i="7"/>
  <c r="M559" i="7"/>
  <c r="O559" i="7" s="1"/>
  <c r="B558" i="7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Q488" i="7"/>
  <c r="M487" i="7"/>
  <c r="I486" i="7"/>
  <c r="K486" i="7" s="1"/>
  <c r="Q485" i="7"/>
  <c r="M484" i="7"/>
  <c r="I483" i="7"/>
  <c r="K483" i="7" s="1"/>
  <c r="Q482" i="7"/>
  <c r="Q481" i="7"/>
  <c r="Q480" i="7"/>
  <c r="I479" i="7"/>
  <c r="K479" i="7" s="1"/>
  <c r="S479" i="7" s="1"/>
  <c r="I478" i="7"/>
  <c r="I477" i="7"/>
  <c r="Q476" i="7"/>
  <c r="Q475" i="7"/>
  <c r="Q474" i="7"/>
  <c r="M473" i="7"/>
  <c r="O473" i="7" s="1"/>
  <c r="Q471" i="7"/>
  <c r="I470" i="7"/>
  <c r="K470" i="7" s="1"/>
  <c r="S470" i="7" s="1"/>
  <c r="M469" i="7"/>
  <c r="O469" i="7" s="1"/>
  <c r="Q468" i="7"/>
  <c r="M467" i="7"/>
  <c r="M466" i="7"/>
  <c r="O466" i="7" s="1"/>
  <c r="S466" i="7" s="1"/>
  <c r="I464" i="7"/>
  <c r="K464" i="7" s="1"/>
  <c r="I463" i="7"/>
  <c r="I462" i="7" s="1"/>
  <c r="M462" i="7"/>
  <c r="Q460" i="7"/>
  <c r="M459" i="7"/>
  <c r="Q459" i="7" s="1"/>
  <c r="I458" i="7"/>
  <c r="K458" i="7" s="1"/>
  <c r="Q457" i="7"/>
  <c r="I456" i="7"/>
  <c r="K456" i="7" s="1"/>
  <c r="S456" i="7" s="1"/>
  <c r="Q455" i="7"/>
  <c r="Q454" i="7"/>
  <c r="I453" i="7"/>
  <c r="K453" i="7" s="1"/>
  <c r="S453" i="7" s="1"/>
  <c r="M452" i="7"/>
  <c r="Q451" i="7"/>
  <c r="Q450" i="7"/>
  <c r="M448" i="7"/>
  <c r="M447" i="7"/>
  <c r="M446" i="7"/>
  <c r="M445" i="7"/>
  <c r="O445" i="7" s="1"/>
  <c r="S445" i="7" s="1"/>
  <c r="M444" i="7"/>
  <c r="M443" i="7"/>
  <c r="Q441" i="7"/>
  <c r="M440" i="7"/>
  <c r="O440" i="7" s="1"/>
  <c r="S440" i="7" s="1"/>
  <c r="I439" i="7"/>
  <c r="K439" i="7" s="1"/>
  <c r="Q438" i="7"/>
  <c r="I437" i="7"/>
  <c r="M435" i="7"/>
  <c r="M434" i="7"/>
  <c r="O434" i="7" s="1"/>
  <c r="S434" i="7" s="1"/>
  <c r="I430" i="7"/>
  <c r="K430" i="7" s="1"/>
  <c r="Q429" i="7"/>
  <c r="M428" i="7"/>
  <c r="O428" i="7" s="1"/>
  <c r="I428" i="7"/>
  <c r="K428" i="7" s="1"/>
  <c r="I427" i="7"/>
  <c r="I426" i="7"/>
  <c r="I425" i="7"/>
  <c r="K425" i="7" s="1"/>
  <c r="S425" i="7" s="1"/>
  <c r="I424" i="7"/>
  <c r="K424" i="7" s="1"/>
  <c r="S424" i="7" s="1"/>
  <c r="I423" i="7"/>
  <c r="K423" i="7" s="1"/>
  <c r="S423" i="7" s="1"/>
  <c r="Q422" i="7"/>
  <c r="I421" i="7"/>
  <c r="I419" i="7"/>
  <c r="K419" i="7" s="1"/>
  <c r="S419" i="7" s="1"/>
  <c r="I418" i="7"/>
  <c r="B417" i="7"/>
  <c r="B418" i="7" s="1"/>
  <c r="B419" i="7" s="1"/>
  <c r="Q354" i="7"/>
  <c r="Q353" i="7"/>
  <c r="Q352" i="7"/>
  <c r="Q351" i="7"/>
  <c r="Q350" i="7"/>
  <c r="M349" i="7"/>
  <c r="O349" i="7" s="1"/>
  <c r="I349" i="7"/>
  <c r="Q348" i="7"/>
  <c r="Q347" i="7"/>
  <c r="M346" i="7"/>
  <c r="O346" i="7" s="1"/>
  <c r="I346" i="7"/>
  <c r="M344" i="7"/>
  <c r="M343" i="7"/>
  <c r="O343" i="7" s="1"/>
  <c r="S343" i="7" s="1"/>
  <c r="M342" i="7"/>
  <c r="Q341" i="7"/>
  <c r="M339" i="7"/>
  <c r="O339" i="7" s="1"/>
  <c r="S339" i="7" s="1"/>
  <c r="M338" i="7"/>
  <c r="I336" i="7"/>
  <c r="K336" i="7" s="1"/>
  <c r="Q335" i="7"/>
  <c r="Q334" i="7"/>
  <c r="I333" i="7"/>
  <c r="Q332" i="7"/>
  <c r="Q331" i="7"/>
  <c r="M330" i="7"/>
  <c r="O330" i="7" s="1"/>
  <c r="I330" i="7"/>
  <c r="Q328" i="7"/>
  <c r="M327" i="7"/>
  <c r="O327" i="7" s="1"/>
  <c r="I327" i="7"/>
  <c r="Q326" i="7"/>
  <c r="Q325" i="7"/>
  <c r="I324" i="7"/>
  <c r="I323" i="7"/>
  <c r="K323" i="7" s="1"/>
  <c r="S323" i="7" s="1"/>
  <c r="Q322" i="7"/>
  <c r="M321" i="7"/>
  <c r="O321" i="7" s="1"/>
  <c r="Q320" i="7"/>
  <c r="Q319" i="7"/>
  <c r="Q316" i="7"/>
  <c r="Q315" i="7"/>
  <c r="Q314" i="7"/>
  <c r="Q313" i="7"/>
  <c r="Q312" i="7"/>
  <c r="M311" i="7"/>
  <c r="I311" i="7"/>
  <c r="K311" i="7" s="1"/>
  <c r="Q310" i="7"/>
  <c r="Q309" i="7"/>
  <c r="Q306" i="7"/>
  <c r="Q305" i="7"/>
  <c r="I304" i="7"/>
  <c r="I303" i="7"/>
  <c r="I302" i="7"/>
  <c r="K302" i="7" s="1"/>
  <c r="S302" i="7" s="1"/>
  <c r="Q301" i="7"/>
  <c r="M300" i="7"/>
  <c r="O300" i="7" s="1"/>
  <c r="I299" i="7"/>
  <c r="I298" i="7"/>
  <c r="Q296" i="7"/>
  <c r="Q295" i="7"/>
  <c r="I294" i="7"/>
  <c r="Q293" i="7"/>
  <c r="I292" i="7"/>
  <c r="K292" i="7" s="1"/>
  <c r="S292" i="7" s="1"/>
  <c r="Q291" i="7"/>
  <c r="Q290" i="7"/>
  <c r="M289" i="7"/>
  <c r="I288" i="7"/>
  <c r="I287" i="7"/>
  <c r="Q285" i="7"/>
  <c r="Q284" i="7"/>
  <c r="M283" i="7"/>
  <c r="I283" i="7"/>
  <c r="I281" i="7" s="1"/>
  <c r="Q282" i="7"/>
  <c r="B281" i="7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6" i="7" s="1"/>
  <c r="B297" i="7" s="1"/>
  <c r="B298" i="7" s="1"/>
  <c r="B299" i="7" s="1"/>
  <c r="B300" i="7" s="1"/>
  <c r="B301" i="7" s="1"/>
  <c r="B302" i="7" s="1"/>
  <c r="B303" i="7" s="1"/>
  <c r="B304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Q227" i="7"/>
  <c r="Q226" i="7"/>
  <c r="M225" i="7"/>
  <c r="I225" i="7"/>
  <c r="M223" i="7"/>
  <c r="O223" i="7" s="1"/>
  <c r="S223" i="7" s="1"/>
  <c r="M221" i="7"/>
  <c r="I219" i="7"/>
  <c r="K219" i="7" s="1"/>
  <c r="Q218" i="7"/>
  <c r="Q217" i="7"/>
  <c r="Q216" i="7"/>
  <c r="I215" i="7"/>
  <c r="I214" i="7" s="1"/>
  <c r="K214" i="7" s="1"/>
  <c r="Q213" i="7"/>
  <c r="Q212" i="7"/>
  <c r="M211" i="7"/>
  <c r="O211" i="7" s="1"/>
  <c r="I211" i="7"/>
  <c r="K211" i="7" s="1"/>
  <c r="Q209" i="7"/>
  <c r="M208" i="7"/>
  <c r="I207" i="7"/>
  <c r="K207" i="7" s="1"/>
  <c r="I206" i="7"/>
  <c r="I205" i="7"/>
  <c r="K205" i="7" s="1"/>
  <c r="S205" i="7" s="1"/>
  <c r="M204" i="7"/>
  <c r="O204" i="7" s="1"/>
  <c r="Q203" i="7"/>
  <c r="Q202" i="7"/>
  <c r="Q201" i="7"/>
  <c r="I200" i="7"/>
  <c r="I199" i="7"/>
  <c r="M198" i="7"/>
  <c r="O198" i="7" s="1"/>
  <c r="Q197" i="7"/>
  <c r="Q196" i="7"/>
  <c r="Q194" i="7"/>
  <c r="I193" i="7"/>
  <c r="Q192" i="7"/>
  <c r="I191" i="7"/>
  <c r="Q190" i="7"/>
  <c r="Q189" i="7"/>
  <c r="Q188" i="7"/>
  <c r="M187" i="7"/>
  <c r="O187" i="7" s="1"/>
  <c r="I186" i="7"/>
  <c r="I185" i="7"/>
  <c r="M183" i="7"/>
  <c r="O183" i="7" s="1"/>
  <c r="S183" i="7" s="1"/>
  <c r="Q182" i="7"/>
  <c r="Q180" i="7"/>
  <c r="Q179" i="7"/>
  <c r="Q178" i="7"/>
  <c r="Q177" i="7"/>
  <c r="M176" i="7"/>
  <c r="O176" i="7" s="1"/>
  <c r="S176" i="7" s="1"/>
  <c r="I175" i="7"/>
  <c r="K175" i="7" s="1"/>
  <c r="I173" i="7"/>
  <c r="Q172" i="7"/>
  <c r="I171" i="7"/>
  <c r="K171" i="7" s="1"/>
  <c r="S171" i="7" s="1"/>
  <c r="I170" i="7"/>
  <c r="Q170" i="7" s="1"/>
  <c r="M169" i="7"/>
  <c r="Q167" i="7"/>
  <c r="Q166" i="7"/>
  <c r="M165" i="7"/>
  <c r="I165" i="7"/>
  <c r="I164" i="7" s="1"/>
  <c r="K164" i="7" s="1"/>
  <c r="M163" i="7"/>
  <c r="I162" i="7"/>
  <c r="K162" i="7" s="1"/>
  <c r="Q161" i="7"/>
  <c r="Q160" i="7"/>
  <c r="M159" i="7"/>
  <c r="O159" i="7" s="1"/>
  <c r="I159" i="7"/>
  <c r="M157" i="7"/>
  <c r="M155" i="7" s="1"/>
  <c r="O155" i="7" s="1"/>
  <c r="Q156" i="7"/>
  <c r="I155" i="7"/>
  <c r="I154" i="7"/>
  <c r="Q153" i="7"/>
  <c r="M152" i="7"/>
  <c r="Q150" i="7"/>
  <c r="M149" i="7"/>
  <c r="O149" i="7" s="1"/>
  <c r="I149" i="7"/>
  <c r="I146" i="7"/>
  <c r="K146" i="7" s="1"/>
  <c r="S146" i="7" s="1"/>
  <c r="M145" i="7"/>
  <c r="O145" i="7" s="1"/>
  <c r="B144" i="7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I96" i="7"/>
  <c r="Q94" i="7"/>
  <c r="M93" i="7"/>
  <c r="O93" i="7" s="1"/>
  <c r="I93" i="7"/>
  <c r="I91" i="7"/>
  <c r="I90" i="7"/>
  <c r="Q89" i="7"/>
  <c r="M88" i="7"/>
  <c r="O88" i="7" s="1"/>
  <c r="B87" i="7"/>
  <c r="B88" i="7" s="1"/>
  <c r="B89" i="7" s="1"/>
  <c r="B90" i="7" s="1"/>
  <c r="B91" i="7" s="1"/>
  <c r="B92" i="7" s="1"/>
  <c r="B93" i="7" s="1"/>
  <c r="B94" i="7" s="1"/>
  <c r="B95" i="7" s="1"/>
  <c r="B96" i="7" s="1"/>
  <c r="J442" i="2"/>
  <c r="J441" i="2"/>
  <c r="J438" i="2"/>
  <c r="J431" i="2"/>
  <c r="I430" i="2"/>
  <c r="I432" i="2"/>
  <c r="I437" i="2"/>
  <c r="I440" i="2"/>
  <c r="I439" i="2" s="1"/>
  <c r="J420" i="2"/>
  <c r="J412" i="2"/>
  <c r="J404" i="2"/>
  <c r="J400" i="2"/>
  <c r="J396" i="2"/>
  <c r="J385" i="2"/>
  <c r="J384" i="2"/>
  <c r="J383" i="2"/>
  <c r="J382" i="2"/>
  <c r="J380" i="2"/>
  <c r="J378" i="2"/>
  <c r="J375" i="2"/>
  <c r="J374" i="2"/>
  <c r="J373" i="2"/>
  <c r="J372" i="2"/>
  <c r="J371" i="2"/>
  <c r="J358" i="2"/>
  <c r="J355" i="2"/>
  <c r="J351" i="2"/>
  <c r="J348" i="2"/>
  <c r="J345" i="2"/>
  <c r="J344" i="2"/>
  <c r="J341" i="2"/>
  <c r="J336" i="2"/>
  <c r="J333" i="2"/>
  <c r="J330" i="2"/>
  <c r="J329" i="2"/>
  <c r="J326" i="2"/>
  <c r="J321" i="2"/>
  <c r="J318" i="2"/>
  <c r="J315" i="2"/>
  <c r="J314" i="2"/>
  <c r="J313" i="2"/>
  <c r="J310" i="2"/>
  <c r="J305" i="2"/>
  <c r="J302" i="2"/>
  <c r="J299" i="2"/>
  <c r="J298" i="2"/>
  <c r="J295" i="2"/>
  <c r="J291" i="2"/>
  <c r="J288" i="2"/>
  <c r="J285" i="2"/>
  <c r="J284" i="2"/>
  <c r="J283" i="2"/>
  <c r="J282" i="2"/>
  <c r="J279" i="2"/>
  <c r="J274" i="2"/>
  <c r="J271" i="2"/>
  <c r="J268" i="2"/>
  <c r="J265" i="2"/>
  <c r="J258" i="2"/>
  <c r="J257" i="2"/>
  <c r="J254" i="2"/>
  <c r="J249" i="2"/>
  <c r="J246" i="2"/>
  <c r="J243" i="2"/>
  <c r="J242" i="2"/>
  <c r="J239" i="2"/>
  <c r="J235" i="2"/>
  <c r="J232" i="2"/>
  <c r="J228" i="2"/>
  <c r="J220" i="2"/>
  <c r="J216" i="2"/>
  <c r="J212" i="2"/>
  <c r="J208" i="2"/>
  <c r="J207" i="2"/>
  <c r="J204" i="2"/>
  <c r="J197" i="2"/>
  <c r="J193" i="2"/>
  <c r="J189" i="2"/>
  <c r="J188" i="2"/>
  <c r="J187" i="2"/>
  <c r="J183" i="2"/>
  <c r="J179" i="2"/>
  <c r="J175" i="2"/>
  <c r="J171" i="2"/>
  <c r="J167" i="2"/>
  <c r="J163" i="2"/>
  <c r="J159" i="2"/>
  <c r="J155" i="2"/>
  <c r="J151" i="2"/>
  <c r="J150" i="2"/>
  <c r="J146" i="2"/>
  <c r="J142" i="2"/>
  <c r="J138" i="2"/>
  <c r="J134" i="2"/>
  <c r="J130" i="2"/>
  <c r="J126" i="2"/>
  <c r="J122" i="2"/>
  <c r="J118" i="2"/>
  <c r="J111" i="2"/>
  <c r="J108" i="2"/>
  <c r="J101" i="2"/>
  <c r="J97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3" i="2"/>
  <c r="J72" i="2"/>
  <c r="J71" i="2"/>
  <c r="J70" i="2"/>
  <c r="J69" i="2"/>
  <c r="J68" i="2"/>
  <c r="J66" i="2"/>
  <c r="J65" i="2"/>
  <c r="J64" i="2"/>
  <c r="J59" i="2"/>
  <c r="J53" i="2"/>
  <c r="J50" i="2"/>
  <c r="J47" i="2"/>
  <c r="J45" i="2"/>
  <c r="J44" i="2"/>
  <c r="J42" i="2"/>
  <c r="J40" i="2"/>
  <c r="J36" i="2"/>
  <c r="J35" i="2"/>
  <c r="J34" i="2"/>
  <c r="J32" i="2"/>
  <c r="J30" i="2"/>
  <c r="J28" i="2"/>
  <c r="J23" i="2"/>
  <c r="J22" i="2"/>
  <c r="J20" i="2"/>
  <c r="J17" i="2"/>
  <c r="J16" i="2"/>
  <c r="J15" i="2"/>
  <c r="I11" i="2"/>
  <c r="I10" i="2" s="1"/>
  <c r="I14" i="2"/>
  <c r="I13" i="2" s="1"/>
  <c r="I19" i="2"/>
  <c r="I18" i="2" s="1"/>
  <c r="I27" i="2"/>
  <c r="I31" i="2"/>
  <c r="I29" i="2" s="1"/>
  <c r="I38" i="2"/>
  <c r="I41" i="2"/>
  <c r="I43" i="2"/>
  <c r="I46" i="2"/>
  <c r="I49" i="2"/>
  <c r="I48" i="2" s="1"/>
  <c r="I52" i="2"/>
  <c r="I51" i="2" s="1"/>
  <c r="I58" i="2"/>
  <c r="I57" i="2" s="1"/>
  <c r="I56" i="2" s="1"/>
  <c r="I63" i="2"/>
  <c r="I62" i="2" s="1"/>
  <c r="I61" i="2" s="1"/>
  <c r="I76" i="2"/>
  <c r="I74" i="2" s="1"/>
  <c r="I100" i="2"/>
  <c r="I99" i="2" s="1"/>
  <c r="I98" i="2" s="1"/>
  <c r="I107" i="2"/>
  <c r="I106" i="2" s="1"/>
  <c r="I110" i="2"/>
  <c r="I109" i="2" s="1"/>
  <c r="I117" i="2"/>
  <c r="I116" i="2" s="1"/>
  <c r="I115" i="2" s="1"/>
  <c r="I121" i="2"/>
  <c r="I120" i="2" s="1"/>
  <c r="I119" i="2" s="1"/>
  <c r="I125" i="2"/>
  <c r="I124" i="2" s="1"/>
  <c r="I123" i="2" s="1"/>
  <c r="I129" i="2"/>
  <c r="I128" i="2" s="1"/>
  <c r="I127" i="2" s="1"/>
  <c r="I133" i="2"/>
  <c r="I132" i="2" s="1"/>
  <c r="I131" i="2" s="1"/>
  <c r="I137" i="2"/>
  <c r="I136" i="2" s="1"/>
  <c r="I135" i="2" s="1"/>
  <c r="I141" i="2"/>
  <c r="I140" i="2" s="1"/>
  <c r="I139" i="2" s="1"/>
  <c r="I145" i="2"/>
  <c r="I144" i="2" s="1"/>
  <c r="I143" i="2" s="1"/>
  <c r="I149" i="2"/>
  <c r="I148" i="2" s="1"/>
  <c r="I147" i="2" s="1"/>
  <c r="I154" i="2"/>
  <c r="I153" i="2" s="1"/>
  <c r="I152" i="2" s="1"/>
  <c r="I158" i="2"/>
  <c r="I157" i="2" s="1"/>
  <c r="I156" i="2" s="1"/>
  <c r="I162" i="2"/>
  <c r="I161" i="2" s="1"/>
  <c r="I160" i="2" s="1"/>
  <c r="I166" i="2"/>
  <c r="I165" i="2" s="1"/>
  <c r="I164" i="2" s="1"/>
  <c r="I170" i="2"/>
  <c r="I169" i="2" s="1"/>
  <c r="I168" i="2" s="1"/>
  <c r="I174" i="2"/>
  <c r="I173" i="2" s="1"/>
  <c r="I172" i="2" s="1"/>
  <c r="I178" i="2"/>
  <c r="I177" i="2" s="1"/>
  <c r="I176" i="2" s="1"/>
  <c r="I182" i="2"/>
  <c r="I181" i="2" s="1"/>
  <c r="I186" i="2"/>
  <c r="I185" i="2" s="1"/>
  <c r="I184" i="2" s="1"/>
  <c r="I192" i="2"/>
  <c r="I191" i="2" s="1"/>
  <c r="I190" i="2" s="1"/>
  <c r="I196" i="2"/>
  <c r="I195" i="2" s="1"/>
  <c r="I199" i="2"/>
  <c r="I198" i="2" s="1"/>
  <c r="I203" i="2"/>
  <c r="I202" i="2" s="1"/>
  <c r="I206" i="2"/>
  <c r="I205" i="2" s="1"/>
  <c r="I211" i="2"/>
  <c r="I210" i="2" s="1"/>
  <c r="I209" i="2" s="1"/>
  <c r="I215" i="2"/>
  <c r="I214" i="2" s="1"/>
  <c r="I213" i="2" s="1"/>
  <c r="I219" i="2"/>
  <c r="I218" i="2" s="1"/>
  <c r="I217" i="2" s="1"/>
  <c r="I223" i="2"/>
  <c r="I222" i="2" s="1"/>
  <c r="I221" i="2" s="1"/>
  <c r="I227" i="2"/>
  <c r="I226" i="2" s="1"/>
  <c r="I225" i="2" s="1"/>
  <c r="I231" i="2"/>
  <c r="I230" i="2" s="1"/>
  <c r="I229" i="2" s="1"/>
  <c r="I233" i="2"/>
  <c r="I238" i="2"/>
  <c r="I237" i="2" s="1"/>
  <c r="I241" i="2"/>
  <c r="I240" i="2" s="1"/>
  <c r="I245" i="2"/>
  <c r="I244" i="2" s="1"/>
  <c r="I247" i="2"/>
  <c r="I253" i="2"/>
  <c r="I252" i="2" s="1"/>
  <c r="I256" i="2"/>
  <c r="I255" i="2" s="1"/>
  <c r="I264" i="2"/>
  <c r="I263" i="2" s="1"/>
  <c r="I267" i="2"/>
  <c r="I266" i="2" s="1"/>
  <c r="I270" i="2"/>
  <c r="I269" i="2" s="1"/>
  <c r="I272" i="2"/>
  <c r="I278" i="2"/>
  <c r="I277" i="2" s="1"/>
  <c r="I281" i="2"/>
  <c r="I280" i="2" s="1"/>
  <c r="I287" i="2"/>
  <c r="I286" i="2" s="1"/>
  <c r="I290" i="2"/>
  <c r="I289" i="2" s="1"/>
  <c r="I294" i="2"/>
  <c r="I293" i="2" s="1"/>
  <c r="I297" i="2"/>
  <c r="I296" i="2" s="1"/>
  <c r="I301" i="2"/>
  <c r="I300" i="2" s="1"/>
  <c r="I303" i="2"/>
  <c r="I309" i="2"/>
  <c r="I308" i="2" s="1"/>
  <c r="I312" i="2"/>
  <c r="I311" i="2" s="1"/>
  <c r="I317" i="2"/>
  <c r="I316" i="2" s="1"/>
  <c r="I319" i="2"/>
  <c r="I325" i="2"/>
  <c r="I324" i="2" s="1"/>
  <c r="I328" i="2"/>
  <c r="I327" i="2" s="1"/>
  <c r="I332" i="2"/>
  <c r="I331" i="2" s="1"/>
  <c r="I334" i="2"/>
  <c r="I340" i="2"/>
  <c r="I339" i="2" s="1"/>
  <c r="I343" i="2"/>
  <c r="I342" i="2" s="1"/>
  <c r="I347" i="2"/>
  <c r="I346" i="2" s="1"/>
  <c r="I350" i="2"/>
  <c r="I349" i="2" s="1"/>
  <c r="I354" i="2"/>
  <c r="I353" i="2" s="1"/>
  <c r="I357" i="2"/>
  <c r="I356" i="2" s="1"/>
  <c r="I367" i="2"/>
  <c r="I376" i="2"/>
  <c r="I390" i="2"/>
  <c r="I395" i="2"/>
  <c r="I394" i="2" s="1"/>
  <c r="I393" i="2" s="1"/>
  <c r="I392" i="2" s="1"/>
  <c r="I399" i="2"/>
  <c r="I398" i="2" s="1"/>
  <c r="I403" i="2"/>
  <c r="I402" i="2" s="1"/>
  <c r="I411" i="2"/>
  <c r="I410" i="2" s="1"/>
  <c r="I419" i="2"/>
  <c r="I418" i="2" s="1"/>
  <c r="Q434" i="7" l="1"/>
  <c r="Q1876" i="7"/>
  <c r="Q453" i="7"/>
  <c r="M297" i="7"/>
  <c r="O297" i="7" s="1"/>
  <c r="I321" i="7"/>
  <c r="I318" i="7" s="1"/>
  <c r="I317" i="7" s="1"/>
  <c r="Q339" i="7"/>
  <c r="Q456" i="7"/>
  <c r="M1255" i="7"/>
  <c r="O1255" i="7" s="1"/>
  <c r="I1409" i="7"/>
  <c r="K1409" i="7" s="1"/>
  <c r="M2093" i="7"/>
  <c r="N1671" i="7"/>
  <c r="H12" i="8" s="1"/>
  <c r="Q426" i="7"/>
  <c r="I420" i="7"/>
  <c r="B420" i="7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Q171" i="7"/>
  <c r="Q1155" i="7"/>
  <c r="Q1159" i="7"/>
  <c r="N2009" i="7"/>
  <c r="H14" i="8" s="1"/>
  <c r="K14" i="8" s="1"/>
  <c r="Q445" i="7"/>
  <c r="Q764" i="7"/>
  <c r="M1036" i="7"/>
  <c r="Q1335" i="7"/>
  <c r="Q1580" i="7"/>
  <c r="Q1592" i="7"/>
  <c r="I1676" i="7"/>
  <c r="Q1676" i="7" s="1"/>
  <c r="M592" i="7"/>
  <c r="O592" i="7" s="1"/>
  <c r="S592" i="7" s="1"/>
  <c r="Q2107" i="7"/>
  <c r="Q2284" i="7"/>
  <c r="I352" i="2"/>
  <c r="Q205" i="7"/>
  <c r="Q423" i="7"/>
  <c r="Q566" i="7"/>
  <c r="Q1350" i="7"/>
  <c r="I1387" i="7"/>
  <c r="K1387" i="7" s="1"/>
  <c r="Q1516" i="7"/>
  <c r="Q1560" i="7"/>
  <c r="I60" i="2"/>
  <c r="I105" i="2"/>
  <c r="S1382" i="7"/>
  <c r="K8" i="8"/>
  <c r="Q176" i="7"/>
  <c r="Q183" i="7"/>
  <c r="I307" i="7"/>
  <c r="Q311" i="7"/>
  <c r="M345" i="7"/>
  <c r="O345" i="7" s="1"/>
  <c r="Q479" i="7"/>
  <c r="Q792" i="7"/>
  <c r="Q983" i="7"/>
  <c r="Q1076" i="7"/>
  <c r="Q1467" i="7"/>
  <c r="M1720" i="7"/>
  <c r="O1720" i="7" s="1"/>
  <c r="I1723" i="7"/>
  <c r="Q1723" i="7" s="1"/>
  <c r="Q2164" i="7"/>
  <c r="Q2168" i="7"/>
  <c r="M2177" i="7"/>
  <c r="O2177" i="7" s="1"/>
  <c r="M2251" i="7"/>
  <c r="O2251" i="7" s="1"/>
  <c r="Q2262" i="7"/>
  <c r="I2271" i="7"/>
  <c r="I2267" i="7" s="1"/>
  <c r="K2267" i="7" s="1"/>
  <c r="R1762" i="7"/>
  <c r="M87" i="7"/>
  <c r="O87" i="7" s="1"/>
  <c r="M148" i="7"/>
  <c r="O148" i="7" s="1"/>
  <c r="M181" i="7"/>
  <c r="M175" i="7" s="1"/>
  <c r="O175" i="7" s="1"/>
  <c r="S175" i="7" s="1"/>
  <c r="M433" i="7"/>
  <c r="M430" i="7" s="1"/>
  <c r="B807" i="7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M1035" i="7"/>
  <c r="O1035" i="7" s="1"/>
  <c r="S1035" i="7" s="1"/>
  <c r="Q1050" i="7"/>
  <c r="Q1290" i="7"/>
  <c r="I1416" i="7"/>
  <c r="K1416" i="7" s="1"/>
  <c r="Q1523" i="7"/>
  <c r="S1709" i="7"/>
  <c r="Q1717" i="7"/>
  <c r="I1777" i="7"/>
  <c r="I1774" i="7" s="1"/>
  <c r="K1774" i="7" s="1"/>
  <c r="Q1891" i="7"/>
  <c r="J1325" i="7"/>
  <c r="R1325" i="7" s="1"/>
  <c r="M1716" i="7"/>
  <c r="M1711" i="7" s="1"/>
  <c r="M2082" i="7"/>
  <c r="O2082" i="7" s="1"/>
  <c r="Q2211" i="7"/>
  <c r="Q2214" i="7"/>
  <c r="S2222" i="7"/>
  <c r="Q2252" i="7"/>
  <c r="Q2257" i="7"/>
  <c r="M2264" i="7"/>
  <c r="O2264" i="7" s="1"/>
  <c r="R776" i="7"/>
  <c r="I307" i="2"/>
  <c r="I251" i="2"/>
  <c r="M318" i="7"/>
  <c r="M317" i="7" s="1"/>
  <c r="O317" i="7" s="1"/>
  <c r="I1304" i="7"/>
  <c r="K1304" i="7" s="1"/>
  <c r="M144" i="7"/>
  <c r="O144" i="7" s="1"/>
  <c r="M222" i="7"/>
  <c r="Q222" i="7" s="1"/>
  <c r="Q292" i="7"/>
  <c r="Q428" i="7"/>
  <c r="M465" i="7"/>
  <c r="M464" i="7" s="1"/>
  <c r="Q464" i="7" s="1"/>
  <c r="Q673" i="7"/>
  <c r="Q784" i="7"/>
  <c r="Q795" i="7"/>
  <c r="M810" i="7"/>
  <c r="M807" i="7" s="1"/>
  <c r="O807" i="7" s="1"/>
  <c r="S807" i="7" s="1"/>
  <c r="I955" i="7"/>
  <c r="K955" i="7" s="1"/>
  <c r="S955" i="7" s="1"/>
  <c r="Q957" i="7"/>
  <c r="Q966" i="7"/>
  <c r="Q1101" i="7"/>
  <c r="Q1204" i="7"/>
  <c r="M1288" i="7"/>
  <c r="O1288" i="7" s="1"/>
  <c r="I1291" i="7"/>
  <c r="K1291" i="7" s="1"/>
  <c r="S1291" i="7" s="1"/>
  <c r="Q1293" i="7"/>
  <c r="Q1322" i="7"/>
  <c r="S1337" i="7"/>
  <c r="I1341" i="7"/>
  <c r="I1402" i="7"/>
  <c r="K1402" i="7" s="1"/>
  <c r="S1405" i="7"/>
  <c r="M1479" i="7"/>
  <c r="O1479" i="7" s="1"/>
  <c r="Q1499" i="7"/>
  <c r="Q1608" i="7"/>
  <c r="Q1679" i="7"/>
  <c r="Q1698" i="7"/>
  <c r="Q1704" i="7"/>
  <c r="Q1772" i="7"/>
  <c r="Q1886" i="7"/>
  <c r="Q1909" i="7"/>
  <c r="Q1912" i="7"/>
  <c r="Q2025" i="7"/>
  <c r="Q2153" i="7"/>
  <c r="Q2172" i="7"/>
  <c r="M2176" i="7"/>
  <c r="O2176" i="7" s="1"/>
  <c r="Q2183" i="7"/>
  <c r="I2193" i="7"/>
  <c r="Q2193" i="7" s="1"/>
  <c r="M2306" i="7"/>
  <c r="O2306" i="7" s="1"/>
  <c r="Q1250" i="7"/>
  <c r="Q1405" i="7"/>
  <c r="M1675" i="7"/>
  <c r="O1675" i="7" s="1"/>
  <c r="Q1712" i="7"/>
  <c r="Q1725" i="7"/>
  <c r="Q1728" i="7"/>
  <c r="I1907" i="7"/>
  <c r="K1907" i="7" s="1"/>
  <c r="S1907" i="7" s="1"/>
  <c r="I1927" i="7"/>
  <c r="K1927" i="7" s="1"/>
  <c r="Q2064" i="7"/>
  <c r="I2070" i="7"/>
  <c r="Q2070" i="7" s="1"/>
  <c r="Q2072" i="7"/>
  <c r="I2089" i="7"/>
  <c r="I2086" i="7" s="1"/>
  <c r="K2086" i="7" s="1"/>
  <c r="Q2091" i="7"/>
  <c r="Q2094" i="7"/>
  <c r="Q2098" i="7"/>
  <c r="M2206" i="7"/>
  <c r="O2206" i="7" s="1"/>
  <c r="Q2222" i="7"/>
  <c r="M2250" i="7"/>
  <c r="O2250" i="7" s="1"/>
  <c r="N416" i="7"/>
  <c r="H9" i="8" s="1"/>
  <c r="K9" i="8" s="1"/>
  <c r="M1424" i="7"/>
  <c r="O1424" i="7" s="1"/>
  <c r="M92" i="7"/>
  <c r="I204" i="7"/>
  <c r="K204" i="7" s="1"/>
  <c r="S204" i="7" s="1"/>
  <c r="S211" i="7"/>
  <c r="Q223" i="7"/>
  <c r="Q323" i="7"/>
  <c r="I452" i="7"/>
  <c r="Q452" i="7" s="1"/>
  <c r="Q466" i="7"/>
  <c r="M558" i="7"/>
  <c r="O558" i="7" s="1"/>
  <c r="Q682" i="7"/>
  <c r="Q685" i="7"/>
  <c r="Q758" i="7"/>
  <c r="Q761" i="7"/>
  <c r="Q772" i="7"/>
  <c r="Q808" i="7"/>
  <c r="Q811" i="7"/>
  <c r="Q833" i="7"/>
  <c r="Q953" i="7"/>
  <c r="Q988" i="7"/>
  <c r="Q996" i="7"/>
  <c r="M1032" i="7"/>
  <c r="Q1032" i="7" s="1"/>
  <c r="Q1074" i="7"/>
  <c r="Q1110" i="7"/>
  <c r="Q1238" i="7"/>
  <c r="Q1249" i="7"/>
  <c r="Q1265" i="7"/>
  <c r="S1299" i="7"/>
  <c r="S1434" i="7"/>
  <c r="Q1490" i="7"/>
  <c r="Q1571" i="7"/>
  <c r="I1576" i="7"/>
  <c r="K1576" i="7" s="1"/>
  <c r="I1579" i="7"/>
  <c r="K1579" i="7" s="1"/>
  <c r="S1579" i="7" s="1"/>
  <c r="Q1684" i="7"/>
  <c r="M1703" i="7"/>
  <c r="O1703" i="7" s="1"/>
  <c r="Q1771" i="7"/>
  <c r="Q1780" i="7"/>
  <c r="M1911" i="7"/>
  <c r="Q2039" i="7"/>
  <c r="I2063" i="7"/>
  <c r="K2063" i="7" s="1"/>
  <c r="S2159" i="7"/>
  <c r="Q2194" i="7"/>
  <c r="M2273" i="7"/>
  <c r="O2273" i="7" s="1"/>
  <c r="K10" i="8"/>
  <c r="I387" i="2"/>
  <c r="I386" i="2" s="1"/>
  <c r="S1490" i="7"/>
  <c r="S1499" i="7"/>
  <c r="S428" i="7"/>
  <c r="S1243" i="7"/>
  <c r="I366" i="2"/>
  <c r="I364" i="2" s="1"/>
  <c r="I363" i="2" s="1"/>
  <c r="K199" i="7"/>
  <c r="S199" i="7" s="1"/>
  <c r="Q199" i="7"/>
  <c r="I198" i="7"/>
  <c r="Q191" i="7"/>
  <c r="K191" i="7"/>
  <c r="S191" i="7" s="1"/>
  <c r="I323" i="2"/>
  <c r="I292" i="2"/>
  <c r="I262" i="2"/>
  <c r="I37" i="2"/>
  <c r="Q93" i="7"/>
  <c r="K93" i="7"/>
  <c r="S93" i="7" s="1"/>
  <c r="M151" i="7"/>
  <c r="O151" i="7" s="1"/>
  <c r="O152" i="7"/>
  <c r="Q163" i="7"/>
  <c r="O163" i="7"/>
  <c r="S163" i="7" s="1"/>
  <c r="K173" i="7"/>
  <c r="S173" i="7" s="1"/>
  <c r="Q173" i="7"/>
  <c r="Q430" i="7"/>
  <c r="O430" i="7"/>
  <c r="S430" i="7" s="1"/>
  <c r="Q91" i="7"/>
  <c r="K91" i="7"/>
  <c r="S91" i="7" s="1"/>
  <c r="Q154" i="7"/>
  <c r="K154" i="7"/>
  <c r="S154" i="7" s="1"/>
  <c r="Q157" i="7"/>
  <c r="O157" i="7"/>
  <c r="S157" i="7" s="1"/>
  <c r="O169" i="7"/>
  <c r="O181" i="7"/>
  <c r="S181" i="7" s="1"/>
  <c r="Q185" i="7"/>
  <c r="K185" i="7"/>
  <c r="S185" i="7" s="1"/>
  <c r="K193" i="7"/>
  <c r="S193" i="7" s="1"/>
  <c r="Q193" i="7"/>
  <c r="I409" i="2"/>
  <c r="I401" i="2"/>
  <c r="Q96" i="7"/>
  <c r="K96" i="7"/>
  <c r="S96" i="7" s="1"/>
  <c r="I145" i="7"/>
  <c r="Q146" i="7"/>
  <c r="Q159" i="7"/>
  <c r="K159" i="7"/>
  <c r="S159" i="7" s="1"/>
  <c r="I158" i="7"/>
  <c r="K158" i="7" s="1"/>
  <c r="M164" i="7"/>
  <c r="O164" i="7" s="1"/>
  <c r="S164" i="7" s="1"/>
  <c r="O165" i="7"/>
  <c r="K170" i="7"/>
  <c r="S170" i="7" s="1"/>
  <c r="I169" i="7"/>
  <c r="K186" i="7"/>
  <c r="S186" i="7" s="1"/>
  <c r="Q186" i="7"/>
  <c r="M210" i="7"/>
  <c r="O210" i="7" s="1"/>
  <c r="K225" i="7"/>
  <c r="I224" i="7"/>
  <c r="K224" i="7" s="1"/>
  <c r="K283" i="7"/>
  <c r="Q283" i="7"/>
  <c r="Q287" i="7"/>
  <c r="K287" i="7"/>
  <c r="S287" i="7" s="1"/>
  <c r="Q294" i="7"/>
  <c r="K294" i="7"/>
  <c r="S294" i="7" s="1"/>
  <c r="K298" i="7"/>
  <c r="S298" i="7" s="1"/>
  <c r="Q298" i="7"/>
  <c r="O311" i="7"/>
  <c r="S311" i="7" s="1"/>
  <c r="M307" i="7"/>
  <c r="O318" i="7"/>
  <c r="Q324" i="7"/>
  <c r="K324" i="7"/>
  <c r="S324" i="7" s="1"/>
  <c r="Q343" i="7"/>
  <c r="Q425" i="7"/>
  <c r="K427" i="7"/>
  <c r="S427" i="7" s="1"/>
  <c r="Q427" i="7"/>
  <c r="Q443" i="7"/>
  <c r="O443" i="7"/>
  <c r="S443" i="7" s="1"/>
  <c r="O446" i="7"/>
  <c r="S446" i="7" s="1"/>
  <c r="Q446" i="7"/>
  <c r="O459" i="7"/>
  <c r="S459" i="7" s="1"/>
  <c r="M458" i="7"/>
  <c r="Q462" i="7"/>
  <c r="O462" i="7"/>
  <c r="Q487" i="7"/>
  <c r="O487" i="7"/>
  <c r="S487" i="7" s="1"/>
  <c r="K570" i="7"/>
  <c r="S570" i="7" s="1"/>
  <c r="Q570" i="7"/>
  <c r="O586" i="7"/>
  <c r="O621" i="7"/>
  <c r="S621" i="7" s="1"/>
  <c r="Q621" i="7"/>
  <c r="Q634" i="7"/>
  <c r="O634" i="7"/>
  <c r="S634" i="7" s="1"/>
  <c r="Q642" i="7"/>
  <c r="O642" i="7"/>
  <c r="S642" i="7" s="1"/>
  <c r="Q654" i="7"/>
  <c r="O654" i="7"/>
  <c r="S654" i="7" s="1"/>
  <c r="K2268" i="7"/>
  <c r="S2268" i="7" s="1"/>
  <c r="Q2268" i="7"/>
  <c r="M224" i="7"/>
  <c r="O224" i="7" s="1"/>
  <c r="O225" i="7"/>
  <c r="O283" i="7"/>
  <c r="M281" i="7"/>
  <c r="O281" i="7" s="1"/>
  <c r="Q299" i="7"/>
  <c r="K299" i="7"/>
  <c r="S299" i="7" s="1"/>
  <c r="M417" i="7"/>
  <c r="O417" i="7" s="1"/>
  <c r="O420" i="7"/>
  <c r="Q477" i="7"/>
  <c r="K477" i="7"/>
  <c r="S477" i="7" s="1"/>
  <c r="Q484" i="7"/>
  <c r="O484" i="7"/>
  <c r="S484" i="7" s="1"/>
  <c r="K567" i="7"/>
  <c r="S567" i="7" s="1"/>
  <c r="Q567" i="7"/>
  <c r="I565" i="7"/>
  <c r="O610" i="7"/>
  <c r="S610" i="7" s="1"/>
  <c r="Q610" i="7"/>
  <c r="I397" i="2"/>
  <c r="K90" i="7"/>
  <c r="S90" i="7" s="1"/>
  <c r="Q90" i="7"/>
  <c r="I88" i="7"/>
  <c r="Q88" i="7" s="1"/>
  <c r="Q149" i="7"/>
  <c r="K149" i="7"/>
  <c r="S149" i="7" s="1"/>
  <c r="I148" i="7"/>
  <c r="Q200" i="7"/>
  <c r="K200" i="7"/>
  <c r="S200" i="7" s="1"/>
  <c r="Q225" i="7"/>
  <c r="K281" i="7"/>
  <c r="M286" i="7"/>
  <c r="O286" i="7" s="1"/>
  <c r="O289" i="7"/>
  <c r="I300" i="7"/>
  <c r="I297" i="7" s="1"/>
  <c r="Q302" i="7"/>
  <c r="K330" i="7"/>
  <c r="S330" i="7" s="1"/>
  <c r="I329" i="7"/>
  <c r="K329" i="7" s="1"/>
  <c r="Q330" i="7"/>
  <c r="K333" i="7"/>
  <c r="S333" i="7" s="1"/>
  <c r="Q333" i="7"/>
  <c r="K421" i="7"/>
  <c r="S421" i="7" s="1"/>
  <c r="Q421" i="7"/>
  <c r="O435" i="7"/>
  <c r="S435" i="7" s="1"/>
  <c r="Q435" i="7"/>
  <c r="Q448" i="7"/>
  <c r="O448" i="7"/>
  <c r="S448" i="7" s="1"/>
  <c r="Q572" i="7"/>
  <c r="K572" i="7"/>
  <c r="S572" i="7" s="1"/>
  <c r="K580" i="7"/>
  <c r="K584" i="7"/>
  <c r="S584" i="7" s="1"/>
  <c r="Q584" i="7"/>
  <c r="O632" i="7"/>
  <c r="S632" i="7" s="1"/>
  <c r="M631" i="7"/>
  <c r="Q632" i="7"/>
  <c r="O640" i="7"/>
  <c r="S640" i="7" s="1"/>
  <c r="Q640" i="7"/>
  <c r="Q648" i="7"/>
  <c r="O648" i="7"/>
  <c r="S648" i="7" s="1"/>
  <c r="O652" i="7"/>
  <c r="S652" i="7" s="1"/>
  <c r="Q652" i="7"/>
  <c r="O668" i="7"/>
  <c r="S668" i="7" s="1"/>
  <c r="Q668" i="7"/>
  <c r="Q206" i="7"/>
  <c r="K206" i="7"/>
  <c r="S206" i="7" s="1"/>
  <c r="I210" i="7"/>
  <c r="Q211" i="7"/>
  <c r="Q215" i="7"/>
  <c r="K215" i="7"/>
  <c r="S215" i="7" s="1"/>
  <c r="K318" i="7"/>
  <c r="Q327" i="7"/>
  <c r="K327" i="7"/>
  <c r="S327" i="7" s="1"/>
  <c r="Q346" i="7"/>
  <c r="K346" i="7"/>
  <c r="S346" i="7" s="1"/>
  <c r="I345" i="7"/>
  <c r="K345" i="7" s="1"/>
  <c r="Q349" i="7"/>
  <c r="K349" i="7"/>
  <c r="S349" i="7" s="1"/>
  <c r="Q418" i="7"/>
  <c r="K418" i="7"/>
  <c r="S418" i="7" s="1"/>
  <c r="O433" i="7"/>
  <c r="S433" i="7" s="1"/>
  <c r="Q433" i="7"/>
  <c r="K462" i="7"/>
  <c r="I461" i="7"/>
  <c r="K461" i="7" s="1"/>
  <c r="Q467" i="7"/>
  <c r="O467" i="7"/>
  <c r="S467" i="7" s="1"/>
  <c r="Q560" i="7"/>
  <c r="K560" i="7"/>
  <c r="S560" i="7" s="1"/>
  <c r="I559" i="7"/>
  <c r="Q569" i="7"/>
  <c r="K569" i="7"/>
  <c r="S569" i="7" s="1"/>
  <c r="O581" i="7"/>
  <c r="S581" i="7" s="1"/>
  <c r="M580" i="7"/>
  <c r="O580" i="7" s="1"/>
  <c r="O637" i="7"/>
  <c r="S637" i="7" s="1"/>
  <c r="Q637" i="7"/>
  <c r="O645" i="7"/>
  <c r="S645" i="7" s="1"/>
  <c r="Q645" i="7"/>
  <c r="Q680" i="7"/>
  <c r="O680" i="7"/>
  <c r="S680" i="7" s="1"/>
  <c r="Q802" i="7"/>
  <c r="K802" i="7"/>
  <c r="S802" i="7" s="1"/>
  <c r="I835" i="7"/>
  <c r="K835" i="7" s="1"/>
  <c r="S835" i="7" s="1"/>
  <c r="K837" i="7"/>
  <c r="S837" i="7" s="1"/>
  <c r="M851" i="7"/>
  <c r="O851" i="7" s="1"/>
  <c r="S851" i="7" s="1"/>
  <c r="M864" i="7"/>
  <c r="O864" i="7" s="1"/>
  <c r="S864" i="7" s="1"/>
  <c r="M877" i="7"/>
  <c r="O877" i="7" s="1"/>
  <c r="S877" i="7" s="1"/>
  <c r="Q887" i="7"/>
  <c r="K887" i="7"/>
  <c r="S887" i="7" s="1"/>
  <c r="Q892" i="7"/>
  <c r="O892" i="7"/>
  <c r="S892" i="7" s="1"/>
  <c r="Q941" i="7"/>
  <c r="K941" i="7"/>
  <c r="S941" i="7" s="1"/>
  <c r="M949" i="7"/>
  <c r="O949" i="7" s="1"/>
  <c r="S949" i="7" s="1"/>
  <c r="Q972" i="7"/>
  <c r="K972" i="7"/>
  <c r="S972" i="7" s="1"/>
  <c r="O998" i="7"/>
  <c r="Q1056" i="7"/>
  <c r="K1056" i="7"/>
  <c r="S1056" i="7" s="1"/>
  <c r="Q1066" i="7"/>
  <c r="K1066" i="7"/>
  <c r="S1066" i="7" s="1"/>
  <c r="Q1105" i="7"/>
  <c r="K1105" i="7"/>
  <c r="S1105" i="7" s="1"/>
  <c r="Q1120" i="7"/>
  <c r="O1120" i="7"/>
  <c r="S1120" i="7" s="1"/>
  <c r="K1163" i="7"/>
  <c r="S1163" i="7" s="1"/>
  <c r="I1174" i="7"/>
  <c r="K1174" i="7" s="1"/>
  <c r="I1202" i="7"/>
  <c r="K1202" i="7" s="1"/>
  <c r="S1202" i="7" s="1"/>
  <c r="K1208" i="7"/>
  <c r="S1208" i="7" s="1"/>
  <c r="Q1221" i="7"/>
  <c r="K1221" i="7"/>
  <c r="S1221" i="7" s="1"/>
  <c r="M1240" i="7"/>
  <c r="M1296" i="7"/>
  <c r="O1296" i="7" s="1"/>
  <c r="M1312" i="7"/>
  <c r="O1312" i="7" s="1"/>
  <c r="Q1341" i="7"/>
  <c r="K1341" i="7"/>
  <c r="S1341" i="7" s="1"/>
  <c r="Q1344" i="7"/>
  <c r="O1344" i="7"/>
  <c r="S1344" i="7" s="1"/>
  <c r="I1357" i="7"/>
  <c r="K1357" i="7" s="1"/>
  <c r="S1357" i="7" s="1"/>
  <c r="M1431" i="7"/>
  <c r="O1451" i="7"/>
  <c r="Q1454" i="7"/>
  <c r="K1454" i="7"/>
  <c r="S1454" i="7" s="1"/>
  <c r="Q1475" i="7"/>
  <c r="O1475" i="7"/>
  <c r="S1475" i="7" s="1"/>
  <c r="M1556" i="7"/>
  <c r="O1556" i="7" s="1"/>
  <c r="S1556" i="7" s="1"/>
  <c r="O1557" i="7"/>
  <c r="S1557" i="7" s="1"/>
  <c r="Q1566" i="7"/>
  <c r="K1566" i="7"/>
  <c r="S1566" i="7" s="1"/>
  <c r="M1558" i="7"/>
  <c r="O1558" i="7" s="1"/>
  <c r="O1568" i="7"/>
  <c r="M1597" i="7"/>
  <c r="O1597" i="7" s="1"/>
  <c r="O1600" i="7"/>
  <c r="Q1691" i="7"/>
  <c r="K1691" i="7"/>
  <c r="S1691" i="7" s="1"/>
  <c r="M1708" i="7"/>
  <c r="O1708" i="7" s="1"/>
  <c r="O1711" i="7"/>
  <c r="S1711" i="7" s="1"/>
  <c r="Q1737" i="7"/>
  <c r="O1737" i="7"/>
  <c r="S1737" i="7" s="1"/>
  <c r="Q1747" i="7"/>
  <c r="K1747" i="7"/>
  <c r="S1747" i="7" s="1"/>
  <c r="K1751" i="7"/>
  <c r="S1751" i="7" s="1"/>
  <c r="Q1758" i="7"/>
  <c r="K1758" i="7"/>
  <c r="S1758" i="7" s="1"/>
  <c r="Q1761" i="7"/>
  <c r="K1761" i="7"/>
  <c r="S1761" i="7" s="1"/>
  <c r="Q1897" i="7"/>
  <c r="K1897" i="7"/>
  <c r="S1897" i="7" s="1"/>
  <c r="Q1922" i="7"/>
  <c r="K1922" i="7"/>
  <c r="S1922" i="7" s="1"/>
  <c r="Q2030" i="7"/>
  <c r="K2030" i="7"/>
  <c r="S2030" i="7" s="1"/>
  <c r="Q2037" i="7"/>
  <c r="K2037" i="7"/>
  <c r="S2037" i="7" s="1"/>
  <c r="O2070" i="7"/>
  <c r="Q2073" i="7"/>
  <c r="K2073" i="7"/>
  <c r="S2073" i="7" s="1"/>
  <c r="M2077" i="7"/>
  <c r="Q2105" i="7"/>
  <c r="K2105" i="7"/>
  <c r="S2105" i="7" s="1"/>
  <c r="M2155" i="7"/>
  <c r="Q2155" i="7" s="1"/>
  <c r="Q2160" i="7"/>
  <c r="K2160" i="7"/>
  <c r="S2160" i="7" s="1"/>
  <c r="Q2165" i="7"/>
  <c r="K2165" i="7"/>
  <c r="S2165" i="7" s="1"/>
  <c r="Q2169" i="7"/>
  <c r="K2169" i="7"/>
  <c r="S2169" i="7" s="1"/>
  <c r="Q2178" i="7"/>
  <c r="Q2181" i="7"/>
  <c r="Q2184" i="7"/>
  <c r="K2184" i="7"/>
  <c r="S2184" i="7" s="1"/>
  <c r="Q2188" i="7"/>
  <c r="K2188" i="7"/>
  <c r="S2188" i="7" s="1"/>
  <c r="Q2207" i="7"/>
  <c r="K2207" i="7"/>
  <c r="S2207" i="7" s="1"/>
  <c r="Q2216" i="7"/>
  <c r="Q2240" i="7"/>
  <c r="K2250" i="7"/>
  <c r="Q2260" i="7"/>
  <c r="K2260" i="7"/>
  <c r="S2260" i="7" s="1"/>
  <c r="Q2263" i="7"/>
  <c r="K2263" i="7"/>
  <c r="S2263" i="7" s="1"/>
  <c r="Q2272" i="7"/>
  <c r="Q2276" i="7"/>
  <c r="K2276" i="7"/>
  <c r="S2276" i="7" s="1"/>
  <c r="Q2290" i="7"/>
  <c r="Q2293" i="7"/>
  <c r="I2307" i="7"/>
  <c r="Q590" i="7"/>
  <c r="K590" i="7"/>
  <c r="S590" i="7" s="1"/>
  <c r="Q635" i="7"/>
  <c r="O635" i="7"/>
  <c r="S635" i="7" s="1"/>
  <c r="Q643" i="7"/>
  <c r="O643" i="7"/>
  <c r="S643" i="7" s="1"/>
  <c r="Q649" i="7"/>
  <c r="O649" i="7"/>
  <c r="S649" i="7" s="1"/>
  <c r="Q659" i="7"/>
  <c r="O659" i="7"/>
  <c r="S659" i="7" s="1"/>
  <c r="Q662" i="7"/>
  <c r="O662" i="7"/>
  <c r="S662" i="7" s="1"/>
  <c r="Q677" i="7"/>
  <c r="O677" i="7"/>
  <c r="S677" i="7" s="1"/>
  <c r="Q683" i="7"/>
  <c r="O683" i="7"/>
  <c r="S683" i="7" s="1"/>
  <c r="Q695" i="7"/>
  <c r="O695" i="7"/>
  <c r="S695" i="7" s="1"/>
  <c r="M823" i="7"/>
  <c r="O823" i="7" s="1"/>
  <c r="O826" i="7"/>
  <c r="Q1077" i="7"/>
  <c r="K1077" i="7"/>
  <c r="S1077" i="7" s="1"/>
  <c r="M1090" i="7"/>
  <c r="O1091" i="7"/>
  <c r="S1091" i="7" s="1"/>
  <c r="I1098" i="7"/>
  <c r="K1100" i="7"/>
  <c r="S1100" i="7" s="1"/>
  <c r="M1160" i="7"/>
  <c r="O1174" i="7"/>
  <c r="Q1205" i="7"/>
  <c r="K1205" i="7"/>
  <c r="S1205" i="7" s="1"/>
  <c r="M1217" i="7"/>
  <c r="O1218" i="7"/>
  <c r="S1218" i="7" s="1"/>
  <c r="Q1255" i="7"/>
  <c r="K1255" i="7"/>
  <c r="Q1258" i="7"/>
  <c r="K1258" i="7"/>
  <c r="S1258" i="7" s="1"/>
  <c r="M1387" i="7"/>
  <c r="O1390" i="7"/>
  <c r="S1390" i="7" s="1"/>
  <c r="Q1488" i="7"/>
  <c r="K1488" i="7"/>
  <c r="S1488" i="7" s="1"/>
  <c r="Q1546" i="7"/>
  <c r="O1546" i="7"/>
  <c r="S1546" i="7" s="1"/>
  <c r="M1585" i="7"/>
  <c r="O1588" i="7"/>
  <c r="I1588" i="7"/>
  <c r="K1591" i="7"/>
  <c r="S1591" i="7" s="1"/>
  <c r="Q1598" i="7"/>
  <c r="K1598" i="7"/>
  <c r="S1598" i="7" s="1"/>
  <c r="Q1673" i="7"/>
  <c r="Q1677" i="7"/>
  <c r="K1677" i="7"/>
  <c r="S1677" i="7" s="1"/>
  <c r="Q1680" i="7"/>
  <c r="K1680" i="7"/>
  <c r="S1680" i="7" s="1"/>
  <c r="O1696" i="7"/>
  <c r="K1703" i="7"/>
  <c r="Q1718" i="7"/>
  <c r="O1718" i="7"/>
  <c r="S1718" i="7" s="1"/>
  <c r="K1721" i="7"/>
  <c r="S1721" i="7" s="1"/>
  <c r="Q1726" i="7"/>
  <c r="K1726" i="7"/>
  <c r="S1726" i="7" s="1"/>
  <c r="Q1733" i="7"/>
  <c r="Q1754" i="7"/>
  <c r="K1754" i="7"/>
  <c r="S1754" i="7" s="1"/>
  <c r="I1756" i="7"/>
  <c r="I1753" i="7" s="1"/>
  <c r="K1753" i="7" s="1"/>
  <c r="S1753" i="7" s="1"/>
  <c r="K1759" i="7"/>
  <c r="S1759" i="7" s="1"/>
  <c r="Q1764" i="7"/>
  <c r="O1764" i="7"/>
  <c r="S1764" i="7" s="1"/>
  <c r="Q1768" i="7"/>
  <c r="O1768" i="7"/>
  <c r="S1768" i="7" s="1"/>
  <c r="Q1778" i="7"/>
  <c r="K1778" i="7"/>
  <c r="S1778" i="7" s="1"/>
  <c r="Q1874" i="7"/>
  <c r="K1874" i="7"/>
  <c r="S1874" i="7" s="1"/>
  <c r="I1888" i="7"/>
  <c r="K1888" i="7" s="1"/>
  <c r="S1888" i="7" s="1"/>
  <c r="K1890" i="7"/>
  <c r="S1890" i="7" s="1"/>
  <c r="Q1907" i="7"/>
  <c r="Q1910" i="7"/>
  <c r="K1910" i="7"/>
  <c r="S1910" i="7" s="1"/>
  <c r="Q2012" i="7"/>
  <c r="Q2021" i="7"/>
  <c r="Q2031" i="7"/>
  <c r="K2031" i="7"/>
  <c r="S2031" i="7" s="1"/>
  <c r="Q2044" i="7"/>
  <c r="Q2067" i="7"/>
  <c r="Q2080" i="7"/>
  <c r="M2086" i="7"/>
  <c r="O2093" i="7"/>
  <c r="S2093" i="7" s="1"/>
  <c r="Q2099" i="7"/>
  <c r="K2099" i="7"/>
  <c r="S2099" i="7" s="1"/>
  <c r="Q2106" i="7"/>
  <c r="K2106" i="7"/>
  <c r="S2106" i="7" s="1"/>
  <c r="Q2167" i="7"/>
  <c r="K2167" i="7"/>
  <c r="S2167" i="7" s="1"/>
  <c r="Q2179" i="7"/>
  <c r="K2179" i="7"/>
  <c r="S2179" i="7" s="1"/>
  <c r="Q2182" i="7"/>
  <c r="K2182" i="7"/>
  <c r="S2182" i="7" s="1"/>
  <c r="K2193" i="7"/>
  <c r="S2193" i="7" s="1"/>
  <c r="Q2217" i="7"/>
  <c r="K2217" i="7"/>
  <c r="S2217" i="7" s="1"/>
  <c r="K2226" i="7"/>
  <c r="Q2241" i="7"/>
  <c r="K2241" i="7"/>
  <c r="S2241" i="7" s="1"/>
  <c r="M2310" i="7"/>
  <c r="Q303" i="7"/>
  <c r="K303" i="7"/>
  <c r="S303" i="7" s="1"/>
  <c r="I308" i="7"/>
  <c r="K308" i="7" s="1"/>
  <c r="K307" i="7"/>
  <c r="Q338" i="7"/>
  <c r="O338" i="7"/>
  <c r="S338" i="7" s="1"/>
  <c r="M340" i="7"/>
  <c r="O340" i="7" s="1"/>
  <c r="S340" i="7" s="1"/>
  <c r="O342" i="7"/>
  <c r="S342" i="7" s="1"/>
  <c r="Q344" i="7"/>
  <c r="O344" i="7"/>
  <c r="S344" i="7" s="1"/>
  <c r="Q444" i="7"/>
  <c r="O444" i="7"/>
  <c r="S444" i="7" s="1"/>
  <c r="O452" i="7"/>
  <c r="Q463" i="7"/>
  <c r="K463" i="7"/>
  <c r="S463" i="7" s="1"/>
  <c r="Q478" i="7"/>
  <c r="K478" i="7"/>
  <c r="S478" i="7" s="1"/>
  <c r="Q587" i="7"/>
  <c r="Q638" i="7"/>
  <c r="O638" i="7"/>
  <c r="S638" i="7" s="1"/>
  <c r="Q672" i="7"/>
  <c r="Q681" i="7"/>
  <c r="Q684" i="7"/>
  <c r="O684" i="7"/>
  <c r="S684" i="7" s="1"/>
  <c r="Q687" i="7"/>
  <c r="O687" i="7"/>
  <c r="S687" i="7" s="1"/>
  <c r="Q759" i="7"/>
  <c r="K759" i="7"/>
  <c r="S759" i="7" s="1"/>
  <c r="Q763" i="7"/>
  <c r="K763" i="7"/>
  <c r="S763" i="7" s="1"/>
  <c r="Q779" i="7"/>
  <c r="K779" i="7"/>
  <c r="S779" i="7" s="1"/>
  <c r="Q783" i="7"/>
  <c r="Q821" i="7"/>
  <c r="I844" i="7"/>
  <c r="K846" i="7"/>
  <c r="S846" i="7" s="1"/>
  <c r="Q852" i="7"/>
  <c r="I856" i="7"/>
  <c r="K856" i="7" s="1"/>
  <c r="S856" i="7" s="1"/>
  <c r="K859" i="7"/>
  <c r="S859" i="7" s="1"/>
  <c r="Q865" i="7"/>
  <c r="I869" i="7"/>
  <c r="I866" i="7" s="1"/>
  <c r="K866" i="7" s="1"/>
  <c r="K872" i="7"/>
  <c r="S872" i="7" s="1"/>
  <c r="Q878" i="7"/>
  <c r="Q880" i="7"/>
  <c r="M930" i="7"/>
  <c r="O930" i="7" s="1"/>
  <c r="Q950" i="7"/>
  <c r="Q973" i="7"/>
  <c r="Q976" i="7"/>
  <c r="Q997" i="7"/>
  <c r="K997" i="7"/>
  <c r="S997" i="7" s="1"/>
  <c r="Q1012" i="7"/>
  <c r="I1051" i="7"/>
  <c r="I1039" i="7" s="1"/>
  <c r="Q1057" i="7"/>
  <c r="Q1067" i="7"/>
  <c r="Q1091" i="7"/>
  <c r="Q1100" i="7"/>
  <c r="Q1106" i="7"/>
  <c r="Q1109" i="7"/>
  <c r="Q1122" i="7"/>
  <c r="O1122" i="7"/>
  <c r="S1122" i="7" s="1"/>
  <c r="Q1174" i="7"/>
  <c r="Q1181" i="7"/>
  <c r="Q1214" i="7"/>
  <c r="Q1218" i="7"/>
  <c r="Q1231" i="7"/>
  <c r="Q1243" i="7"/>
  <c r="Q1266" i="7"/>
  <c r="K1266" i="7"/>
  <c r="I1272" i="7"/>
  <c r="K1272" i="7" s="1"/>
  <c r="K1275" i="7"/>
  <c r="S1275" i="7" s="1"/>
  <c r="M1280" i="7"/>
  <c r="O1280" i="7" s="1"/>
  <c r="O1283" i="7"/>
  <c r="S1283" i="7" s="1"/>
  <c r="Q1289" i="7"/>
  <c r="Q1297" i="7"/>
  <c r="Q1323" i="7"/>
  <c r="I1326" i="7"/>
  <c r="K1326" i="7" s="1"/>
  <c r="S1326" i="7" s="1"/>
  <c r="K1329" i="7"/>
  <c r="S1329" i="7" s="1"/>
  <c r="M1334" i="7"/>
  <c r="O1334" i="7" s="1"/>
  <c r="Q1336" i="7"/>
  <c r="S1360" i="7"/>
  <c r="S1367" i="7"/>
  <c r="I1371" i="7"/>
  <c r="Q1374" i="7"/>
  <c r="O1374" i="7"/>
  <c r="S1374" i="7" s="1"/>
  <c r="Q1390" i="7"/>
  <c r="Q1398" i="7"/>
  <c r="K1398" i="7"/>
  <c r="S1398" i="7" s="1"/>
  <c r="O1409" i="7"/>
  <c r="Q1412" i="7"/>
  <c r="O1412" i="7"/>
  <c r="S1412" i="7" s="1"/>
  <c r="I1424" i="7"/>
  <c r="K1424" i="7" s="1"/>
  <c r="K1427" i="7"/>
  <c r="S1427" i="7" s="1"/>
  <c r="Q1434" i="7"/>
  <c r="S1443" i="7"/>
  <c r="Q1459" i="7"/>
  <c r="Q1466" i="7"/>
  <c r="K1466" i="7"/>
  <c r="S1466" i="7" s="1"/>
  <c r="I1474" i="7"/>
  <c r="K1474" i="7" s="1"/>
  <c r="K1477" i="7"/>
  <c r="S1482" i="7"/>
  <c r="Q1498" i="7"/>
  <c r="Q1504" i="7"/>
  <c r="K1504" i="7"/>
  <c r="S1504" i="7" s="1"/>
  <c r="Q1507" i="7"/>
  <c r="O1507" i="7"/>
  <c r="S1507" i="7" s="1"/>
  <c r="I1534" i="7"/>
  <c r="K1534" i="7" s="1"/>
  <c r="K1537" i="7"/>
  <c r="S1537" i="7" s="1"/>
  <c r="Q1554" i="7"/>
  <c r="Q1567" i="7"/>
  <c r="Q1591" i="7"/>
  <c r="I1672" i="7"/>
  <c r="Q1692" i="7"/>
  <c r="K1692" i="7"/>
  <c r="S1692" i="7" s="1"/>
  <c r="Q1709" i="7"/>
  <c r="Q1724" i="7"/>
  <c r="K1724" i="7"/>
  <c r="S1724" i="7" s="1"/>
  <c r="Q1730" i="7"/>
  <c r="K1730" i="7"/>
  <c r="S1730" i="7" s="1"/>
  <c r="Q1749" i="7"/>
  <c r="K1749" i="7"/>
  <c r="S1749" i="7" s="1"/>
  <c r="Q1770" i="7"/>
  <c r="O1770" i="7"/>
  <c r="S1770" i="7" s="1"/>
  <c r="Q1792" i="7"/>
  <c r="O1792" i="7"/>
  <c r="S1792" i="7" s="1"/>
  <c r="Q1911" i="7"/>
  <c r="O1911" i="7"/>
  <c r="S1911" i="7" s="1"/>
  <c r="Q1925" i="7"/>
  <c r="O1925" i="7"/>
  <c r="S1925" i="7" s="1"/>
  <c r="M1927" i="7"/>
  <c r="O1927" i="7" s="1"/>
  <c r="S1927" i="7" s="1"/>
  <c r="O1928" i="7"/>
  <c r="S1928" i="7" s="1"/>
  <c r="M2020" i="7"/>
  <c r="Q2024" i="7"/>
  <c r="Q2035" i="7"/>
  <c r="Q2038" i="7"/>
  <c r="Q2042" i="7"/>
  <c r="K2042" i="7"/>
  <c r="S2042" i="7" s="1"/>
  <c r="Q2051" i="7"/>
  <c r="K2051" i="7"/>
  <c r="S2051" i="7" s="1"/>
  <c r="S2064" i="7"/>
  <c r="M2066" i="7"/>
  <c r="Q2074" i="7"/>
  <c r="K2074" i="7"/>
  <c r="S2074" i="7" s="1"/>
  <c r="M2079" i="7"/>
  <c r="Q2083" i="7"/>
  <c r="Q2093" i="7"/>
  <c r="I2100" i="7"/>
  <c r="I2097" i="7" s="1"/>
  <c r="K2097" i="7" s="1"/>
  <c r="S2097" i="7" s="1"/>
  <c r="Q2103" i="7"/>
  <c r="K2103" i="7"/>
  <c r="S2103" i="7" s="1"/>
  <c r="Q2151" i="7"/>
  <c r="Q2154" i="7"/>
  <c r="K2154" i="7"/>
  <c r="S2154" i="7" s="1"/>
  <c r="Q2156" i="7"/>
  <c r="Q2170" i="7"/>
  <c r="Q2173" i="7"/>
  <c r="K2173" i="7"/>
  <c r="S2173" i="7" s="1"/>
  <c r="Q2212" i="7"/>
  <c r="K2212" i="7"/>
  <c r="S2212" i="7" s="1"/>
  <c r="Q2215" i="7"/>
  <c r="K2215" i="7"/>
  <c r="S2215" i="7" s="1"/>
  <c r="M2226" i="7"/>
  <c r="O2226" i="7" s="1"/>
  <c r="Q2234" i="7"/>
  <c r="K2234" i="7"/>
  <c r="Q2238" i="7"/>
  <c r="K2238" i="7"/>
  <c r="S2238" i="7" s="1"/>
  <c r="I2242" i="7"/>
  <c r="I2239" i="7" s="1"/>
  <c r="Q2248" i="7"/>
  <c r="K2251" i="7"/>
  <c r="M2255" i="7"/>
  <c r="O2258" i="7"/>
  <c r="Q2266" i="7"/>
  <c r="M2267" i="7"/>
  <c r="O2267" i="7" s="1"/>
  <c r="O2271" i="7"/>
  <c r="Q2277" i="7"/>
  <c r="Q2285" i="7"/>
  <c r="K2285" i="7"/>
  <c r="S2285" i="7" s="1"/>
  <c r="Q2292" i="7"/>
  <c r="K2292" i="7"/>
  <c r="S2292" i="7" s="1"/>
  <c r="Q2311" i="7"/>
  <c r="K2311" i="7"/>
  <c r="S2311" i="7" s="1"/>
  <c r="Q155" i="7"/>
  <c r="K155" i="7"/>
  <c r="S155" i="7" s="1"/>
  <c r="Q165" i="7"/>
  <c r="K165" i="7"/>
  <c r="Q208" i="7"/>
  <c r="O208" i="7"/>
  <c r="S208" i="7" s="1"/>
  <c r="Q221" i="7"/>
  <c r="O221" i="7"/>
  <c r="S221" i="7" s="1"/>
  <c r="Q288" i="7"/>
  <c r="K288" i="7"/>
  <c r="S288" i="7" s="1"/>
  <c r="Q304" i="7"/>
  <c r="K304" i="7"/>
  <c r="S304" i="7" s="1"/>
  <c r="Q342" i="7"/>
  <c r="Q419" i="7"/>
  <c r="Q424" i="7"/>
  <c r="I417" i="7"/>
  <c r="K417" i="7" s="1"/>
  <c r="K426" i="7"/>
  <c r="S426" i="7" s="1"/>
  <c r="Q437" i="7"/>
  <c r="K437" i="7"/>
  <c r="S437" i="7" s="1"/>
  <c r="Q440" i="7"/>
  <c r="Q447" i="7"/>
  <c r="O447" i="7"/>
  <c r="S447" i="7" s="1"/>
  <c r="I469" i="7"/>
  <c r="K469" i="7" s="1"/>
  <c r="S469" i="7" s="1"/>
  <c r="Q470" i="7"/>
  <c r="Q568" i="7"/>
  <c r="K568" i="7"/>
  <c r="S568" i="7" s="1"/>
  <c r="Q578" i="7"/>
  <c r="Q585" i="7"/>
  <c r="Q593" i="7"/>
  <c r="Q601" i="7"/>
  <c r="O601" i="7"/>
  <c r="S601" i="7" s="1"/>
  <c r="Q612" i="7"/>
  <c r="O612" i="7"/>
  <c r="S612" i="7" s="1"/>
  <c r="Q633" i="7"/>
  <c r="Q636" i="7"/>
  <c r="Q639" i="7"/>
  <c r="O639" i="7"/>
  <c r="S639" i="7" s="1"/>
  <c r="Q641" i="7"/>
  <c r="Q644" i="7"/>
  <c r="Q653" i="7"/>
  <c r="Q660" i="7"/>
  <c r="Q663" i="7"/>
  <c r="Q675" i="7"/>
  <c r="Q679" i="7"/>
  <c r="O679" i="7"/>
  <c r="S679" i="7" s="1"/>
  <c r="Q696" i="7"/>
  <c r="Q774" i="7"/>
  <c r="O774" i="7"/>
  <c r="S774" i="7" s="1"/>
  <c r="I785" i="7"/>
  <c r="K785" i="7" s="1"/>
  <c r="S785" i="7" s="1"/>
  <c r="K787" i="7"/>
  <c r="S787" i="7" s="1"/>
  <c r="Q801" i="7"/>
  <c r="Q838" i="7"/>
  <c r="Q846" i="7"/>
  <c r="Q859" i="7"/>
  <c r="Q872" i="7"/>
  <c r="M879" i="7"/>
  <c r="M866" i="7" s="1"/>
  <c r="O866" i="7" s="1"/>
  <c r="Q886" i="7"/>
  <c r="I900" i="7"/>
  <c r="K900" i="7" s="1"/>
  <c r="S900" i="7" s="1"/>
  <c r="K902" i="7"/>
  <c r="S902" i="7" s="1"/>
  <c r="I913" i="7"/>
  <c r="K915" i="7"/>
  <c r="S915" i="7" s="1"/>
  <c r="I925" i="7"/>
  <c r="K925" i="7" s="1"/>
  <c r="S925" i="7" s="1"/>
  <c r="Q927" i="7"/>
  <c r="Q940" i="7"/>
  <c r="K940" i="7"/>
  <c r="S940" i="7" s="1"/>
  <c r="Q944" i="7"/>
  <c r="K944" i="7"/>
  <c r="S944" i="7" s="1"/>
  <c r="Q954" i="7"/>
  <c r="I974" i="7"/>
  <c r="K974" i="7" s="1"/>
  <c r="S974" i="7" s="1"/>
  <c r="I998" i="7"/>
  <c r="K998" i="7" s="1"/>
  <c r="Q1004" i="7"/>
  <c r="M1009" i="7"/>
  <c r="O1009" i="7" s="1"/>
  <c r="O1021" i="7"/>
  <c r="Q1024" i="7"/>
  <c r="Q1033" i="7"/>
  <c r="Q1042" i="7"/>
  <c r="Q1049" i="7"/>
  <c r="Q1073" i="7"/>
  <c r="K1073" i="7"/>
  <c r="S1073" i="7" s="1"/>
  <c r="Q1078" i="7"/>
  <c r="Q1082" i="7"/>
  <c r="Q1128" i="7"/>
  <c r="Q1132" i="7"/>
  <c r="I1190" i="7"/>
  <c r="K1192" i="7"/>
  <c r="S1192" i="7" s="1"/>
  <c r="Q1237" i="7"/>
  <c r="K1237" i="7"/>
  <c r="S1237" i="7" s="1"/>
  <c r="I1240" i="7"/>
  <c r="K1240" i="7" s="1"/>
  <c r="S1250" i="7"/>
  <c r="M1263" i="7"/>
  <c r="O1263" i="7" s="1"/>
  <c r="O1266" i="7"/>
  <c r="Q1281" i="7"/>
  <c r="K1281" i="7"/>
  <c r="S1281" i="7" s="1"/>
  <c r="Q1283" i="7"/>
  <c r="O1304" i="7"/>
  <c r="Q1307" i="7"/>
  <c r="O1307" i="7"/>
  <c r="S1307" i="7" s="1"/>
  <c r="I1312" i="7"/>
  <c r="K1312" i="7" s="1"/>
  <c r="K1315" i="7"/>
  <c r="S1315" i="7" s="1"/>
  <c r="Q1329" i="7"/>
  <c r="I1349" i="7"/>
  <c r="K1352" i="7"/>
  <c r="S1352" i="7" s="1"/>
  <c r="Q1360" i="7"/>
  <c r="M1394" i="7"/>
  <c r="I1397" i="7"/>
  <c r="M1402" i="7"/>
  <c r="O1416" i="7"/>
  <c r="Q1419" i="7"/>
  <c r="O1419" i="7"/>
  <c r="S1419" i="7" s="1"/>
  <c r="I1431" i="7"/>
  <c r="K1431" i="7" s="1"/>
  <c r="Q1443" i="7"/>
  <c r="I1451" i="7"/>
  <c r="Q1451" i="7" s="1"/>
  <c r="Q1453" i="7"/>
  <c r="Q1456" i="7"/>
  <c r="Q1460" i="7"/>
  <c r="K1460" i="7"/>
  <c r="S1460" i="7" s="1"/>
  <c r="Q1477" i="7"/>
  <c r="O1477" i="7"/>
  <c r="Q1480" i="7"/>
  <c r="Q1482" i="7"/>
  <c r="M1496" i="7"/>
  <c r="O1496" i="7" s="1"/>
  <c r="M1513" i="7"/>
  <c r="O1513" i="7" s="1"/>
  <c r="O1516" i="7"/>
  <c r="S1516" i="7" s="1"/>
  <c r="Q1525" i="7"/>
  <c r="O1525" i="7"/>
  <c r="S1525" i="7" s="1"/>
  <c r="Q1532" i="7"/>
  <c r="Q1559" i="7"/>
  <c r="S1561" i="7"/>
  <c r="I1568" i="7"/>
  <c r="Q1577" i="7"/>
  <c r="O1577" i="7"/>
  <c r="S1577" i="7" s="1"/>
  <c r="Q1586" i="7"/>
  <c r="K1586" i="7"/>
  <c r="S1586" i="7" s="1"/>
  <c r="Q1589" i="7"/>
  <c r="Q1599" i="7"/>
  <c r="I1696" i="7"/>
  <c r="K1696" i="7" s="1"/>
  <c r="K1701" i="7"/>
  <c r="S1701" i="7" s="1"/>
  <c r="Q1719" i="7"/>
  <c r="Q1722" i="7"/>
  <c r="Q1735" i="7"/>
  <c r="K1735" i="7"/>
  <c r="S1735" i="7" s="1"/>
  <c r="Q1741" i="7"/>
  <c r="O1741" i="7"/>
  <c r="S1741" i="7" s="1"/>
  <c r="I1746" i="7"/>
  <c r="I1743" i="7" s="1"/>
  <c r="Q1750" i="7"/>
  <c r="K1750" i="7"/>
  <c r="S1750" i="7" s="1"/>
  <c r="Q1757" i="7"/>
  <c r="K1757" i="7"/>
  <c r="S1757" i="7" s="1"/>
  <c r="Q1760" i="7"/>
  <c r="Q1766" i="7"/>
  <c r="O1766" i="7"/>
  <c r="S1766" i="7" s="1"/>
  <c r="Q1773" i="7"/>
  <c r="O1773" i="7"/>
  <c r="S1773" i="7" s="1"/>
  <c r="K1777" i="7"/>
  <c r="S1777" i="7" s="1"/>
  <c r="Q1879" i="7"/>
  <c r="K1879" i="7"/>
  <c r="S1879" i="7" s="1"/>
  <c r="Q1893" i="7"/>
  <c r="Q1896" i="7"/>
  <c r="Q1900" i="7"/>
  <c r="K1900" i="7"/>
  <c r="S1900" i="7" s="1"/>
  <c r="I1915" i="7"/>
  <c r="Q1921" i="7"/>
  <c r="Q1928" i="7"/>
  <c r="I2011" i="7"/>
  <c r="I2014" i="7"/>
  <c r="M2023" i="7"/>
  <c r="Q2046" i="7"/>
  <c r="K2046" i="7"/>
  <c r="S2046" i="7" s="1"/>
  <c r="Q2061" i="7"/>
  <c r="K2061" i="7"/>
  <c r="S2061" i="7" s="1"/>
  <c r="K2082" i="7"/>
  <c r="Q2089" i="7"/>
  <c r="K2089" i="7"/>
  <c r="S2089" i="7" s="1"/>
  <c r="Q2152" i="7"/>
  <c r="K2152" i="7"/>
  <c r="S2152" i="7" s="1"/>
  <c r="K2155" i="7"/>
  <c r="Q2159" i="7"/>
  <c r="Q2171" i="7"/>
  <c r="K2171" i="7"/>
  <c r="S2171" i="7" s="1"/>
  <c r="M2187" i="7"/>
  <c r="O2187" i="7" s="1"/>
  <c r="Q2227" i="7"/>
  <c r="K2227" i="7"/>
  <c r="S2227" i="7" s="1"/>
  <c r="Q2230" i="7"/>
  <c r="K2230" i="7"/>
  <c r="S2230" i="7" s="1"/>
  <c r="O2234" i="7"/>
  <c r="O2242" i="7"/>
  <c r="Q2249" i="7"/>
  <c r="K2249" i="7"/>
  <c r="S2249" i="7" s="1"/>
  <c r="Q2256" i="7"/>
  <c r="K2256" i="7"/>
  <c r="S2256" i="7" s="1"/>
  <c r="I2265" i="7"/>
  <c r="Q2269" i="7"/>
  <c r="K2269" i="7"/>
  <c r="S2269" i="7" s="1"/>
  <c r="Q2308" i="7"/>
  <c r="Q2314" i="7"/>
  <c r="R280" i="7"/>
  <c r="R2009" i="7"/>
  <c r="R965" i="7"/>
  <c r="N748" i="7"/>
  <c r="H11" i="8" s="1"/>
  <c r="R557" i="7"/>
  <c r="J2144" i="7"/>
  <c r="E15" i="8" s="1"/>
  <c r="R1690" i="7"/>
  <c r="J1671" i="7"/>
  <c r="E12" i="8" s="1"/>
  <c r="J749" i="7"/>
  <c r="R749" i="7" s="1"/>
  <c r="J147" i="7"/>
  <c r="R147" i="7" s="1"/>
  <c r="J168" i="7"/>
  <c r="R168" i="7" s="1"/>
  <c r="J86" i="7"/>
  <c r="E6" i="8" s="1"/>
  <c r="R92" i="7"/>
  <c r="J32" i="7"/>
  <c r="R32" i="7" s="1"/>
  <c r="R68" i="7"/>
  <c r="J22" i="7"/>
  <c r="R23" i="7"/>
  <c r="I2221" i="7"/>
  <c r="K2221" i="7" s="1"/>
  <c r="I2258" i="7"/>
  <c r="K2258" i="7" s="1"/>
  <c r="I2274" i="7"/>
  <c r="K2274" i="7" s="1"/>
  <c r="S2274" i="7" s="1"/>
  <c r="I2149" i="7"/>
  <c r="K2149" i="7" s="1"/>
  <c r="S2149" i="7" s="1"/>
  <c r="I2180" i="7"/>
  <c r="I2177" i="7" s="1"/>
  <c r="K2177" i="7" s="1"/>
  <c r="S2177" i="7" s="1"/>
  <c r="I2209" i="7"/>
  <c r="K2209" i="7" s="1"/>
  <c r="S2209" i="7" s="1"/>
  <c r="I2166" i="7"/>
  <c r="K2166" i="7" s="1"/>
  <c r="S2166" i="7" s="1"/>
  <c r="I2187" i="7"/>
  <c r="I2237" i="7"/>
  <c r="I2286" i="7"/>
  <c r="I2060" i="7"/>
  <c r="K2060" i="7" s="1"/>
  <c r="S2060" i="7" s="1"/>
  <c r="I2085" i="7"/>
  <c r="I2032" i="7"/>
  <c r="I2043" i="7"/>
  <c r="M1924" i="7"/>
  <c r="O1924" i="7" s="1"/>
  <c r="S1924" i="7" s="1"/>
  <c r="I1873" i="7"/>
  <c r="K1873" i="7" s="1"/>
  <c r="S1873" i="7" s="1"/>
  <c r="Q1696" i="7"/>
  <c r="Q1701" i="7"/>
  <c r="Q1711" i="7"/>
  <c r="Q1721" i="7"/>
  <c r="I1732" i="7"/>
  <c r="K1732" i="7" s="1"/>
  <c r="S1732" i="7" s="1"/>
  <c r="Q1751" i="7"/>
  <c r="Q1755" i="7"/>
  <c r="Q1759" i="7"/>
  <c r="I1762" i="7"/>
  <c r="K1762" i="7" s="1"/>
  <c r="M1769" i="7"/>
  <c r="M1791" i="7"/>
  <c r="O1791" i="7" s="1"/>
  <c r="S1791" i="7" s="1"/>
  <c r="M1740" i="7"/>
  <c r="Q767" i="7"/>
  <c r="I765" i="7"/>
  <c r="Q818" i="7"/>
  <c r="I816" i="7"/>
  <c r="K816" i="7" s="1"/>
  <c r="S816" i="7" s="1"/>
  <c r="Q828" i="7"/>
  <c r="I826" i="7"/>
  <c r="K826" i="7" s="1"/>
  <c r="Q908" i="7"/>
  <c r="M907" i="7"/>
  <c r="O907" i="7" s="1"/>
  <c r="S907" i="7" s="1"/>
  <c r="Q981" i="7"/>
  <c r="M980" i="7"/>
  <c r="O980" i="7" s="1"/>
  <c r="S980" i="7" s="1"/>
  <c r="Q1113" i="7"/>
  <c r="I1107" i="7"/>
  <c r="Q1275" i="7"/>
  <c r="M1272" i="7"/>
  <c r="Q1291" i="7"/>
  <c r="I1288" i="7"/>
  <c r="K1288" i="7" s="1"/>
  <c r="M1553" i="7"/>
  <c r="M1534" i="7" s="1"/>
  <c r="Q895" i="7"/>
  <c r="M894" i="7"/>
  <c r="O894" i="7" s="1"/>
  <c r="S894" i="7" s="1"/>
  <c r="Q900" i="7"/>
  <c r="I933" i="7"/>
  <c r="K933" i="7" s="1"/>
  <c r="S933" i="7" s="1"/>
  <c r="Q935" i="7"/>
  <c r="Q1126" i="7"/>
  <c r="M1125" i="7"/>
  <c r="O1125" i="7" s="1"/>
  <c r="S1125" i="7" s="1"/>
  <c r="Q1264" i="7"/>
  <c r="I1263" i="7"/>
  <c r="Q1337" i="7"/>
  <c r="I1334" i="7"/>
  <c r="K1334" i="7" s="1"/>
  <c r="Q1367" i="7"/>
  <c r="I1364" i="7"/>
  <c r="Q793" i="7"/>
  <c r="M791" i="7"/>
  <c r="O791" i="7" s="1"/>
  <c r="S791" i="7" s="1"/>
  <c r="Q877" i="7"/>
  <c r="I952" i="7"/>
  <c r="K952" i="7" s="1"/>
  <c r="Q1093" i="7"/>
  <c r="M1092" i="7"/>
  <c r="O1092" i="7" s="1"/>
  <c r="S1092" i="7" s="1"/>
  <c r="Q1230" i="7"/>
  <c r="Q1282" i="7"/>
  <c r="I1280" i="7"/>
  <c r="I1379" i="7"/>
  <c r="K1379" i="7" s="1"/>
  <c r="S1379" i="7" s="1"/>
  <c r="Q1382" i="7"/>
  <c r="Q1470" i="7"/>
  <c r="I1468" i="7"/>
  <c r="K1468" i="7" s="1"/>
  <c r="S1468" i="7" s="1"/>
  <c r="I832" i="7"/>
  <c r="Q835" i="7"/>
  <c r="Q925" i="7"/>
  <c r="Q1026" i="7"/>
  <c r="I1021" i="7"/>
  <c r="K1021" i="7" s="1"/>
  <c r="Q1148" i="7"/>
  <c r="I1142" i="7"/>
  <c r="K1142" i="7" s="1"/>
  <c r="S1142" i="7" s="1"/>
  <c r="Q1248" i="7"/>
  <c r="I1247" i="7"/>
  <c r="Q1458" i="7"/>
  <c r="Q1468" i="7"/>
  <c r="I750" i="7"/>
  <c r="K750" i="7" s="1"/>
  <c r="S750" i="7" s="1"/>
  <c r="I778" i="7"/>
  <c r="K778" i="7" s="1"/>
  <c r="S778" i="7" s="1"/>
  <c r="M1474" i="7"/>
  <c r="M762" i="7"/>
  <c r="O762" i="7" s="1"/>
  <c r="I799" i="7"/>
  <c r="K799" i="7" s="1"/>
  <c r="S799" i="7" s="1"/>
  <c r="I884" i="7"/>
  <c r="K884" i="7" s="1"/>
  <c r="S884" i="7" s="1"/>
  <c r="I1232" i="7"/>
  <c r="I1229" i="7" s="1"/>
  <c r="K1229" i="7" s="1"/>
  <c r="S1229" i="7" s="1"/>
  <c r="Q1603" i="7"/>
  <c r="I1600" i="7"/>
  <c r="Q1600" i="7" s="1"/>
  <c r="Q1199" i="7"/>
  <c r="M1198" i="7"/>
  <c r="O1198" i="7" s="1"/>
  <c r="S1198" i="7" s="1"/>
  <c r="Q964" i="7"/>
  <c r="M963" i="7"/>
  <c r="O963" i="7" s="1"/>
  <c r="S963" i="7" s="1"/>
  <c r="Q1070" i="7"/>
  <c r="I1065" i="7"/>
  <c r="K1065" i="7" s="1"/>
  <c r="S1065" i="7" s="1"/>
  <c r="I1075" i="7"/>
  <c r="Q920" i="7"/>
  <c r="M919" i="7"/>
  <c r="O919" i="7" s="1"/>
  <c r="S919" i="7" s="1"/>
  <c r="Q1298" i="7"/>
  <c r="I1296" i="7"/>
  <c r="Q1158" i="7"/>
  <c r="M1157" i="7"/>
  <c r="O1157" i="7" s="1"/>
  <c r="S1157" i="7" s="1"/>
  <c r="Q1524" i="7"/>
  <c r="I1513" i="7"/>
  <c r="K1513" i="7" s="1"/>
  <c r="Q1561" i="7"/>
  <c r="I942" i="7"/>
  <c r="K942" i="7" s="1"/>
  <c r="S942" i="7" s="1"/>
  <c r="I1496" i="7"/>
  <c r="M985" i="7"/>
  <c r="O985" i="7" s="1"/>
  <c r="Q1299" i="7"/>
  <c r="Q1315" i="7"/>
  <c r="Q1352" i="7"/>
  <c r="Q1427" i="7"/>
  <c r="M1440" i="7"/>
  <c r="M1457" i="7"/>
  <c r="I1479" i="7"/>
  <c r="Q1537" i="7"/>
  <c r="M1576" i="7"/>
  <c r="O1576" i="7" s="1"/>
  <c r="M599" i="7"/>
  <c r="I586" i="7"/>
  <c r="K586" i="7" s="1"/>
  <c r="M694" i="7"/>
  <c r="O694" i="7" s="1"/>
  <c r="S694" i="7" s="1"/>
  <c r="I473" i="7"/>
  <c r="M442" i="7"/>
  <c r="O442" i="7" s="1"/>
  <c r="S442" i="7" s="1"/>
  <c r="M486" i="7"/>
  <c r="M483" i="7"/>
  <c r="O483" i="7" s="1"/>
  <c r="S483" i="7" s="1"/>
  <c r="I289" i="7"/>
  <c r="I286" i="7" s="1"/>
  <c r="M337" i="7"/>
  <c r="I152" i="7"/>
  <c r="K152" i="7" s="1"/>
  <c r="I187" i="7"/>
  <c r="M220" i="7"/>
  <c r="M162" i="7"/>
  <c r="M207" i="7"/>
  <c r="Q207" i="7" s="1"/>
  <c r="I95" i="7"/>
  <c r="K95" i="7" s="1"/>
  <c r="S95" i="7" s="1"/>
  <c r="I436" i="2"/>
  <c r="I435" i="2" s="1"/>
  <c r="I429" i="2"/>
  <c r="I428" i="2" s="1"/>
  <c r="I427" i="2" s="1"/>
  <c r="I9" i="2"/>
  <c r="I8" i="2" s="1"/>
  <c r="I26" i="2"/>
  <c r="I201" i="2"/>
  <c r="I236" i="2"/>
  <c r="I276" i="2"/>
  <c r="I338" i="2"/>
  <c r="I417" i="2"/>
  <c r="I194" i="2"/>
  <c r="I985" i="7" l="1"/>
  <c r="K985" i="7" s="1"/>
  <c r="I922" i="7"/>
  <c r="Q1326" i="7"/>
  <c r="I897" i="7"/>
  <c r="K897" i="7" s="1"/>
  <c r="Q1777" i="7"/>
  <c r="Q1416" i="7"/>
  <c r="Q2251" i="7"/>
  <c r="Q2082" i="7"/>
  <c r="I1720" i="7"/>
  <c r="K1720" i="7" s="1"/>
  <c r="S1720" i="7" s="1"/>
  <c r="S2082" i="7"/>
  <c r="K12" i="8"/>
  <c r="S1255" i="7"/>
  <c r="S1576" i="7"/>
  <c r="S1409" i="7"/>
  <c r="Q345" i="7"/>
  <c r="Q1312" i="7"/>
  <c r="Q1556" i="7"/>
  <c r="M863" i="7"/>
  <c r="O863" i="7" s="1"/>
  <c r="S863" i="7" s="1"/>
  <c r="Q1409" i="7"/>
  <c r="Q807" i="7"/>
  <c r="Q318" i="7"/>
  <c r="M461" i="7"/>
  <c r="O461" i="7" s="1"/>
  <c r="S461" i="7" s="1"/>
  <c r="Q856" i="7"/>
  <c r="Q949" i="7"/>
  <c r="Q1035" i="7"/>
  <c r="K321" i="7"/>
  <c r="S321" i="7" s="1"/>
  <c r="I1675" i="7"/>
  <c r="Q321" i="7"/>
  <c r="Q204" i="7"/>
  <c r="K1676" i="7"/>
  <c r="S1676" i="7" s="1"/>
  <c r="S1416" i="7"/>
  <c r="Q955" i="7"/>
  <c r="I1695" i="7"/>
  <c r="Q1927" i="7"/>
  <c r="M2205" i="7"/>
  <c r="O2205" i="7" s="1"/>
  <c r="Q2086" i="7"/>
  <c r="O1032" i="7"/>
  <c r="S1032" i="7" s="1"/>
  <c r="O222" i="7"/>
  <c r="S222" i="7" s="1"/>
  <c r="M583" i="7"/>
  <c r="O583" i="7" s="1"/>
  <c r="S1424" i="7"/>
  <c r="K2271" i="7"/>
  <c r="S2271" i="7" s="1"/>
  <c r="I2069" i="7"/>
  <c r="K2069" i="7" s="1"/>
  <c r="Q2271" i="7"/>
  <c r="Q181" i="7"/>
  <c r="Q1202" i="7"/>
  <c r="Q1703" i="7"/>
  <c r="Q592" i="7"/>
  <c r="Q175" i="7"/>
  <c r="O810" i="7"/>
  <c r="S810" i="7" s="1"/>
  <c r="M168" i="7"/>
  <c r="O168" i="7" s="1"/>
  <c r="R416" i="7"/>
  <c r="I1160" i="7"/>
  <c r="K1160" i="7" s="1"/>
  <c r="O1036" i="7"/>
  <c r="S1036" i="7" s="1"/>
  <c r="Q1036" i="7"/>
  <c r="Q1597" i="7"/>
  <c r="S1477" i="7"/>
  <c r="S345" i="7"/>
  <c r="B849" i="7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H4" i="8"/>
  <c r="I971" i="7"/>
  <c r="K971" i="7" s="1"/>
  <c r="M2069" i="7"/>
  <c r="O2069" i="7" s="1"/>
  <c r="I1457" i="7"/>
  <c r="K1457" i="7" s="1"/>
  <c r="I782" i="7"/>
  <c r="K782" i="7" s="1"/>
  <c r="K2070" i="7"/>
  <c r="S2070" i="7" s="1"/>
  <c r="S1696" i="7"/>
  <c r="S1266" i="7"/>
  <c r="O1716" i="7"/>
  <c r="S1716" i="7" s="1"/>
  <c r="Q810" i="7"/>
  <c r="M1695" i="7"/>
  <c r="O1695" i="7" s="1"/>
  <c r="K1723" i="7"/>
  <c r="S1723" i="7" s="1"/>
  <c r="I195" i="7"/>
  <c r="K195" i="7" s="1"/>
  <c r="I853" i="7"/>
  <c r="K853" i="7" s="1"/>
  <c r="M794" i="7"/>
  <c r="O794" i="7" s="1"/>
  <c r="S2251" i="7"/>
  <c r="Q1716" i="7"/>
  <c r="S1703" i="7"/>
  <c r="M1333" i="7"/>
  <c r="O1333" i="7" s="1"/>
  <c r="O464" i="7"/>
  <c r="S464" i="7" s="1"/>
  <c r="S2267" i="7"/>
  <c r="Q465" i="7"/>
  <c r="O465" i="7"/>
  <c r="S465" i="7" s="1"/>
  <c r="I362" i="2"/>
  <c r="S586" i="7"/>
  <c r="Q1334" i="7"/>
  <c r="M939" i="7"/>
  <c r="O939" i="7" s="1"/>
  <c r="Q864" i="7"/>
  <c r="I1708" i="7"/>
  <c r="Q1708" i="7" s="1"/>
  <c r="M2239" i="7"/>
  <c r="Q2239" i="7" s="1"/>
  <c r="M2305" i="7"/>
  <c r="M2304" i="7" s="1"/>
  <c r="G16" i="8" s="1"/>
  <c r="S2250" i="7"/>
  <c r="K452" i="7"/>
  <c r="S452" i="7" s="1"/>
  <c r="I449" i="7"/>
  <c r="K15" i="8"/>
  <c r="S1288" i="7"/>
  <c r="S1304" i="7"/>
  <c r="S2226" i="7"/>
  <c r="Q2250" i="7"/>
  <c r="O92" i="7"/>
  <c r="M86" i="7"/>
  <c r="Q1288" i="7"/>
  <c r="Q1720" i="7"/>
  <c r="K6" i="8"/>
  <c r="M1220" i="7"/>
  <c r="O1220" i="7" s="1"/>
  <c r="Q974" i="7"/>
  <c r="Q1579" i="7"/>
  <c r="Q1304" i="7"/>
  <c r="S318" i="7"/>
  <c r="S1513" i="7"/>
  <c r="S165" i="7"/>
  <c r="S283" i="7"/>
  <c r="S985" i="7"/>
  <c r="S1174" i="7"/>
  <c r="I25" i="2"/>
  <c r="R2144" i="7"/>
  <c r="Q1349" i="7"/>
  <c r="K1349" i="7"/>
  <c r="S1349" i="7" s="1"/>
  <c r="S2234" i="7"/>
  <c r="M2063" i="7"/>
  <c r="O2066" i="7"/>
  <c r="S2066" i="7" s="1"/>
  <c r="Q2066" i="7"/>
  <c r="Q844" i="7"/>
  <c r="K844" i="7"/>
  <c r="S844" i="7" s="1"/>
  <c r="Q1743" i="7"/>
  <c r="K1743" i="7"/>
  <c r="S1743" i="7" s="1"/>
  <c r="Q297" i="7"/>
  <c r="K297" i="7"/>
  <c r="S297" i="7" s="1"/>
  <c r="O1457" i="7"/>
  <c r="Q1695" i="7"/>
  <c r="K1695" i="7"/>
  <c r="Q1888" i="7"/>
  <c r="Q2286" i="7"/>
  <c r="K2286" i="7"/>
  <c r="S2286" i="7" s="1"/>
  <c r="Q2265" i="7"/>
  <c r="K2265" i="7"/>
  <c r="S2265" i="7" s="1"/>
  <c r="I2264" i="7"/>
  <c r="Q2014" i="7"/>
  <c r="K2014" i="7"/>
  <c r="S2014" i="7" s="1"/>
  <c r="Q1915" i="7"/>
  <c r="K1915" i="7"/>
  <c r="S1915" i="7" s="1"/>
  <c r="I1914" i="7"/>
  <c r="O1394" i="7"/>
  <c r="M2254" i="7"/>
  <c r="O2255" i="7"/>
  <c r="Q2242" i="7"/>
  <c r="K2242" i="7"/>
  <c r="S2242" i="7" s="1"/>
  <c r="O2079" i="7"/>
  <c r="S2079" i="7" s="1"/>
  <c r="Q2079" i="7"/>
  <c r="O2020" i="7"/>
  <c r="S2020" i="7" s="1"/>
  <c r="Q2020" i="7"/>
  <c r="M2019" i="7"/>
  <c r="Q1357" i="7"/>
  <c r="Q2226" i="7"/>
  <c r="M2085" i="7"/>
  <c r="O2085" i="7" s="1"/>
  <c r="O2086" i="7"/>
  <c r="S2086" i="7" s="1"/>
  <c r="Q1217" i="7"/>
  <c r="O1217" i="7"/>
  <c r="S1217" i="7" s="1"/>
  <c r="K1098" i="7"/>
  <c r="S1098" i="7" s="1"/>
  <c r="Q1098" i="7"/>
  <c r="I87" i="7"/>
  <c r="K88" i="7"/>
  <c r="S88" i="7" s="1"/>
  <c r="S417" i="7"/>
  <c r="Q458" i="7"/>
  <c r="O458" i="7"/>
  <c r="S458" i="7" s="1"/>
  <c r="M449" i="7"/>
  <c r="S224" i="7"/>
  <c r="Q169" i="7"/>
  <c r="K169" i="7"/>
  <c r="S169" i="7" s="1"/>
  <c r="Q461" i="7"/>
  <c r="Q1479" i="7"/>
  <c r="K1479" i="7"/>
  <c r="S1479" i="7" s="1"/>
  <c r="O2023" i="7"/>
  <c r="S2023" i="7" s="1"/>
  <c r="M2022" i="7"/>
  <c r="Q2023" i="7"/>
  <c r="K1675" i="7"/>
  <c r="S1675" i="7" s="1"/>
  <c r="Q1675" i="7"/>
  <c r="K1568" i="7"/>
  <c r="S1568" i="7" s="1"/>
  <c r="Q1568" i="7"/>
  <c r="K1190" i="7"/>
  <c r="S1190" i="7" s="1"/>
  <c r="Q1190" i="7"/>
  <c r="Q1588" i="7"/>
  <c r="K1588" i="7"/>
  <c r="S1588" i="7" s="1"/>
  <c r="I1585" i="7"/>
  <c r="Q1585" i="7" s="1"/>
  <c r="Q187" i="7"/>
  <c r="K187" i="7"/>
  <c r="S187" i="7" s="1"/>
  <c r="Q164" i="7"/>
  <c r="Q340" i="7"/>
  <c r="Q599" i="7"/>
  <c r="O599" i="7"/>
  <c r="S599" i="7" s="1"/>
  <c r="I1187" i="7"/>
  <c r="K1187" i="7" s="1"/>
  <c r="I1597" i="7"/>
  <c r="K1597" i="7" s="1"/>
  <c r="K1600" i="7"/>
  <c r="S1600" i="7" s="1"/>
  <c r="S1597" i="7" s="1"/>
  <c r="Q1272" i="7"/>
  <c r="O1272" i="7"/>
  <c r="S1272" i="7" s="1"/>
  <c r="I434" i="2"/>
  <c r="I444" i="2" s="1"/>
  <c r="I451" i="2" s="1"/>
  <c r="H3" i="8" s="1"/>
  <c r="M158" i="7"/>
  <c r="O162" i="7"/>
  <c r="S162" i="7" s="1"/>
  <c r="S152" i="7"/>
  <c r="Q337" i="7"/>
  <c r="O337" i="7"/>
  <c r="S337" i="7" s="1"/>
  <c r="Q289" i="7"/>
  <c r="K289" i="7"/>
  <c r="S289" i="7" s="1"/>
  <c r="M336" i="7"/>
  <c r="O336" i="7" s="1"/>
  <c r="S336" i="7" s="1"/>
  <c r="Q486" i="7"/>
  <c r="O486" i="7"/>
  <c r="S486" i="7" s="1"/>
  <c r="Q417" i="7"/>
  <c r="O1440" i="7"/>
  <c r="Q1424" i="7"/>
  <c r="Q1075" i="7"/>
  <c r="K1075" i="7"/>
  <c r="S1075" i="7" s="1"/>
  <c r="I841" i="7"/>
  <c r="K841" i="7" s="1"/>
  <c r="Q1513" i="7"/>
  <c r="Q1247" i="7"/>
  <c r="K1247" i="7"/>
  <c r="S1247" i="7" s="1"/>
  <c r="Q1280" i="7"/>
  <c r="K1280" i="7"/>
  <c r="S1280" i="7" s="1"/>
  <c r="S866" i="7"/>
  <c r="M850" i="7"/>
  <c r="O850" i="7" s="1"/>
  <c r="S850" i="7" s="1"/>
  <c r="Q1364" i="7"/>
  <c r="K1364" i="7"/>
  <c r="S1364" i="7" s="1"/>
  <c r="I1885" i="7"/>
  <c r="K1885" i="7" s="1"/>
  <c r="S1885" i="7" s="1"/>
  <c r="Q2043" i="7"/>
  <c r="K2043" i="7"/>
  <c r="S2043" i="7" s="1"/>
  <c r="Q2237" i="7"/>
  <c r="K2237" i="7"/>
  <c r="S2237" i="7" s="1"/>
  <c r="K2239" i="7"/>
  <c r="Q2267" i="7"/>
  <c r="R86" i="7"/>
  <c r="R1671" i="7"/>
  <c r="Q2011" i="7"/>
  <c r="K2011" i="7"/>
  <c r="S2011" i="7" s="1"/>
  <c r="I1440" i="7"/>
  <c r="K1440" i="7" s="1"/>
  <c r="K1451" i="7"/>
  <c r="S1451" i="7" s="1"/>
  <c r="S1021" i="7"/>
  <c r="Q420" i="7"/>
  <c r="K420" i="7"/>
  <c r="S420" i="7" s="1"/>
  <c r="Q2100" i="7"/>
  <c r="K2100" i="7"/>
  <c r="S2100" i="7" s="1"/>
  <c r="Q1371" i="7"/>
  <c r="K1371" i="7"/>
  <c r="S1371" i="7" s="1"/>
  <c r="Q1051" i="7"/>
  <c r="K1051" i="7"/>
  <c r="S1051" i="7" s="1"/>
  <c r="Q869" i="7"/>
  <c r="K869" i="7"/>
  <c r="S869" i="7" s="1"/>
  <c r="Q2310" i="7"/>
  <c r="O2310" i="7"/>
  <c r="S2310" i="7" s="1"/>
  <c r="Q1756" i="7"/>
  <c r="K1756" i="7"/>
  <c r="S1756" i="7" s="1"/>
  <c r="O1585" i="7"/>
  <c r="Q1387" i="7"/>
  <c r="O1387" i="7"/>
  <c r="S1387" i="7" s="1"/>
  <c r="Q1160" i="7"/>
  <c r="O1160" i="7"/>
  <c r="S826" i="7"/>
  <c r="Q2307" i="7"/>
  <c r="K2307" i="7"/>
  <c r="S2307" i="7" s="1"/>
  <c r="I2306" i="7"/>
  <c r="M2146" i="7"/>
  <c r="O2155" i="7"/>
  <c r="S2155" i="7" s="1"/>
  <c r="O1431" i="7"/>
  <c r="S1431" i="7" s="1"/>
  <c r="Q1431" i="7"/>
  <c r="O1240" i="7"/>
  <c r="S1240" i="7" s="1"/>
  <c r="Q1240" i="7"/>
  <c r="S998" i="7"/>
  <c r="K559" i="7"/>
  <c r="S559" i="7" s="1"/>
  <c r="I558" i="7"/>
  <c r="Q559" i="7"/>
  <c r="K210" i="7"/>
  <c r="S210" i="7" s="1"/>
  <c r="Q210" i="7"/>
  <c r="Q631" i="7"/>
  <c r="O631" i="7"/>
  <c r="S631" i="7" s="1"/>
  <c r="Q580" i="7"/>
  <c r="Q469" i="7"/>
  <c r="S281" i="7"/>
  <c r="Q148" i="7"/>
  <c r="K148" i="7"/>
  <c r="S148" i="7" s="1"/>
  <c r="S225" i="7"/>
  <c r="K145" i="7"/>
  <c r="S145" i="7" s="1"/>
  <c r="I144" i="7"/>
  <c r="Q145" i="7"/>
  <c r="I472" i="7"/>
  <c r="K472" i="7" s="1"/>
  <c r="K473" i="7"/>
  <c r="S473" i="7" s="1"/>
  <c r="Q1534" i="7"/>
  <c r="O1534" i="7"/>
  <c r="S1534" i="7" s="1"/>
  <c r="K2085" i="7"/>
  <c r="Q2180" i="7"/>
  <c r="K2180" i="7"/>
  <c r="S2180" i="7" s="1"/>
  <c r="K1397" i="7"/>
  <c r="S1397" i="7" s="1"/>
  <c r="I1394" i="7"/>
  <c r="K1394" i="7" s="1"/>
  <c r="Q1397" i="7"/>
  <c r="M195" i="7"/>
  <c r="O195" i="7" s="1"/>
  <c r="O207" i="7"/>
  <c r="S207" i="7" s="1"/>
  <c r="Q1496" i="7"/>
  <c r="K1496" i="7"/>
  <c r="S1496" i="7" s="1"/>
  <c r="I1558" i="7"/>
  <c r="Q1232" i="7"/>
  <c r="K1232" i="7"/>
  <c r="S1232" i="7" s="1"/>
  <c r="Q1474" i="7"/>
  <c r="O1474" i="7"/>
  <c r="S1474" i="7" s="1"/>
  <c r="Q922" i="7"/>
  <c r="K922" i="7"/>
  <c r="S922" i="7" s="1"/>
  <c r="Q785" i="7"/>
  <c r="Q1553" i="7"/>
  <c r="O1553" i="7"/>
  <c r="S1553" i="7" s="1"/>
  <c r="Q1740" i="7"/>
  <c r="O1740" i="7"/>
  <c r="S1740" i="7" s="1"/>
  <c r="Q220" i="7"/>
  <c r="O220" i="7"/>
  <c r="S220" i="7" s="1"/>
  <c r="Q224" i="7"/>
  <c r="Q286" i="7"/>
  <c r="K286" i="7"/>
  <c r="S286" i="7" s="1"/>
  <c r="Q317" i="7"/>
  <c r="K317" i="7"/>
  <c r="S317" i="7" s="1"/>
  <c r="M596" i="7"/>
  <c r="O596" i="7" s="1"/>
  <c r="S596" i="7" s="1"/>
  <c r="Q1296" i="7"/>
  <c r="K1296" i="7"/>
  <c r="S1296" i="7" s="1"/>
  <c r="Q832" i="7"/>
  <c r="K832" i="7"/>
  <c r="S832" i="7" s="1"/>
  <c r="Q851" i="7"/>
  <c r="Q1263" i="7"/>
  <c r="K1263" i="7"/>
  <c r="S1263" i="7" s="1"/>
  <c r="Q1107" i="7"/>
  <c r="K1107" i="7"/>
  <c r="S1107" i="7" s="1"/>
  <c r="I970" i="7"/>
  <c r="K970" i="7" s="1"/>
  <c r="Q765" i="7"/>
  <c r="K765" i="7"/>
  <c r="S765" i="7" s="1"/>
  <c r="Q1769" i="7"/>
  <c r="O1769" i="7"/>
  <c r="S1769" i="7" s="1"/>
  <c r="Q2032" i="7"/>
  <c r="K2032" i="7"/>
  <c r="S2032" i="7" s="1"/>
  <c r="Q2187" i="7"/>
  <c r="K2187" i="7"/>
  <c r="S2187" i="7" s="1"/>
  <c r="S2258" i="7"/>
  <c r="Q1746" i="7"/>
  <c r="K1746" i="7"/>
  <c r="S1746" i="7" s="1"/>
  <c r="O1402" i="7"/>
  <c r="S1402" i="7" s="1"/>
  <c r="Q1402" i="7"/>
  <c r="Q1039" i="7"/>
  <c r="K1039" i="7"/>
  <c r="S1039" i="7" s="1"/>
  <c r="I910" i="7"/>
  <c r="K910" i="7" s="1"/>
  <c r="K913" i="7"/>
  <c r="S913" i="7" s="1"/>
  <c r="Q913" i="7"/>
  <c r="M876" i="7"/>
  <c r="O879" i="7"/>
  <c r="S879" i="7" s="1"/>
  <c r="Q879" i="7"/>
  <c r="M2221" i="7"/>
  <c r="Q2221" i="7" s="1"/>
  <c r="Q1672" i="7"/>
  <c r="K1672" i="7"/>
  <c r="S1672" i="7" s="1"/>
  <c r="S1334" i="7"/>
  <c r="O2305" i="7"/>
  <c r="Q1090" i="7"/>
  <c r="O1090" i="7"/>
  <c r="S1090" i="7" s="1"/>
  <c r="Q2077" i="7"/>
  <c r="O2077" i="7"/>
  <c r="S2077" i="7" s="1"/>
  <c r="S1312" i="7"/>
  <c r="Q998" i="7"/>
  <c r="S580" i="7"/>
  <c r="Q300" i="7"/>
  <c r="K300" i="7"/>
  <c r="S300" i="7" s="1"/>
  <c r="Q281" i="7"/>
  <c r="Q565" i="7"/>
  <c r="K565" i="7"/>
  <c r="S565" i="7" s="1"/>
  <c r="I562" i="7"/>
  <c r="M561" i="7"/>
  <c r="O561" i="7" s="1"/>
  <c r="S462" i="7"/>
  <c r="M308" i="7"/>
  <c r="O307" i="7"/>
  <c r="S307" i="7" s="1"/>
  <c r="Q307" i="7"/>
  <c r="K198" i="7"/>
  <c r="S198" i="7" s="1"/>
  <c r="Q198" i="7"/>
  <c r="J748" i="7"/>
  <c r="E11" i="8" s="1"/>
  <c r="J143" i="7"/>
  <c r="E7" i="8" s="1"/>
  <c r="R22" i="7"/>
  <c r="J8" i="7"/>
  <c r="I2176" i="7"/>
  <c r="Q2177" i="7"/>
  <c r="Q2209" i="7"/>
  <c r="I2206" i="7"/>
  <c r="K2206" i="7" s="1"/>
  <c r="S2206" i="7" s="1"/>
  <c r="Q2274" i="7"/>
  <c r="I2273" i="7"/>
  <c r="I2232" i="7"/>
  <c r="I2283" i="7"/>
  <c r="K2283" i="7" s="1"/>
  <c r="S2283" i="7" s="1"/>
  <c r="Q2149" i="7"/>
  <c r="I2145" i="7"/>
  <c r="K2145" i="7" s="1"/>
  <c r="Q2166" i="7"/>
  <c r="I2162" i="7"/>
  <c r="K2162" i="7" s="1"/>
  <c r="S2162" i="7" s="1"/>
  <c r="Q2258" i="7"/>
  <c r="I2255" i="7"/>
  <c r="K2255" i="7" s="1"/>
  <c r="S2255" i="7" s="1"/>
  <c r="I2059" i="7"/>
  <c r="K2059" i="7" s="1"/>
  <c r="S2059" i="7" s="1"/>
  <c r="Q2060" i="7"/>
  <c r="Q2097" i="7"/>
  <c r="I2096" i="7"/>
  <c r="K2096" i="7" s="1"/>
  <c r="S2096" i="7" s="1"/>
  <c r="I2029" i="7"/>
  <c r="K2029" i="7" s="1"/>
  <c r="S2029" i="7" s="1"/>
  <c r="M1914" i="7"/>
  <c r="O1914" i="7" s="1"/>
  <c r="Q1924" i="7"/>
  <c r="I1872" i="7"/>
  <c r="Q1873" i="7"/>
  <c r="Q1791" i="7"/>
  <c r="M1790" i="7"/>
  <c r="O1790" i="7" s="1"/>
  <c r="S1790" i="7" s="1"/>
  <c r="Q1732" i="7"/>
  <c r="I1731" i="7"/>
  <c r="K1731" i="7" s="1"/>
  <c r="M1736" i="7"/>
  <c r="O1736" i="7" s="1"/>
  <c r="S1736" i="7" s="1"/>
  <c r="Q1753" i="7"/>
  <c r="I1752" i="7"/>
  <c r="K1752" i="7" s="1"/>
  <c r="S1752" i="7" s="1"/>
  <c r="M1763" i="7"/>
  <c r="O1763" i="7" s="1"/>
  <c r="S1763" i="7" s="1"/>
  <c r="Q1576" i="7"/>
  <c r="M1575" i="7"/>
  <c r="O1575" i="7" s="1"/>
  <c r="M1154" i="7"/>
  <c r="M1129" i="7"/>
  <c r="O1129" i="7" s="1"/>
  <c r="Q1157" i="7"/>
  <c r="Q919" i="7"/>
  <c r="M910" i="7"/>
  <c r="Q1379" i="7"/>
  <c r="I1333" i="7"/>
  <c r="I930" i="7"/>
  <c r="Q933" i="7"/>
  <c r="I1062" i="7"/>
  <c r="K1062" i="7" s="1"/>
  <c r="Q1065" i="7"/>
  <c r="Q1198" i="7"/>
  <c r="M1197" i="7"/>
  <c r="O1197" i="7" s="1"/>
  <c r="S1197" i="7" s="1"/>
  <c r="Q884" i="7"/>
  <c r="I881" i="7"/>
  <c r="K881" i="7" s="1"/>
  <c r="Q799" i="7"/>
  <c r="I794" i="7"/>
  <c r="Q750" i="7"/>
  <c r="I1129" i="7"/>
  <c r="K1129" i="7" s="1"/>
  <c r="Q1142" i="7"/>
  <c r="Q1229" i="7"/>
  <c r="I1220" i="7"/>
  <c r="Q791" i="7"/>
  <c r="M790" i="7"/>
  <c r="O790" i="7" s="1"/>
  <c r="S790" i="7" s="1"/>
  <c r="M891" i="7"/>
  <c r="O891" i="7" s="1"/>
  <c r="S891" i="7" s="1"/>
  <c r="Q894" i="7"/>
  <c r="Q907" i="7"/>
  <c r="M897" i="7"/>
  <c r="I823" i="7"/>
  <c r="Q826" i="7"/>
  <c r="I939" i="7"/>
  <c r="K939" i="7" s="1"/>
  <c r="Q942" i="7"/>
  <c r="I777" i="7"/>
  <c r="Q778" i="7"/>
  <c r="M962" i="7"/>
  <c r="O962" i="7" s="1"/>
  <c r="S962" i="7" s="1"/>
  <c r="Q963" i="7"/>
  <c r="Q1021" i="7"/>
  <c r="I1009" i="7"/>
  <c r="Q1092" i="7"/>
  <c r="M1089" i="7"/>
  <c r="O1089" i="7" s="1"/>
  <c r="S1089" i="7" s="1"/>
  <c r="Q1125" i="7"/>
  <c r="M1119" i="7"/>
  <c r="O1119" i="7" s="1"/>
  <c r="S1119" i="7" s="1"/>
  <c r="M971" i="7"/>
  <c r="O971" i="7" s="1"/>
  <c r="Q980" i="7"/>
  <c r="I813" i="7"/>
  <c r="Q816" i="7"/>
  <c r="Q985" i="7"/>
  <c r="I1095" i="7"/>
  <c r="K1095" i="7" s="1"/>
  <c r="I762" i="7"/>
  <c r="Q866" i="7"/>
  <c r="Q586" i="7"/>
  <c r="I583" i="7"/>
  <c r="K583" i="7" s="1"/>
  <c r="Q694" i="7"/>
  <c r="M693" i="7"/>
  <c r="Q483" i="7"/>
  <c r="M472" i="7"/>
  <c r="Q442" i="7"/>
  <c r="M439" i="7"/>
  <c r="O439" i="7" s="1"/>
  <c r="S439" i="7" s="1"/>
  <c r="Q473" i="7"/>
  <c r="M329" i="7"/>
  <c r="O329" i="7" s="1"/>
  <c r="S329" i="7" s="1"/>
  <c r="Q336" i="7"/>
  <c r="I280" i="7"/>
  <c r="D8" i="8" s="1"/>
  <c r="F8" i="8" s="1"/>
  <c r="I151" i="7"/>
  <c r="K151" i="7" s="1"/>
  <c r="S151" i="7" s="1"/>
  <c r="Q152" i="7"/>
  <c r="Q162" i="7"/>
  <c r="I184" i="7"/>
  <c r="K184" i="7" s="1"/>
  <c r="S184" i="7" s="1"/>
  <c r="M219" i="7"/>
  <c r="O219" i="7" s="1"/>
  <c r="S219" i="7" s="1"/>
  <c r="I92" i="7"/>
  <c r="K92" i="7" s="1"/>
  <c r="Q95" i="7"/>
  <c r="I180" i="2"/>
  <c r="S1160" i="7" l="1"/>
  <c r="S2069" i="7"/>
  <c r="M853" i="7"/>
  <c r="Q863" i="7"/>
  <c r="Q2069" i="7"/>
  <c r="K1708" i="7"/>
  <c r="S1708" i="7" s="1"/>
  <c r="Q596" i="7"/>
  <c r="M1325" i="7"/>
  <c r="S2085" i="7"/>
  <c r="Q1457" i="7"/>
  <c r="Q195" i="7"/>
  <c r="Q2085" i="7"/>
  <c r="S1695" i="7"/>
  <c r="S195" i="7"/>
  <c r="S1457" i="7"/>
  <c r="S939" i="7"/>
  <c r="B868" i="7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S92" i="7"/>
  <c r="Q1885" i="7"/>
  <c r="I1884" i="7"/>
  <c r="I1871" i="7" s="1"/>
  <c r="D13" i="8" s="1"/>
  <c r="F13" i="8" s="1"/>
  <c r="I16" i="8"/>
  <c r="G6" i="8"/>
  <c r="O86" i="7"/>
  <c r="M841" i="7"/>
  <c r="Q841" i="7" s="1"/>
  <c r="S1394" i="7"/>
  <c r="Q939" i="7"/>
  <c r="K7" i="8"/>
  <c r="K449" i="7"/>
  <c r="I436" i="7"/>
  <c r="O2239" i="7"/>
  <c r="S2239" i="7" s="1"/>
  <c r="M2232" i="7"/>
  <c r="O2232" i="7" s="1"/>
  <c r="H18" i="8"/>
  <c r="S1440" i="7"/>
  <c r="K11" i="8"/>
  <c r="O2063" i="7"/>
  <c r="S2063" i="7" s="1"/>
  <c r="Q2063" i="7"/>
  <c r="M2058" i="7"/>
  <c r="Q777" i="7"/>
  <c r="K777" i="7"/>
  <c r="S777" i="7" s="1"/>
  <c r="O1325" i="7"/>
  <c r="I1325" i="7"/>
  <c r="K1325" i="7" s="1"/>
  <c r="K1333" i="7"/>
  <c r="S1333" i="7" s="1"/>
  <c r="K1884" i="7"/>
  <c r="S1884" i="7" s="1"/>
  <c r="Q2232" i="7"/>
  <c r="K2232" i="7"/>
  <c r="S2232" i="7" s="1"/>
  <c r="O2304" i="7"/>
  <c r="M2145" i="7"/>
  <c r="O2145" i="7" s="1"/>
  <c r="S2145" i="7" s="1"/>
  <c r="O2146" i="7"/>
  <c r="Q1440" i="7"/>
  <c r="Q2022" i="7"/>
  <c r="O2022" i="7"/>
  <c r="S2022" i="7" s="1"/>
  <c r="M2010" i="7"/>
  <c r="O2010" i="7" s="1"/>
  <c r="K280" i="7"/>
  <c r="Q1220" i="7"/>
  <c r="K1220" i="7"/>
  <c r="S1220" i="7" s="1"/>
  <c r="K558" i="7"/>
  <c r="S558" i="7" s="1"/>
  <c r="Q558" i="7"/>
  <c r="M147" i="7"/>
  <c r="O147" i="7" s="1"/>
  <c r="O158" i="7"/>
  <c r="S158" i="7" s="1"/>
  <c r="O2254" i="7"/>
  <c r="Q693" i="7"/>
  <c r="O693" i="7"/>
  <c r="S693" i="7" s="1"/>
  <c r="Q813" i="7"/>
  <c r="K813" i="7"/>
  <c r="S813" i="7" s="1"/>
  <c r="Q158" i="7"/>
  <c r="Q853" i="7"/>
  <c r="O853" i="7"/>
  <c r="S853" i="7" s="1"/>
  <c r="Q897" i="7"/>
  <c r="O897" i="7"/>
  <c r="S897" i="7" s="1"/>
  <c r="Q1333" i="7"/>
  <c r="S1129" i="7"/>
  <c r="Q2273" i="7"/>
  <c r="K2273" i="7"/>
  <c r="S2273" i="7" s="1"/>
  <c r="R143" i="7"/>
  <c r="O308" i="7"/>
  <c r="S308" i="7" s="1"/>
  <c r="Q308" i="7"/>
  <c r="K562" i="7"/>
  <c r="S562" i="7" s="1"/>
  <c r="Q562" i="7"/>
  <c r="Q1558" i="7"/>
  <c r="K1558" i="7"/>
  <c r="S1558" i="7" s="1"/>
  <c r="K144" i="7"/>
  <c r="S144" i="7" s="1"/>
  <c r="Q144" i="7"/>
  <c r="Q2306" i="7"/>
  <c r="Q2305" i="7" s="1"/>
  <c r="K2306" i="7"/>
  <c r="S2306" i="7" s="1"/>
  <c r="S2305" i="7" s="1"/>
  <c r="I2305" i="7"/>
  <c r="K1914" i="7"/>
  <c r="S1914" i="7" s="1"/>
  <c r="I1905" i="7"/>
  <c r="K1905" i="7" s="1"/>
  <c r="Q1009" i="7"/>
  <c r="K1009" i="7"/>
  <c r="S1009" i="7" s="1"/>
  <c r="Q930" i="7"/>
  <c r="K930" i="7"/>
  <c r="S930" i="7" s="1"/>
  <c r="O2221" i="7"/>
  <c r="S2221" i="7" s="1"/>
  <c r="M2186" i="7"/>
  <c r="O2186" i="7" s="1"/>
  <c r="Q87" i="7"/>
  <c r="K87" i="7"/>
  <c r="S87" i="7" s="1"/>
  <c r="O2019" i="7"/>
  <c r="S2019" i="7" s="1"/>
  <c r="Q2019" i="7"/>
  <c r="I24" i="2"/>
  <c r="I421" i="2" s="1"/>
  <c r="S971" i="7"/>
  <c r="Q850" i="7"/>
  <c r="Q823" i="7"/>
  <c r="K823" i="7"/>
  <c r="S823" i="7" s="1"/>
  <c r="Q472" i="7"/>
  <c r="O472" i="7"/>
  <c r="S472" i="7" s="1"/>
  <c r="S583" i="7"/>
  <c r="Q762" i="7"/>
  <c r="K762" i="7"/>
  <c r="S762" i="7" s="1"/>
  <c r="I965" i="7"/>
  <c r="K965" i="7" s="1"/>
  <c r="Q794" i="7"/>
  <c r="K794" i="7"/>
  <c r="S794" i="7" s="1"/>
  <c r="Q910" i="7"/>
  <c r="O910" i="7"/>
  <c r="S910" i="7" s="1"/>
  <c r="Q1154" i="7"/>
  <c r="O1154" i="7"/>
  <c r="S1154" i="7" s="1"/>
  <c r="Q1872" i="7"/>
  <c r="K1872" i="7"/>
  <c r="S1872" i="7" s="1"/>
  <c r="Q2176" i="7"/>
  <c r="K2176" i="7"/>
  <c r="S2176" i="7" s="1"/>
  <c r="R748" i="7"/>
  <c r="O876" i="7"/>
  <c r="S876" i="7" s="1"/>
  <c r="Q876" i="7"/>
  <c r="K1585" i="7"/>
  <c r="S1585" i="7" s="1"/>
  <c r="I1575" i="7"/>
  <c r="K1575" i="7" s="1"/>
  <c r="S1575" i="7" s="1"/>
  <c r="Q449" i="7"/>
  <c r="O449" i="7"/>
  <c r="Q1394" i="7"/>
  <c r="Q2264" i="7"/>
  <c r="K2264" i="7"/>
  <c r="S2264" i="7" s="1"/>
  <c r="R8" i="7"/>
  <c r="J7" i="7"/>
  <c r="E5" i="8" s="1"/>
  <c r="E4" i="8" s="1"/>
  <c r="Q2162" i="7"/>
  <c r="I2161" i="7"/>
  <c r="I2146" i="7"/>
  <c r="I2254" i="7"/>
  <c r="Q2255" i="7"/>
  <c r="Q2283" i="7"/>
  <c r="I2282" i="7"/>
  <c r="K2282" i="7" s="1"/>
  <c r="S2282" i="7" s="1"/>
  <c r="I2205" i="7"/>
  <c r="K2205" i="7" s="1"/>
  <c r="S2205" i="7" s="1"/>
  <c r="Q2206" i="7"/>
  <c r="Q2096" i="7"/>
  <c r="I2010" i="7"/>
  <c r="Q2029" i="7"/>
  <c r="Q2059" i="7"/>
  <c r="I2058" i="7"/>
  <c r="M1905" i="7"/>
  <c r="O1905" i="7" s="1"/>
  <c r="Q1914" i="7"/>
  <c r="Q1763" i="7"/>
  <c r="Q1752" i="7"/>
  <c r="I1690" i="7"/>
  <c r="K1690" i="7" s="1"/>
  <c r="Q1790" i="7"/>
  <c r="M1774" i="7"/>
  <c r="Q1736" i="7"/>
  <c r="M1731" i="7"/>
  <c r="Q1731" i="7" s="1"/>
  <c r="M970" i="7"/>
  <c r="O970" i="7" s="1"/>
  <c r="S970" i="7" s="1"/>
  <c r="Q971" i="7"/>
  <c r="Q1197" i="7"/>
  <c r="M1187" i="7"/>
  <c r="Q962" i="7"/>
  <c r="M952" i="7"/>
  <c r="Q790" i="7"/>
  <c r="M782" i="7"/>
  <c r="O782" i="7" s="1"/>
  <c r="S782" i="7" s="1"/>
  <c r="Q1119" i="7"/>
  <c r="M1095" i="7"/>
  <c r="Q1089" i="7"/>
  <c r="M1062" i="7"/>
  <c r="M881" i="7"/>
  <c r="Q891" i="7"/>
  <c r="I776" i="7"/>
  <c r="Q1129" i="7"/>
  <c r="M595" i="7"/>
  <c r="O595" i="7" s="1"/>
  <c r="S595" i="7" s="1"/>
  <c r="Q583" i="7"/>
  <c r="I561" i="7"/>
  <c r="K561" i="7" s="1"/>
  <c r="S561" i="7" s="1"/>
  <c r="M436" i="7"/>
  <c r="O436" i="7" s="1"/>
  <c r="Q439" i="7"/>
  <c r="M280" i="7"/>
  <c r="G8" i="8" s="1"/>
  <c r="Q329" i="7"/>
  <c r="Q151" i="7"/>
  <c r="I147" i="7"/>
  <c r="Q184" i="7"/>
  <c r="I168" i="7"/>
  <c r="K168" i="7" s="1"/>
  <c r="S168" i="7" s="1"/>
  <c r="M214" i="7"/>
  <c r="O214" i="7" s="1"/>
  <c r="S214" i="7" s="1"/>
  <c r="Q219" i="7"/>
  <c r="I86" i="7"/>
  <c r="D6" i="8" s="1"/>
  <c r="F6" i="8" s="1"/>
  <c r="Q92" i="7"/>
  <c r="O841" i="7" l="1"/>
  <c r="S841" i="7" s="1"/>
  <c r="Q1884" i="7"/>
  <c r="B912" i="7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S449" i="7"/>
  <c r="J6" i="8"/>
  <c r="I6" i="8"/>
  <c r="L6" i="8" s="1"/>
  <c r="K436" i="7"/>
  <c r="S436" i="7" s="1"/>
  <c r="I416" i="7"/>
  <c r="S1905" i="7"/>
  <c r="I8" i="8"/>
  <c r="L8" i="8" s="1"/>
  <c r="J8" i="8"/>
  <c r="K5" i="8"/>
  <c r="K4" i="8"/>
  <c r="I749" i="7"/>
  <c r="K776" i="7"/>
  <c r="Q2161" i="7"/>
  <c r="K2161" i="7"/>
  <c r="S2161" i="7" s="1"/>
  <c r="Q1095" i="7"/>
  <c r="O1095" i="7"/>
  <c r="S1095" i="7" s="1"/>
  <c r="Q2254" i="7"/>
  <c r="K2254" i="7"/>
  <c r="S2254" i="7" s="1"/>
  <c r="S1325" i="7"/>
  <c r="M2009" i="7"/>
  <c r="G14" i="8" s="1"/>
  <c r="O2058" i="7"/>
  <c r="Q86" i="7"/>
  <c r="K86" i="7"/>
  <c r="S86" i="7" s="1"/>
  <c r="K1871" i="7"/>
  <c r="Q147" i="7"/>
  <c r="K147" i="7"/>
  <c r="S147" i="7" s="1"/>
  <c r="Q952" i="7"/>
  <c r="O952" i="7"/>
  <c r="S952" i="7" s="1"/>
  <c r="M1690" i="7"/>
  <c r="O1690" i="7" s="1"/>
  <c r="S1690" i="7" s="1"/>
  <c r="O1731" i="7"/>
  <c r="S1731" i="7" s="1"/>
  <c r="M2144" i="7"/>
  <c r="G15" i="8" s="1"/>
  <c r="Q881" i="7"/>
  <c r="O881" i="7"/>
  <c r="S881" i="7" s="1"/>
  <c r="Q2010" i="7"/>
  <c r="K2010" i="7"/>
  <c r="S2010" i="7" s="1"/>
  <c r="Q2146" i="7"/>
  <c r="K2146" i="7"/>
  <c r="S2146" i="7" s="1"/>
  <c r="R7" i="7"/>
  <c r="I450" i="2"/>
  <c r="E3" i="8" s="1"/>
  <c r="E17" i="8" s="1"/>
  <c r="I452" i="2"/>
  <c r="Q1325" i="7"/>
  <c r="Q1187" i="7"/>
  <c r="O1187" i="7"/>
  <c r="S1187" i="7" s="1"/>
  <c r="K2305" i="7"/>
  <c r="I2304" i="7"/>
  <c r="D16" i="8" s="1"/>
  <c r="O280" i="7"/>
  <c r="S280" i="7" s="1"/>
  <c r="Q280" i="7"/>
  <c r="Q1062" i="7"/>
  <c r="O1062" i="7"/>
  <c r="S1062" i="7" s="1"/>
  <c r="Q1575" i="7"/>
  <c r="Q1774" i="7"/>
  <c r="O1774" i="7"/>
  <c r="S1774" i="7" s="1"/>
  <c r="Q2058" i="7"/>
  <c r="K2058" i="7"/>
  <c r="Q2145" i="7"/>
  <c r="Q2205" i="7"/>
  <c r="I2186" i="7"/>
  <c r="I2144" i="7" s="1"/>
  <c r="D15" i="8" s="1"/>
  <c r="F15" i="8" s="1"/>
  <c r="Q2282" i="7"/>
  <c r="I2009" i="7"/>
  <c r="D14" i="8" s="1"/>
  <c r="F14" i="8" s="1"/>
  <c r="M1871" i="7"/>
  <c r="G13" i="8" s="1"/>
  <c r="Q1905" i="7"/>
  <c r="M1762" i="7"/>
  <c r="O1762" i="7" s="1"/>
  <c r="S1762" i="7" s="1"/>
  <c r="I1671" i="7"/>
  <c r="D12" i="8" s="1"/>
  <c r="F12" i="8" s="1"/>
  <c r="M965" i="7"/>
  <c r="O965" i="7" s="1"/>
  <c r="S965" i="7" s="1"/>
  <c r="Q970" i="7"/>
  <c r="Q782" i="7"/>
  <c r="M776" i="7"/>
  <c r="O776" i="7" s="1"/>
  <c r="M557" i="7"/>
  <c r="G10" i="8" s="1"/>
  <c r="Q595" i="7"/>
  <c r="I557" i="7"/>
  <c r="D10" i="8" s="1"/>
  <c r="F10" i="8" s="1"/>
  <c r="Q561" i="7"/>
  <c r="Q436" i="7"/>
  <c r="M416" i="7"/>
  <c r="G9" i="8" s="1"/>
  <c r="Q214" i="7"/>
  <c r="M143" i="7"/>
  <c r="G7" i="8" s="1"/>
  <c r="Q168" i="7"/>
  <c r="I143" i="7"/>
  <c r="D7" i="8" s="1"/>
  <c r="F7" i="8" s="1"/>
  <c r="Q1690" i="7" l="1"/>
  <c r="Q1871" i="7"/>
  <c r="S2058" i="7"/>
  <c r="B941" i="7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J7" i="8"/>
  <c r="I7" i="8"/>
  <c r="L7" i="8" s="1"/>
  <c r="J13" i="8"/>
  <c r="I13" i="8"/>
  <c r="L13" i="8" s="1"/>
  <c r="F16" i="8"/>
  <c r="L16" i="8" s="1"/>
  <c r="J16" i="8"/>
  <c r="I14" i="8"/>
  <c r="L14" i="8" s="1"/>
  <c r="J14" i="8"/>
  <c r="I9" i="8"/>
  <c r="J10" i="8"/>
  <c r="I10" i="8"/>
  <c r="L10" i="8" s="1"/>
  <c r="J15" i="8"/>
  <c r="I15" i="8"/>
  <c r="L15" i="8" s="1"/>
  <c r="D9" i="8"/>
  <c r="F9" i="8" s="1"/>
  <c r="K416" i="7"/>
  <c r="S776" i="7"/>
  <c r="K3" i="8"/>
  <c r="K19" i="8" s="1"/>
  <c r="K35" i="8" s="1"/>
  <c r="O2144" i="7"/>
  <c r="K557" i="7"/>
  <c r="O1871" i="7"/>
  <c r="S1871" i="7" s="1"/>
  <c r="Q2186" i="7"/>
  <c r="K2186" i="7"/>
  <c r="S2186" i="7" s="1"/>
  <c r="O557" i="7"/>
  <c r="O143" i="7"/>
  <c r="K1671" i="7"/>
  <c r="Q2304" i="7"/>
  <c r="K2304" i="7"/>
  <c r="S2304" i="7" s="1"/>
  <c r="Q143" i="7"/>
  <c r="K143" i="7"/>
  <c r="Q416" i="7"/>
  <c r="O416" i="7"/>
  <c r="Q2009" i="7"/>
  <c r="K2009" i="7"/>
  <c r="O2009" i="7"/>
  <c r="Q2144" i="7"/>
  <c r="K2144" i="7"/>
  <c r="I748" i="7"/>
  <c r="D11" i="8" s="1"/>
  <c r="F11" i="8" s="1"/>
  <c r="K749" i="7"/>
  <c r="M1671" i="7"/>
  <c r="G12" i="8" s="1"/>
  <c r="Q1762" i="7"/>
  <c r="Q965" i="7"/>
  <c r="Q776" i="7"/>
  <c r="M749" i="7"/>
  <c r="M748" i="7" s="1"/>
  <c r="G11" i="8" s="1"/>
  <c r="Q557" i="7"/>
  <c r="B1344" i="7" l="1"/>
  <c r="B1345" i="7" s="1"/>
  <c r="B1346" i="7" s="1"/>
  <c r="B1347" i="7" s="1"/>
  <c r="B1348" i="7" s="1"/>
  <c r="B1349" i="7" s="1"/>
  <c r="B1350" i="7" s="1"/>
  <c r="B1351" i="7" s="1"/>
  <c r="S143" i="7"/>
  <c r="S2144" i="7"/>
  <c r="I12" i="8"/>
  <c r="L12" i="8" s="1"/>
  <c r="J12" i="8"/>
  <c r="S416" i="7"/>
  <c r="J9" i="8"/>
  <c r="I11" i="8"/>
  <c r="L11" i="8" s="1"/>
  <c r="J11" i="8"/>
  <c r="L9" i="8"/>
  <c r="Q748" i="7"/>
  <c r="O748" i="7"/>
  <c r="K748" i="7"/>
  <c r="S557" i="7"/>
  <c r="Q749" i="7"/>
  <c r="O749" i="7"/>
  <c r="S749" i="7" s="1"/>
  <c r="S2009" i="7"/>
  <c r="Q1671" i="7"/>
  <c r="O1671" i="7"/>
  <c r="S1671" i="7" s="1"/>
  <c r="B1352" i="7" l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S748" i="7"/>
  <c r="J234" i="2"/>
  <c r="H381" i="2"/>
  <c r="J381" i="2" s="1"/>
  <c r="H43" i="2"/>
  <c r="J43" i="2" s="1"/>
  <c r="B1373" i="7" l="1"/>
  <c r="B1374" i="7" s="1"/>
  <c r="B1375" i="7" s="1"/>
  <c r="B1376" i="7" s="1"/>
  <c r="B1377" i="7" s="1"/>
  <c r="B1378" i="7" s="1"/>
  <c r="B1379" i="7" s="1"/>
  <c r="B1380" i="7" s="1"/>
  <c r="B1381" i="7" s="1"/>
  <c r="B1382" i="7" s="1"/>
  <c r="B1383" i="7" s="1"/>
  <c r="M59" i="7"/>
  <c r="O59" i="7" s="1"/>
  <c r="S59" i="7" s="1"/>
  <c r="B1384" i="7" l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M60" i="7"/>
  <c r="O60" i="7" s="1"/>
  <c r="S60" i="7" s="1"/>
  <c r="I53" i="7"/>
  <c r="K53" i="7" s="1"/>
  <c r="S53" i="7" s="1"/>
  <c r="B1418" i="7" l="1"/>
  <c r="B1419" i="7" s="1"/>
  <c r="B1420" i="7" s="1"/>
  <c r="B1421" i="7" s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B1504" i="7" s="1"/>
  <c r="B1505" i="7" s="1"/>
  <c r="B1506" i="7" s="1"/>
  <c r="B1507" i="7" s="1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B1530" i="7" s="1"/>
  <c r="B1531" i="7" s="1"/>
  <c r="B1532" i="7" s="1"/>
  <c r="B1533" i="7" s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B1582" i="7" s="1"/>
  <c r="B1583" i="7" s="1"/>
  <c r="B1584" i="7" s="1"/>
  <c r="B1585" i="7" s="1"/>
  <c r="B1586" i="7" s="1"/>
  <c r="B1587" i="7" s="1"/>
  <c r="B1588" i="7" s="1"/>
  <c r="B1589" i="7" s="1"/>
  <c r="B1590" i="7" s="1"/>
  <c r="B1591" i="7" s="1"/>
  <c r="B1592" i="7" s="1"/>
  <c r="B1593" i="7" s="1"/>
  <c r="B1594" i="7" s="1"/>
  <c r="B1595" i="7" s="1"/>
  <c r="B1596" i="7" s="1"/>
  <c r="B1597" i="7" s="1"/>
  <c r="H433" i="2"/>
  <c r="J433" i="2" s="1"/>
  <c r="H399" i="2"/>
  <c r="H395" i="2"/>
  <c r="J395" i="2" s="1"/>
  <c r="H391" i="2"/>
  <c r="J391" i="2" s="1"/>
  <c r="H379" i="2"/>
  <c r="J379" i="2" s="1"/>
  <c r="H369" i="2"/>
  <c r="J369" i="2" s="1"/>
  <c r="B1598" i="7" l="1"/>
  <c r="B1599" i="7" s="1"/>
  <c r="B1600" i="7" s="1"/>
  <c r="B1601" i="7" s="1"/>
  <c r="B1602" i="7" s="1"/>
  <c r="B1603" i="7" s="1"/>
  <c r="B1604" i="7" s="1"/>
  <c r="B1605" i="7" s="1"/>
  <c r="B1606" i="7" s="1"/>
  <c r="B1607" i="7" s="1"/>
  <c r="B1608" i="7" s="1"/>
  <c r="J399" i="2"/>
  <c r="H398" i="2"/>
  <c r="M43" i="7"/>
  <c r="O43" i="7" s="1"/>
  <c r="S43" i="7" s="1"/>
  <c r="H443" i="2" l="1"/>
  <c r="H27" i="2"/>
  <c r="J27" i="2" s="1"/>
  <c r="H440" i="2" l="1"/>
  <c r="J440" i="2" s="1"/>
  <c r="J443" i="2"/>
  <c r="M64" i="7"/>
  <c r="O64" i="7" s="1"/>
  <c r="S64" i="7" s="1"/>
  <c r="M63" i="7" l="1"/>
  <c r="O63" i="7" s="1"/>
  <c r="S63" i="7" s="1"/>
  <c r="H419" i="2" l="1"/>
  <c r="H411" i="2"/>
  <c r="H403" i="2"/>
  <c r="H394" i="2"/>
  <c r="H390" i="2"/>
  <c r="H377" i="2"/>
  <c r="J377" i="2" s="1"/>
  <c r="H370" i="2"/>
  <c r="J370" i="2" s="1"/>
  <c r="H343" i="2"/>
  <c r="J343" i="2" s="1"/>
  <c r="H328" i="2"/>
  <c r="J328" i="2" s="1"/>
  <c r="H312" i="2"/>
  <c r="J312" i="2" s="1"/>
  <c r="H297" i="2"/>
  <c r="J297" i="2" s="1"/>
  <c r="H281" i="2"/>
  <c r="J281" i="2" s="1"/>
  <c r="J403" i="2" l="1"/>
  <c r="H402" i="2"/>
  <c r="J411" i="2"/>
  <c r="H410" i="2"/>
  <c r="J419" i="2"/>
  <c r="H418" i="2"/>
  <c r="H393" i="2"/>
  <c r="J394" i="2"/>
  <c r="H387" i="2"/>
  <c r="J390" i="2"/>
  <c r="H256" i="2"/>
  <c r="J256" i="2" s="1"/>
  <c r="H241" i="2"/>
  <c r="J241" i="2" s="1"/>
  <c r="H149" i="2"/>
  <c r="J149" i="2" s="1"/>
  <c r="H386" i="2" l="1"/>
  <c r="J386" i="2" s="1"/>
  <c r="J387" i="2"/>
  <c r="H392" i="2"/>
  <c r="J392" i="2" s="1"/>
  <c r="J393" i="2"/>
  <c r="H365" i="2"/>
  <c r="J365" i="2" s="1"/>
  <c r="H12" i="2" l="1"/>
  <c r="J12" i="2" s="1"/>
  <c r="M57" i="7" l="1"/>
  <c r="O57" i="7" s="1"/>
  <c r="S57" i="7" s="1"/>
  <c r="H55" i="2"/>
  <c r="J55" i="2" s="1"/>
  <c r="H54" i="2"/>
  <c r="J54" i="2" s="1"/>
  <c r="M61" i="7" l="1"/>
  <c r="O61" i="7" s="1"/>
  <c r="S61" i="7" s="1"/>
  <c r="M62" i="7"/>
  <c r="O62" i="7" s="1"/>
  <c r="S62" i="7" s="1"/>
  <c r="I73" i="7"/>
  <c r="K73" i="7" s="1"/>
  <c r="S73" i="7" s="1"/>
  <c r="I69" i="7"/>
  <c r="K69" i="7" s="1"/>
  <c r="S69" i="7" s="1"/>
  <c r="H376" i="2"/>
  <c r="J376" i="2" s="1"/>
  <c r="H368" i="2"/>
  <c r="H233" i="2"/>
  <c r="J233" i="2" s="1"/>
  <c r="H224" i="2"/>
  <c r="J224" i="2" s="1"/>
  <c r="H200" i="2"/>
  <c r="J200" i="2" s="1"/>
  <c r="H67" i="2"/>
  <c r="J67" i="2" s="1"/>
  <c r="H52" i="2"/>
  <c r="J52" i="2" s="1"/>
  <c r="H367" i="2" l="1"/>
  <c r="J367" i="2" s="1"/>
  <c r="J368" i="2"/>
  <c r="Q35" i="7"/>
  <c r="I36" i="7"/>
  <c r="K36" i="7" s="1"/>
  <c r="S36" i="7" s="1"/>
  <c r="I38" i="7"/>
  <c r="K38" i="7" s="1"/>
  <c r="S38" i="7" s="1"/>
  <c r="M42" i="7" l="1"/>
  <c r="M34" i="7"/>
  <c r="O34" i="7" s="1"/>
  <c r="M29" i="7"/>
  <c r="I29" i="7"/>
  <c r="H255" i="2"/>
  <c r="J255" i="2" s="1"/>
  <c r="H432" i="2"/>
  <c r="J432" i="2" s="1"/>
  <c r="H21" i="2"/>
  <c r="H39" i="2"/>
  <c r="M44" i="7"/>
  <c r="Q46" i="7"/>
  <c r="I70" i="7"/>
  <c r="H51" i="2"/>
  <c r="J51" i="2" s="1"/>
  <c r="M58" i="7"/>
  <c r="O58" i="7" s="1"/>
  <c r="S58" i="7" s="1"/>
  <c r="M56" i="7"/>
  <c r="H77" i="2"/>
  <c r="H63" i="2"/>
  <c r="J63" i="2" s="1"/>
  <c r="H33" i="2"/>
  <c r="H296" i="2"/>
  <c r="J296" i="2" s="1"/>
  <c r="H304" i="2"/>
  <c r="H290" i="2"/>
  <c r="H273" i="2"/>
  <c r="H248" i="2"/>
  <c r="H240" i="2"/>
  <c r="J240" i="2" s="1"/>
  <c r="H203" i="2"/>
  <c r="H206" i="2"/>
  <c r="H196" i="2"/>
  <c r="H199" i="2"/>
  <c r="H186" i="2"/>
  <c r="H182" i="2"/>
  <c r="H178" i="2"/>
  <c r="H154" i="2"/>
  <c r="H174" i="2"/>
  <c r="H166" i="2"/>
  <c r="H162" i="2"/>
  <c r="H158" i="2"/>
  <c r="H148" i="2"/>
  <c r="H145" i="2"/>
  <c r="H141" i="2"/>
  <c r="H137" i="2"/>
  <c r="H133" i="2"/>
  <c r="H129" i="2"/>
  <c r="H125" i="2"/>
  <c r="H121" i="2"/>
  <c r="H117" i="2"/>
  <c r="H110" i="2"/>
  <c r="H107" i="2"/>
  <c r="Q40" i="7"/>
  <c r="Q39" i="7"/>
  <c r="Q57" i="7"/>
  <c r="Q59" i="7"/>
  <c r="Q60" i="7"/>
  <c r="Q61" i="7"/>
  <c r="Q62" i="7"/>
  <c r="Q63" i="7"/>
  <c r="Q64" i="7"/>
  <c r="Q45" i="7"/>
  <c r="Q43" i="7"/>
  <c r="I33" i="7"/>
  <c r="M70" i="7"/>
  <c r="M49" i="7"/>
  <c r="I49" i="7"/>
  <c r="K49" i="7" s="1"/>
  <c r="Q54" i="7"/>
  <c r="M74" i="7"/>
  <c r="O74" i="7" s="1"/>
  <c r="M25" i="7"/>
  <c r="M20" i="7"/>
  <c r="M17" i="7"/>
  <c r="M10" i="7"/>
  <c r="I74" i="7"/>
  <c r="K74" i="7" s="1"/>
  <c r="I55" i="7"/>
  <c r="K55" i="7" s="1"/>
  <c r="I41" i="7"/>
  <c r="K41" i="7" s="1"/>
  <c r="I25" i="7"/>
  <c r="I20" i="7"/>
  <c r="I17" i="7"/>
  <c r="I10" i="7"/>
  <c r="B428" i="2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H270" i="2"/>
  <c r="H267" i="2"/>
  <c r="H264" i="2"/>
  <c r="H253" i="2"/>
  <c r="H245" i="2"/>
  <c r="H238" i="2"/>
  <c r="H231" i="2"/>
  <c r="H227" i="2"/>
  <c r="H223" i="2"/>
  <c r="H219" i="2"/>
  <c r="H215" i="2"/>
  <c r="H211" i="2"/>
  <c r="H192" i="2"/>
  <c r="H170" i="2"/>
  <c r="H280" i="2"/>
  <c r="J280" i="2" s="1"/>
  <c r="H294" i="2"/>
  <c r="H301" i="2"/>
  <c r="H309" i="2"/>
  <c r="H311" i="2"/>
  <c r="J311" i="2" s="1"/>
  <c r="H317" i="2"/>
  <c r="H320" i="2"/>
  <c r="H325" i="2"/>
  <c r="H327" i="2"/>
  <c r="J327" i="2" s="1"/>
  <c r="H332" i="2"/>
  <c r="H340" i="2"/>
  <c r="H342" i="2"/>
  <c r="J342" i="2" s="1"/>
  <c r="H350" i="2"/>
  <c r="H14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Q75" i="7"/>
  <c r="Q72" i="7"/>
  <c r="Q71" i="7"/>
  <c r="Q69" i="7"/>
  <c r="Q52" i="7"/>
  <c r="Q51" i="7"/>
  <c r="Q50" i="7"/>
  <c r="Q36" i="7"/>
  <c r="Q31" i="7"/>
  <c r="Q30" i="7"/>
  <c r="Q28" i="7"/>
  <c r="Q26" i="7"/>
  <c r="Q21" i="7"/>
  <c r="Q18" i="7"/>
  <c r="Q15" i="7"/>
  <c r="Q14" i="7"/>
  <c r="Q13" i="7"/>
  <c r="Q12" i="7"/>
  <c r="Q11" i="7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H439" i="2"/>
  <c r="J439" i="2" s="1"/>
  <c r="H437" i="2"/>
  <c r="J437" i="2" s="1"/>
  <c r="H430" i="2"/>
  <c r="J430" i="2" s="1"/>
  <c r="H357" i="2"/>
  <c r="H347" i="2"/>
  <c r="H335" i="2"/>
  <c r="H287" i="2"/>
  <c r="H100" i="2"/>
  <c r="H58" i="2"/>
  <c r="H49" i="2"/>
  <c r="H46" i="2"/>
  <c r="J46" i="2" s="1"/>
  <c r="H41" i="2"/>
  <c r="J41" i="2" s="1"/>
  <c r="H11" i="2"/>
  <c r="Q76" i="7"/>
  <c r="H278" i="2"/>
  <c r="H354" i="2"/>
  <c r="H366" i="2"/>
  <c r="J366" i="2" s="1"/>
  <c r="Q53" i="7"/>
  <c r="I37" i="7"/>
  <c r="K37" i="7" s="1"/>
  <c r="S37" i="7" s="1"/>
  <c r="Q38" i="7"/>
  <c r="S74" i="7" l="1"/>
  <c r="H169" i="2"/>
  <c r="J170" i="2"/>
  <c r="M19" i="7"/>
  <c r="O19" i="7" s="1"/>
  <c r="O20" i="7"/>
  <c r="H128" i="2"/>
  <c r="J129" i="2"/>
  <c r="H205" i="2"/>
  <c r="J205" i="2" s="1"/>
  <c r="J206" i="2"/>
  <c r="I27" i="7"/>
  <c r="K27" i="7" s="1"/>
  <c r="K29" i="7"/>
  <c r="H286" i="2"/>
  <c r="J286" i="2" s="1"/>
  <c r="J287" i="2"/>
  <c r="H13" i="2"/>
  <c r="J13" i="2" s="1"/>
  <c r="J14" i="2"/>
  <c r="H339" i="2"/>
  <c r="J339" i="2" s="1"/>
  <c r="J340" i="2"/>
  <c r="H319" i="2"/>
  <c r="J319" i="2" s="1"/>
  <c r="J320" i="2"/>
  <c r="H300" i="2"/>
  <c r="J300" i="2" s="1"/>
  <c r="J301" i="2"/>
  <c r="H191" i="2"/>
  <c r="J192" i="2"/>
  <c r="H222" i="2"/>
  <c r="J223" i="2"/>
  <c r="H244" i="2"/>
  <c r="J244" i="2" s="1"/>
  <c r="J245" i="2"/>
  <c r="H269" i="2"/>
  <c r="J269" i="2" s="1"/>
  <c r="J270" i="2"/>
  <c r="I19" i="7"/>
  <c r="K19" i="7" s="1"/>
  <c r="K20" i="7"/>
  <c r="M24" i="7"/>
  <c r="O25" i="7"/>
  <c r="M48" i="7"/>
  <c r="O49" i="7"/>
  <c r="S49" i="7" s="1"/>
  <c r="H116" i="2"/>
  <c r="J117" i="2"/>
  <c r="H132" i="2"/>
  <c r="J133" i="2"/>
  <c r="H147" i="2"/>
  <c r="J147" i="2" s="1"/>
  <c r="J148" i="2"/>
  <c r="H173" i="2"/>
  <c r="J174" i="2"/>
  <c r="H185" i="2"/>
  <c r="J186" i="2"/>
  <c r="H202" i="2"/>
  <c r="J202" i="2" s="1"/>
  <c r="J203" i="2"/>
  <c r="H289" i="2"/>
  <c r="J289" i="2" s="1"/>
  <c r="J290" i="2"/>
  <c r="Q44" i="7"/>
  <c r="O44" i="7"/>
  <c r="S44" i="7" s="1"/>
  <c r="M27" i="7"/>
  <c r="O27" i="7" s="1"/>
  <c r="S27" i="7" s="1"/>
  <c r="O29" i="7"/>
  <c r="H324" i="2"/>
  <c r="J324" i="2" s="1"/>
  <c r="J325" i="2"/>
  <c r="H218" i="2"/>
  <c r="J219" i="2"/>
  <c r="H237" i="2"/>
  <c r="J237" i="2" s="1"/>
  <c r="J238" i="2"/>
  <c r="I16" i="7"/>
  <c r="K16" i="7" s="1"/>
  <c r="K17" i="7"/>
  <c r="H165" i="2"/>
  <c r="J166" i="2"/>
  <c r="H334" i="2"/>
  <c r="J334" i="2" s="1"/>
  <c r="J335" i="2"/>
  <c r="H331" i="2"/>
  <c r="J331" i="2" s="1"/>
  <c r="J332" i="2"/>
  <c r="H316" i="2"/>
  <c r="J316" i="2" s="1"/>
  <c r="J317" i="2"/>
  <c r="H293" i="2"/>
  <c r="J293" i="2" s="1"/>
  <c r="J294" i="2"/>
  <c r="H210" i="2"/>
  <c r="J211" i="2"/>
  <c r="H226" i="2"/>
  <c r="J227" i="2"/>
  <c r="H252" i="2"/>
  <c r="J252" i="2" s="1"/>
  <c r="J253" i="2"/>
  <c r="I24" i="7"/>
  <c r="K25" i="7"/>
  <c r="M9" i="7"/>
  <c r="O9" i="7" s="1"/>
  <c r="O10" i="7"/>
  <c r="M68" i="7"/>
  <c r="O70" i="7"/>
  <c r="H120" i="2"/>
  <c r="J121" i="2"/>
  <c r="H136" i="2"/>
  <c r="J137" i="2"/>
  <c r="H157" i="2"/>
  <c r="J158" i="2"/>
  <c r="H153" i="2"/>
  <c r="J154" i="2"/>
  <c r="H198" i="2"/>
  <c r="J198" i="2" s="1"/>
  <c r="J199" i="2"/>
  <c r="H303" i="2"/>
  <c r="J303" i="2" s="1"/>
  <c r="J304" i="2"/>
  <c r="H76" i="2"/>
  <c r="J77" i="2"/>
  <c r="H38" i="2"/>
  <c r="J38" i="2" s="1"/>
  <c r="J39" i="2"/>
  <c r="H277" i="2"/>
  <c r="J277" i="2" s="1"/>
  <c r="J278" i="2"/>
  <c r="H99" i="2"/>
  <c r="J100" i="2"/>
  <c r="H356" i="2"/>
  <c r="J356" i="2" s="1"/>
  <c r="J357" i="2"/>
  <c r="H308" i="2"/>
  <c r="J308" i="2" s="1"/>
  <c r="J309" i="2"/>
  <c r="H266" i="2"/>
  <c r="J266" i="2" s="1"/>
  <c r="J267" i="2"/>
  <c r="H109" i="2"/>
  <c r="J109" i="2" s="1"/>
  <c r="J110" i="2"/>
  <c r="H144" i="2"/>
  <c r="J145" i="2"/>
  <c r="H181" i="2"/>
  <c r="J181" i="2" s="1"/>
  <c r="J182" i="2"/>
  <c r="H272" i="2"/>
  <c r="J272" i="2" s="1"/>
  <c r="J273" i="2"/>
  <c r="H31" i="2"/>
  <c r="J33" i="2"/>
  <c r="H48" i="2"/>
  <c r="J48" i="2" s="1"/>
  <c r="J49" i="2"/>
  <c r="H353" i="2"/>
  <c r="J353" i="2" s="1"/>
  <c r="J354" i="2"/>
  <c r="H10" i="2"/>
  <c r="J10" i="2" s="1"/>
  <c r="J11" i="2"/>
  <c r="H57" i="2"/>
  <c r="J58" i="2"/>
  <c r="H346" i="2"/>
  <c r="J346" i="2" s="1"/>
  <c r="J347" i="2"/>
  <c r="H349" i="2"/>
  <c r="J349" i="2" s="1"/>
  <c r="J350" i="2"/>
  <c r="H214" i="2"/>
  <c r="J215" i="2"/>
  <c r="H230" i="2"/>
  <c r="J231" i="2"/>
  <c r="H263" i="2"/>
  <c r="J263" i="2" s="1"/>
  <c r="J264" i="2"/>
  <c r="I9" i="7"/>
  <c r="K9" i="7" s="1"/>
  <c r="K10" i="7"/>
  <c r="M16" i="7"/>
  <c r="O16" i="7" s="1"/>
  <c r="S16" i="7" s="1"/>
  <c r="O17" i="7"/>
  <c r="Q33" i="7"/>
  <c r="K33" i="7"/>
  <c r="S33" i="7" s="1"/>
  <c r="H106" i="2"/>
  <c r="J106" i="2" s="1"/>
  <c r="J107" i="2"/>
  <c r="H124" i="2"/>
  <c r="J125" i="2"/>
  <c r="H140" i="2"/>
  <c r="J141" i="2"/>
  <c r="H161" i="2"/>
  <c r="J162" i="2"/>
  <c r="H177" i="2"/>
  <c r="J178" i="2"/>
  <c r="H195" i="2"/>
  <c r="J195" i="2" s="1"/>
  <c r="J196" i="2"/>
  <c r="H247" i="2"/>
  <c r="J247" i="2" s="1"/>
  <c r="J248" i="2"/>
  <c r="Q56" i="7"/>
  <c r="O56" i="7"/>
  <c r="S56" i="7" s="1"/>
  <c r="I68" i="7"/>
  <c r="K68" i="7" s="1"/>
  <c r="K70" i="7"/>
  <c r="H19" i="2"/>
  <c r="J21" i="2"/>
  <c r="Q42" i="7"/>
  <c r="O42" i="7"/>
  <c r="S42" i="7" s="1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H364" i="2"/>
  <c r="Q20" i="7"/>
  <c r="I47" i="7"/>
  <c r="K47" i="7" s="1"/>
  <c r="Q17" i="7"/>
  <c r="I34" i="7"/>
  <c r="H62" i="2"/>
  <c r="B50" i="7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Q25" i="7"/>
  <c r="Q73" i="7"/>
  <c r="Q29" i="7"/>
  <c r="M41" i="7"/>
  <c r="Q74" i="7"/>
  <c r="Q49" i="7"/>
  <c r="Q70" i="7"/>
  <c r="Q37" i="7"/>
  <c r="Q58" i="7"/>
  <c r="M55" i="7"/>
  <c r="H436" i="2"/>
  <c r="H429" i="2"/>
  <c r="Q10" i="7"/>
  <c r="Q24" i="7" l="1"/>
  <c r="Q16" i="7"/>
  <c r="Q9" i="7"/>
  <c r="Q68" i="7"/>
  <c r="Q19" i="7"/>
  <c r="Q27" i="7"/>
  <c r="H307" i="2"/>
  <c r="H276" i="2"/>
  <c r="J276" i="2" s="1"/>
  <c r="H251" i="2"/>
  <c r="J251" i="2" s="1"/>
  <c r="H352" i="2"/>
  <c r="H292" i="2"/>
  <c r="H201" i="2"/>
  <c r="J201" i="2" s="1"/>
  <c r="S70" i="7"/>
  <c r="S29" i="7"/>
  <c r="S20" i="7"/>
  <c r="H262" i="2"/>
  <c r="H323" i="2"/>
  <c r="H37" i="2"/>
  <c r="J37" i="2" s="1"/>
  <c r="H236" i="2"/>
  <c r="J236" i="2" s="1"/>
  <c r="J262" i="2"/>
  <c r="H409" i="2"/>
  <c r="J409" i="2" s="1"/>
  <c r="J410" i="2"/>
  <c r="H18" i="2"/>
  <c r="J19" i="2"/>
  <c r="H123" i="2"/>
  <c r="J123" i="2" s="1"/>
  <c r="J124" i="2"/>
  <c r="H143" i="2"/>
  <c r="J143" i="2" s="1"/>
  <c r="J144" i="2"/>
  <c r="H98" i="2"/>
  <c r="J99" i="2"/>
  <c r="Q41" i="7"/>
  <c r="O41" i="7"/>
  <c r="S41" i="7" s="1"/>
  <c r="H363" i="2"/>
  <c r="J363" i="2" s="1"/>
  <c r="J364" i="2"/>
  <c r="H417" i="2"/>
  <c r="J418" i="2"/>
  <c r="S17" i="7"/>
  <c r="H152" i="2"/>
  <c r="J152" i="2" s="1"/>
  <c r="J153" i="2"/>
  <c r="H135" i="2"/>
  <c r="J135" i="2" s="1"/>
  <c r="J136" i="2"/>
  <c r="M67" i="7"/>
  <c r="O68" i="7"/>
  <c r="S68" i="7" s="1"/>
  <c r="I23" i="7"/>
  <c r="K24" i="7"/>
  <c r="H225" i="2"/>
  <c r="J225" i="2" s="1"/>
  <c r="J226" i="2"/>
  <c r="H217" i="2"/>
  <c r="J217" i="2" s="1"/>
  <c r="J218" i="2"/>
  <c r="H184" i="2"/>
  <c r="J184" i="2" s="1"/>
  <c r="J185" i="2"/>
  <c r="H115" i="2"/>
  <c r="J115" i="2" s="1"/>
  <c r="J116" i="2"/>
  <c r="M23" i="7"/>
  <c r="O24" i="7"/>
  <c r="H221" i="2"/>
  <c r="J221" i="2" s="1"/>
  <c r="J222" i="2"/>
  <c r="S19" i="7"/>
  <c r="H435" i="2"/>
  <c r="J435" i="2" s="1"/>
  <c r="J436" i="2"/>
  <c r="J323" i="2"/>
  <c r="H139" i="2"/>
  <c r="J139" i="2" s="1"/>
  <c r="J140" i="2"/>
  <c r="H213" i="2"/>
  <c r="J213" i="2" s="1"/>
  <c r="J214" i="2"/>
  <c r="H56" i="2"/>
  <c r="J57" i="2"/>
  <c r="H29" i="2"/>
  <c r="J31" i="2"/>
  <c r="S10" i="7"/>
  <c r="H160" i="2"/>
  <c r="J160" i="2" s="1"/>
  <c r="J161" i="2"/>
  <c r="H229" i="2"/>
  <c r="J229" i="2" s="1"/>
  <c r="J230" i="2"/>
  <c r="S25" i="7"/>
  <c r="Q55" i="7"/>
  <c r="O55" i="7"/>
  <c r="S55" i="7" s="1"/>
  <c r="H194" i="2"/>
  <c r="J194" i="2" s="1"/>
  <c r="J292" i="2"/>
  <c r="H61" i="2"/>
  <c r="J62" i="2"/>
  <c r="J352" i="2"/>
  <c r="H401" i="2"/>
  <c r="J401" i="2" s="1"/>
  <c r="J402" i="2"/>
  <c r="H176" i="2"/>
  <c r="J176" i="2" s="1"/>
  <c r="J177" i="2"/>
  <c r="H428" i="2"/>
  <c r="J429" i="2"/>
  <c r="H338" i="2"/>
  <c r="J338" i="2" s="1"/>
  <c r="J307" i="2"/>
  <c r="Q34" i="7"/>
  <c r="K34" i="7"/>
  <c r="S34" i="7" s="1"/>
  <c r="H74" i="2"/>
  <c r="J74" i="2" s="1"/>
  <c r="J76" i="2"/>
  <c r="H156" i="2"/>
  <c r="J156" i="2" s="1"/>
  <c r="J157" i="2"/>
  <c r="H119" i="2"/>
  <c r="J119" i="2" s="1"/>
  <c r="J120" i="2"/>
  <c r="S9" i="7"/>
  <c r="H209" i="2"/>
  <c r="J209" i="2" s="1"/>
  <c r="J210" i="2"/>
  <c r="H164" i="2"/>
  <c r="J164" i="2" s="1"/>
  <c r="J165" i="2"/>
  <c r="H172" i="2"/>
  <c r="J172" i="2" s="1"/>
  <c r="J173" i="2"/>
  <c r="H131" i="2"/>
  <c r="J131" i="2" s="1"/>
  <c r="J132" i="2"/>
  <c r="Q48" i="7"/>
  <c r="O48" i="7"/>
  <c r="S48" i="7" s="1"/>
  <c r="H190" i="2"/>
  <c r="J190" i="2" s="1"/>
  <c r="J191" i="2"/>
  <c r="H127" i="2"/>
  <c r="J127" i="2" s="1"/>
  <c r="J128" i="2"/>
  <c r="H168" i="2"/>
  <c r="J168" i="2" s="1"/>
  <c r="J169" i="2"/>
  <c r="B45" i="2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I32" i="7"/>
  <c r="M47" i="7"/>
  <c r="M32" i="7"/>
  <c r="O32" i="7" s="1"/>
  <c r="B65" i="2" l="1"/>
  <c r="B66" i="2" s="1"/>
  <c r="B67" i="2" s="1"/>
  <c r="S24" i="7"/>
  <c r="H434" i="2"/>
  <c r="J434" i="2" s="1"/>
  <c r="J417" i="2"/>
  <c r="I22" i="7"/>
  <c r="K23" i="7"/>
  <c r="H180" i="2"/>
  <c r="J398" i="2"/>
  <c r="H397" i="2"/>
  <c r="H362" i="2" s="1"/>
  <c r="H427" i="2"/>
  <c r="J427" i="2" s="1"/>
  <c r="J428" i="2"/>
  <c r="H26" i="2"/>
  <c r="J29" i="2"/>
  <c r="J98" i="2"/>
  <c r="K32" i="7"/>
  <c r="S32" i="7" s="1"/>
  <c r="H105" i="2"/>
  <c r="H60" i="2"/>
  <c r="J61" i="2"/>
  <c r="M22" i="7"/>
  <c r="O23" i="7"/>
  <c r="Q23" i="7"/>
  <c r="O67" i="7"/>
  <c r="S67" i="7" s="1"/>
  <c r="Q67" i="7"/>
  <c r="M66" i="7"/>
  <c r="Q47" i="7"/>
  <c r="O47" i="7"/>
  <c r="S47" i="7" s="1"/>
  <c r="J56" i="2"/>
  <c r="J18" i="2"/>
  <c r="H9" i="2"/>
  <c r="Q32" i="7"/>
  <c r="B68" i="2" l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S23" i="7"/>
  <c r="H444" i="2"/>
  <c r="J444" i="2" s="1"/>
  <c r="J105" i="2"/>
  <c r="J26" i="2"/>
  <c r="H25" i="2"/>
  <c r="J180" i="2"/>
  <c r="O66" i="7"/>
  <c r="S66" i="7" s="1"/>
  <c r="Q66" i="7"/>
  <c r="M65" i="7"/>
  <c r="J362" i="2"/>
  <c r="H8" i="2"/>
  <c r="J8" i="2" s="1"/>
  <c r="J9" i="2"/>
  <c r="O22" i="7"/>
  <c r="M8" i="7"/>
  <c r="Q22" i="7"/>
  <c r="J60" i="2"/>
  <c r="J397" i="2"/>
  <c r="K22" i="7"/>
  <c r="I8" i="7"/>
  <c r="H451" i="2" l="1"/>
  <c r="J451" i="2" s="1"/>
  <c r="G3" i="8"/>
  <c r="I3" i="8" s="1"/>
  <c r="J25" i="2"/>
  <c r="O8" i="7"/>
  <c r="Q8" i="7"/>
  <c r="M7" i="7"/>
  <c r="G5" i="8" s="1"/>
  <c r="K8" i="7"/>
  <c r="I7" i="7"/>
  <c r="D5" i="8" s="1"/>
  <c r="S22" i="7"/>
  <c r="Q65" i="7"/>
  <c r="O65" i="7"/>
  <c r="S65" i="7" s="1"/>
  <c r="H24" i="2"/>
  <c r="B245" i="2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D4" i="8" l="1"/>
  <c r="F5" i="8"/>
  <c r="I5" i="8"/>
  <c r="J5" i="8"/>
  <c r="G4" i="8"/>
  <c r="G18" i="8" s="1"/>
  <c r="I18" i="8" s="1"/>
  <c r="H421" i="2"/>
  <c r="J24" i="2"/>
  <c r="K7" i="7"/>
  <c r="S8" i="7"/>
  <c r="O7" i="7"/>
  <c r="Q7" i="7"/>
  <c r="L5" i="8" l="1"/>
  <c r="I4" i="8"/>
  <c r="S7" i="7"/>
  <c r="J4" i="8"/>
  <c r="F4" i="8"/>
  <c r="H452" i="2"/>
  <c r="J421" i="2"/>
  <c r="H450" i="2"/>
  <c r="D3" i="8" s="1"/>
  <c r="L4" i="8" l="1"/>
  <c r="D17" i="8"/>
  <c r="F17" i="8" s="1"/>
  <c r="F3" i="8"/>
  <c r="L3" i="8" s="1"/>
  <c r="J3" i="8"/>
  <c r="J19" i="8" s="1"/>
  <c r="J35" i="8" s="1"/>
  <c r="J452" i="2"/>
  <c r="J450" i="2"/>
  <c r="B311" i="2"/>
  <c r="B312" i="2" s="1"/>
  <c r="L19" i="8" l="1"/>
  <c r="L35" i="8" s="1"/>
  <c r="B313" i="2"/>
  <c r="B314" i="2" s="1"/>
  <c r="B315" i="2" s="1"/>
  <c r="B316" i="2" s="1"/>
  <c r="B317" i="2" s="1"/>
  <c r="B318" i="2" s="1"/>
  <c r="B319" i="2" s="1"/>
  <c r="B320" i="2" s="1"/>
  <c r="B321" i="2" s="1"/>
  <c r="B323" i="2" s="1"/>
  <c r="B324" i="2" s="1"/>
  <c r="B325" i="2" s="1"/>
  <c r="B326" i="2" s="1"/>
  <c r="B327" i="2" s="1"/>
  <c r="B328" i="2" s="1"/>
  <c r="B329" i="2" l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l="1"/>
  <c r="B348" i="2" l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l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</calcChain>
</file>

<file path=xl/sharedStrings.xml><?xml version="1.0" encoding="utf-8"?>
<sst xmlns="http://schemas.openxmlformats.org/spreadsheetml/2006/main" count="3734" uniqueCount="784">
  <si>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</si>
  <si>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</si>
  <si>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</si>
  <si>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</si>
  <si>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</si>
  <si>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</si>
  <si>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</si>
  <si>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</si>
  <si>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</si>
  <si>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</si>
  <si>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</si>
  <si>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</si>
  <si>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</si>
  <si>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</si>
  <si>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</si>
  <si>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</si>
  <si>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</si>
  <si>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</si>
  <si>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</si>
  <si>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</si>
  <si>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</si>
  <si>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</si>
  <si>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</si>
  <si>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</si>
  <si>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</si>
  <si>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</si>
  <si>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</si>
  <si>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</si>
  <si>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</si>
  <si>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</si>
  <si>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</si>
  <si>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</si>
  <si>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</si>
  <si>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</si>
  <si>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</si>
  <si>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</si>
  <si>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</si>
  <si>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</si>
  <si>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</si>
  <si>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</si>
  <si>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</si>
  <si>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</si>
  <si>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</si>
  <si>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</si>
  <si>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</si>
  <si>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</si>
  <si>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</si>
  <si>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</si>
  <si>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</si>
  <si>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</si>
  <si>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</si>
  <si>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</si>
  <si>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</si>
  <si>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</si>
  <si>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</si>
  <si>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</si>
  <si>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</si>
  <si>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</si>
  <si>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</si>
  <si>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</si>
  <si>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Tuzemské kapitálové granty a transfery</t>
  </si>
  <si>
    <t>Zo štátneho rozpočtu</t>
  </si>
  <si>
    <t>Trenčianske historické slávnosti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</si>
  <si>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</si>
  <si>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</si>
  <si>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</si>
  <si>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</si>
  <si>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</si>
  <si>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</si>
  <si>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</si>
  <si>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</si>
  <si>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</si>
  <si>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</si>
  <si>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</si>
  <si>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</si>
  <si>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</si>
  <si>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</si>
  <si>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</si>
  <si>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</si>
  <si>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</si>
  <si>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</si>
  <si>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</si>
  <si>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</si>
  <si>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</si>
  <si>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</si>
  <si>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</si>
  <si>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</si>
  <si>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</si>
  <si>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</si>
  <si>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</si>
  <si>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</si>
  <si>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</si>
  <si>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</si>
  <si>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</si>
  <si>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</si>
  <si>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</si>
  <si>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</si>
  <si>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</si>
  <si>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</si>
  <si>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</si>
  <si>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</si>
  <si>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</si>
  <si>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</si>
  <si>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</si>
  <si>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</si>
  <si>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</si>
  <si>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</si>
  <si>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</si>
  <si>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</si>
  <si>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</si>
  <si>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</si>
  <si>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</si>
  <si>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</si>
  <si>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</si>
  <si>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</si>
  <si>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</si>
  <si>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</si>
  <si>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</si>
  <si>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</si>
  <si>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</si>
  <si>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</si>
  <si>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</si>
  <si>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</si>
  <si>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</si>
  <si>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</si>
  <si>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</si>
  <si>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</si>
  <si>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</si>
  <si>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</si>
  <si>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</si>
  <si>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</si>
  <si>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</si>
  <si>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</si>
  <si>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</si>
  <si>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</si>
  <si>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</si>
  <si>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</si>
  <si>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</si>
  <si>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</si>
  <si>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</si>
  <si>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</si>
  <si>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</si>
  <si>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</si>
  <si>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</si>
  <si>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</si>
  <si>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</si>
  <si>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</si>
  <si>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</si>
  <si>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</si>
  <si>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</si>
  <si>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</si>
  <si>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</si>
  <si>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</si>
  <si>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</si>
  <si>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</si>
  <si>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</si>
  <si>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</si>
  <si>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</si>
  <si>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</si>
  <si>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</si>
  <si>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</si>
  <si>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</si>
  <si>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</si>
  <si>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</si>
  <si>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</si>
  <si>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</si>
  <si>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</si>
  <si>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</si>
  <si>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</si>
  <si>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</si>
  <si>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</si>
  <si>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</si>
  <si>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</si>
  <si>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</si>
  <si>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</si>
  <si>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</si>
  <si>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</si>
  <si>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</si>
  <si>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</si>
  <si>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</si>
  <si>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</si>
  <si>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</si>
  <si>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</si>
  <si>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</si>
  <si>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</si>
  <si>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</si>
  <si>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</si>
  <si>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</si>
  <si>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</si>
  <si>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</si>
  <si>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</si>
  <si>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</si>
  <si>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</si>
  <si>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</si>
  <si>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</si>
  <si>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</si>
  <si>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</si>
  <si>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</si>
  <si>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</si>
  <si>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</si>
  <si>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</si>
  <si>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</si>
  <si>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</si>
  <si>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</si>
  <si>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</si>
  <si>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</si>
  <si>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</si>
  <si>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</si>
  <si>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</si>
  <si>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</si>
  <si>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</si>
  <si>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</si>
  <si>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</si>
  <si>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</si>
  <si>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</si>
  <si>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</si>
  <si>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</si>
  <si>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</si>
  <si>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</si>
  <si>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</si>
  <si>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</si>
  <si>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</si>
  <si>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</si>
  <si>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</si>
  <si>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</si>
  <si>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</si>
  <si>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</si>
  <si>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</si>
  <si>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</si>
  <si>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</si>
  <si>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</si>
  <si>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</si>
  <si>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</si>
  <si>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</si>
  <si>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</si>
  <si>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</si>
  <si>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</si>
  <si>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</si>
  <si>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</si>
  <si>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</si>
  <si>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</si>
  <si>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</si>
  <si>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</si>
  <si>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</si>
  <si>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</si>
  <si>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</si>
  <si>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</si>
  <si>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</si>
  <si>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</si>
  <si>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</si>
  <si>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</si>
  <si>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</si>
  <si>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</si>
  <si>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</si>
  <si>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</si>
  <si>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</si>
  <si>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</si>
  <si>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</si>
  <si>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</si>
  <si>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</si>
  <si>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</si>
  <si>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</si>
  <si>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</si>
  <si>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</si>
  <si>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</si>
  <si>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</si>
  <si>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</si>
  <si>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</si>
  <si>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</si>
  <si>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</si>
  <si>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</si>
  <si>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</si>
  <si>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</si>
  <si>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</si>
  <si>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</si>
  <si>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</si>
  <si>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</si>
  <si>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</si>
  <si>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</si>
  <si>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</si>
  <si>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</si>
  <si>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</si>
  <si>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</si>
  <si>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</si>
  <si>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</si>
  <si>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</si>
  <si>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</si>
  <si>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</si>
  <si>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</si>
  <si>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</si>
  <si>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</si>
  <si>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</si>
  <si>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</si>
  <si>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</si>
  <si>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</si>
  <si>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</si>
  <si>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</si>
  <si>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</si>
  <si>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</si>
  <si>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</si>
  <si>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</si>
  <si>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</si>
  <si>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</si>
  <si>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</si>
  <si>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</si>
  <si>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</si>
  <si>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</si>
  <si>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</si>
  <si>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</si>
  <si>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</si>
  <si>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</si>
  <si>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</si>
  <si>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</si>
  <si>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</si>
  <si>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</si>
  <si>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</si>
  <si>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</si>
  <si>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</si>
  <si>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</si>
  <si>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</si>
  <si>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</si>
  <si>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</si>
  <si>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</si>
  <si>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</si>
  <si>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</si>
  <si>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</si>
  <si>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</si>
  <si>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</si>
  <si>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</si>
  <si>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</si>
  <si>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</si>
  <si>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</si>
  <si>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</si>
  <si>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Sever</t>
  </si>
  <si>
    <t>MČ Stred</t>
  </si>
  <si>
    <t>MČ Západ</t>
  </si>
  <si>
    <t>MČ Juh</t>
  </si>
  <si>
    <t>Realizácia mestských zásahov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</si>
  <si>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</si>
  <si>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</si>
  <si>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</si>
  <si>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</si>
  <si>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</si>
  <si>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</si>
  <si>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</si>
  <si>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</si>
  <si>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</si>
  <si>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</si>
  <si>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</si>
  <si>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</si>
  <si>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</si>
  <si>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</si>
  <si>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</si>
  <si>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</si>
  <si>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</si>
  <si>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</si>
  <si>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</si>
  <si>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</si>
  <si>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</si>
  <si>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</si>
  <si>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</si>
  <si>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</si>
  <si>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</si>
  <si>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</si>
  <si>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</si>
  <si>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</si>
  <si>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</si>
  <si>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</si>
  <si>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</si>
  <si>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</si>
  <si>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</si>
  <si>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</si>
  <si>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</si>
  <si>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</si>
  <si>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</si>
  <si>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</si>
  <si>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</si>
  <si>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MŠ Oriešek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</si>
  <si>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</si>
  <si>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</si>
  <si>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</si>
  <si>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</si>
  <si>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</si>
  <si>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</si>
  <si>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ŠJ Vedecko - náučné centrum FUTURUM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</si>
  <si>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</si>
  <si>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</si>
  <si>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</si>
  <si>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</si>
  <si>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</si>
  <si>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</si>
  <si>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</si>
  <si>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</si>
  <si>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</si>
  <si>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</si>
  <si>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</si>
  <si>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</si>
  <si>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</si>
  <si>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</si>
  <si>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</si>
  <si>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</si>
  <si>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</si>
  <si>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</si>
  <si>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</si>
  <si>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</si>
  <si>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</si>
  <si>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</si>
  <si>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</si>
  <si>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</si>
  <si>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</si>
  <si>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</si>
  <si>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</si>
  <si>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</si>
  <si>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</si>
  <si>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</si>
  <si>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Plot za budovou ZOS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</si>
  <si>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</si>
  <si>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</si>
  <si>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</si>
  <si>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</si>
  <si>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</si>
  <si>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</si>
  <si>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</si>
  <si>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</si>
  <si>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</si>
  <si>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</si>
  <si>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</si>
  <si>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</si>
  <si>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</si>
  <si>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</si>
  <si>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</si>
  <si>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</si>
  <si>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</si>
  <si>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</si>
  <si>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</si>
  <si>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</si>
  <si>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</si>
  <si>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</si>
  <si>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Trenčianska parkovacia spoločnosť</t>
  </si>
  <si>
    <t>MK J.Zemana</t>
  </si>
  <si>
    <t>Prechod pre chodcov Horné Orechové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</si>
  <si>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</si>
  <si>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</si>
  <si>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</si>
  <si>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</si>
  <si>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</si>
  <si>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</si>
  <si>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</si>
  <si>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</si>
  <si>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</si>
  <si>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</si>
  <si>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</si>
  <si>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</si>
  <si>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</si>
  <si>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</si>
  <si>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</si>
  <si>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</si>
  <si>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</si>
  <si>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</si>
  <si>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</si>
  <si>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</si>
  <si>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</si>
  <si>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</si>
  <si>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</si>
  <si>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</si>
  <si>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</si>
  <si>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</si>
  <si>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</si>
  <si>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</si>
  <si>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</si>
  <si>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</si>
  <si>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</si>
  <si>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</si>
  <si>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</si>
  <si>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Podchod pre peších pod Chynoranskou traťou - IA z r.2015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</si>
  <si>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</si>
  <si>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</si>
  <si>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</si>
  <si>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</si>
  <si>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</si>
  <si>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</si>
  <si>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</si>
  <si>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</si>
  <si>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</si>
  <si>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</si>
  <si>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</si>
  <si>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</si>
  <si>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Bežná údržba</t>
  </si>
  <si>
    <t>Zimná údržba</t>
  </si>
  <si>
    <t>Služby propagačné</t>
  </si>
  <si>
    <t>Služby - prezentácia mesta v médiach</t>
  </si>
  <si>
    <t>Kúpa azylového domu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</si>
  <si>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</si>
  <si>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</si>
  <si>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</si>
  <si>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</si>
  <si>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</si>
  <si>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rozšírenie, osvetlenie, úprava komunikácii cintorína Kubra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</si>
  <si>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</si>
  <si>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</si>
  <si>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</si>
  <si>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</si>
  <si>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</si>
  <si>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</si>
  <si>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Rekonštrukcia okien, 1 pavilón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</si>
  <si>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</si>
  <si>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</si>
  <si>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</si>
  <si>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</si>
  <si>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</si>
  <si>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</si>
  <si>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</si>
  <si>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</si>
  <si>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</si>
  <si>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</si>
  <si>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</si>
  <si>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</si>
  <si>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ZŠ Dlhé Hony - športový areál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</si>
  <si>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</si>
  <si>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</si>
  <si>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</si>
  <si>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</si>
  <si>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</si>
  <si>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</si>
  <si>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</si>
  <si>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</si>
  <si>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</si>
  <si>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</si>
  <si>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</si>
  <si>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</si>
  <si>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</si>
  <si>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</si>
  <si>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</si>
  <si>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</si>
  <si>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</si>
  <si>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</si>
  <si>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</si>
  <si>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</si>
  <si>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</si>
  <si>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</si>
  <si>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</si>
  <si>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</si>
  <si>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</si>
  <si>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</si>
  <si>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</si>
  <si>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</si>
  <si>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</si>
  <si>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>Z vratiek</t>
  </si>
  <si>
    <t>Dotácia pre deti v hmotnej núdzi</t>
  </si>
  <si>
    <t>Dotácia na Voľby do NR SR 2015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</si>
  <si>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</si>
  <si>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</si>
  <si>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</si>
  <si>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</si>
  <si>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</si>
  <si>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</si>
  <si>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Rezerva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</si>
  <si>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</si>
  <si>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</si>
  <si>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</si>
  <si>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</si>
  <si>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</si>
  <si>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</si>
  <si>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</si>
  <si>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</si>
  <si>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</si>
  <si>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</si>
  <si>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</si>
  <si>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</si>
  <si>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</si>
  <si>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</si>
  <si>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</si>
  <si>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</si>
  <si>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MŠ Kubranská</t>
  </si>
  <si>
    <t>MČ Sever - ZŠ Kubranská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</si>
  <si>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</si>
  <si>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</si>
  <si>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</si>
  <si>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</si>
  <si>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Opatová</t>
  </si>
  <si>
    <t>MČ Sever - Úprava verejného priestranstva v časti Pred Poľom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</si>
  <si>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</si>
  <si>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</si>
  <si>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</si>
  <si>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</si>
  <si>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</si>
  <si>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</si>
  <si>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</si>
  <si>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</si>
  <si>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</si>
  <si>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Upravený rozpočet na rok 2016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</si>
  <si>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</si>
  <si>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</si>
  <si>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</si>
  <si>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</si>
  <si>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Dotácia z Dobrovoľnej požiarnej ochrany</t>
  </si>
  <si>
    <t>Materiál - DHZ Opatová</t>
  </si>
  <si>
    <t>Budova vedľa Hviezdy - búracie práce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</si>
  <si>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</si>
  <si>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</si>
  <si>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</si>
  <si>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</si>
  <si>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</si>
  <si>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</si>
  <si>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</si>
  <si>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</si>
  <si>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</si>
  <si>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</si>
  <si>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</si>
  <si>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</si>
  <si>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Ul.M.Hricku - rekonštrukcia</t>
  </si>
  <si>
    <t>Napojenie ul.Opatovská na ul.Armádna pri VÚO</t>
  </si>
  <si>
    <t>Nevyčerpaná dotácia za rok 2015</t>
  </si>
  <si>
    <t>Nevyčerpaná dotácia za rok 2015 - nové moduly</t>
  </si>
  <si>
    <t>Zimný štadión - opláštenie + okná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</si>
  <si>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</si>
  <si>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</si>
  <si>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</si>
  <si>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</si>
  <si>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</si>
  <si>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</si>
  <si>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</si>
  <si>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</si>
  <si>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</si>
  <si>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</si>
  <si>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</si>
  <si>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</si>
  <si>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</si>
  <si>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</si>
  <si>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</si>
  <si>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</si>
  <si>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</si>
  <si>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</si>
  <si>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</si>
  <si>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</si>
  <si>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MČ Západ - komunikácie</t>
  </si>
  <si>
    <t>MK Karpatská</t>
  </si>
  <si>
    <t>MČ Sever - komunikácie</t>
  </si>
  <si>
    <t>MČ Juh - PD Jednosmerka Gen.Svobodu č.3-13</t>
  </si>
  <si>
    <t>PD - MK Šoltésovej</t>
  </si>
  <si>
    <t>MŠ Bl.Tarzícia  - dotácia na činnosť</t>
  </si>
  <si>
    <t xml:space="preserve">Podchod pre peších pod Chynoranskou traťou </t>
  </si>
  <si>
    <t>MČ Sever - MŠ Považská - 3 ks vchodových dverí</t>
  </si>
  <si>
    <t>Zimný štadión - rekonštrukcia</t>
  </si>
  <si>
    <t>MK SR - Projekt Súsošiena stlpe na Mierovom námestí</t>
  </si>
  <si>
    <t>Služby - projekt Súsošie na stĺpe na Mierovom námestí</t>
  </si>
  <si>
    <t>Služby - projekt Nápis na trenčianskej skale</t>
  </si>
  <si>
    <t>Dotácia SZĽH - materiálno-technický rozvoj športu</t>
  </si>
  <si>
    <t>PD - MK Olbrachtova</t>
  </si>
  <si>
    <t>Materiál - DHZ Záblatie</t>
  </si>
  <si>
    <t>MŠ sv.Andreja - Svorada a Benedikta - dotácia na činnosť</t>
  </si>
  <si>
    <t>ZUŠ - pódium</t>
  </si>
  <si>
    <t>Dokončenie novej letnej plavárne - projekt pripojenia plynu</t>
  </si>
  <si>
    <t>cudzí stravníci</t>
  </si>
  <si>
    <t>Réžia - cudzí stravníci</t>
  </si>
  <si>
    <t>réžia - zamestnanci</t>
  </si>
  <si>
    <t>Súťaže zo ŠR</t>
  </si>
  <si>
    <t>Podpora opatrovateľskej služby</t>
  </si>
  <si>
    <t>Sponzorské finančné dary</t>
  </si>
  <si>
    <t>PD - Križovatka pri Bille - CSS</t>
  </si>
  <si>
    <t>bežné transfery</t>
  </si>
  <si>
    <t>PD - Križovatka pod starým mostom a CSS - rekonštrukcia</t>
  </si>
  <si>
    <t>MŠ 2M</t>
  </si>
  <si>
    <t>Hmotná núdza</t>
  </si>
  <si>
    <t>hmotná núdza</t>
  </si>
  <si>
    <t>PD - rekonštrukcia el.vedenia v telocvični</t>
  </si>
  <si>
    <t>Hmotná  núdza</t>
  </si>
  <si>
    <t>PD - KS Hviezda - výmena silnoprúdových rozvodov a osvetlenia</t>
  </si>
  <si>
    <t>Revitalizácia plochy za budovou ZOS</t>
  </si>
  <si>
    <t>Cyklostojany</t>
  </si>
  <si>
    <t>Rozvojové programy na rekonštrukcie telocviční ZŠ</t>
  </si>
  <si>
    <t>rozvojový projekt rekonštrukcia telocvične</t>
  </si>
  <si>
    <t>Terasa s markizou v objekte ZpS</t>
  </si>
  <si>
    <t>MČ Sever - HK Dukla n.o. - dotácia na nákup prístrojov</t>
  </si>
  <si>
    <t>MČ Sever - MŠ Niva</t>
  </si>
  <si>
    <t>Mestský zásah Juh - pokreslenie schodov pri ZŠ Východná</t>
  </si>
  <si>
    <t>MČ Juh - rozšírenie rádiusu komunikácie J.Halašu č.14</t>
  </si>
  <si>
    <t>MČ Juh - rekonštrukcia chodníka od Južanky k MŠ Šmidkého</t>
  </si>
  <si>
    <t>MČ Juh - PD ZŠ Východná - športové ihrisko</t>
  </si>
  <si>
    <t>MČ Juh - ZŠ Východná - športové ihrisko</t>
  </si>
  <si>
    <t>MČ Juh - rekonštrukcia plavárne</t>
  </si>
  <si>
    <t>MČ Juh - ZŠ Novomeského - konvektomat</t>
  </si>
  <si>
    <t>MČ Juh - Detské ihrisko vnútroblok Halalovka - M.Bela</t>
  </si>
  <si>
    <t>MČ Juh/mestské zásahy - Workout a Seniori cvičisko v parku pod Južankou</t>
  </si>
  <si>
    <t>MČ Juh - nové vývesky VMČ</t>
  </si>
  <si>
    <t>Mestský zásah Juh - Lavičky v parku nad Južankou</t>
  </si>
  <si>
    <t>MČ Juh - Polopodzemné kontajnery ul.Šmidkého 5,7,9,11</t>
  </si>
  <si>
    <t xml:space="preserve">Mestský zásah Juh - Stena pri kostole </t>
  </si>
  <si>
    <t>KO Box Club Galanta - dotácia na podujatie Gentleman´s BOXing Night</t>
  </si>
  <si>
    <t>PD  - strecha + múr - IA z r.2015 (stavebné úpravy spojovacej chodby)</t>
  </si>
  <si>
    <t>Mestský zásah Stred - PD - úprava podchodu na Noviny pri Perle</t>
  </si>
  <si>
    <t>Mestský zásah Stred - úprava podchodu na Noviny pri Perle</t>
  </si>
  <si>
    <t>Mestský zásah Sever - úprava hrádze na Sihoti</t>
  </si>
  <si>
    <t>Mestský zásah Sever - 3 informačné - turist.tabule v Opatovej</t>
  </si>
  <si>
    <t>Mestský zásah Juh -  lavičky na ul.M.Bela</t>
  </si>
  <si>
    <t>Mestský zásah Sever - úprava priestoru námestia v Kubrej</t>
  </si>
  <si>
    <t>Mestský zásah Sever - Ostrovček pri "Milexe"</t>
  </si>
  <si>
    <t>Mestský zásah Sever - Úprava priestoru po zberných nádobách na Žilinskej 8</t>
  </si>
  <si>
    <t>Mestský zásah Západ - Kyselka Horné Orechové</t>
  </si>
  <si>
    <t>Mestský zásah Západ - zelené plochy Na kamenci a Žabinská</t>
  </si>
  <si>
    <t>MČ Západ - ul.Poľnohospodárska</t>
  </si>
  <si>
    <t>MČ Západ - ul. Okružná</t>
  </si>
  <si>
    <t>MČ Západ - Kyselky (minerálne pramene) Záblatie, Zlatovce, Orechové</t>
  </si>
  <si>
    <t>MČ Západ - Cintoríny Istebník - katolícky a evanjelický - prístrešky</t>
  </si>
  <si>
    <t>MČ západ -trávnatá plocha pri FŠ - lapač lôpt</t>
  </si>
  <si>
    <t>MČ západ -opravy a výmena mobiliáru detských ihrísk</t>
  </si>
  <si>
    <t>MČ Západ - MŠ Medňanského - dopravné ihrisko</t>
  </si>
  <si>
    <t>Stavebné úpravy spojovacej chodby</t>
  </si>
  <si>
    <t>Prevádzka parkovísk - SMS parking</t>
  </si>
  <si>
    <t>Prevádzka parkovísk - mobilné platby</t>
  </si>
  <si>
    <t>MČ Sever - MŠ Opatovská - výsadba tují - sadové úpravy</t>
  </si>
  <si>
    <t>MČ Sever - MŠ Švermova - vstupné dvere</t>
  </si>
  <si>
    <t>MČ Sever - workoutové ihrisko pri zimnom štadióne</t>
  </si>
  <si>
    <t>MČ Sever - Futbalový štadion Opatová</t>
  </si>
  <si>
    <t xml:space="preserve">Rozvojové projekty na rekonštrukcie telocviční ZŠ </t>
  </si>
  <si>
    <t>ZŠ Kubranská - vybavenie telocvične</t>
  </si>
  <si>
    <t>vybavenie telocvične</t>
  </si>
  <si>
    <t>vrátenie finančných prostriedkov za ľadovú plochu</t>
  </si>
  <si>
    <t>Spolok Dychová hudba Textilanka - činnosť</t>
  </si>
  <si>
    <t>Slimáčik o.z. - údržba priestorov</t>
  </si>
  <si>
    <t>Hádzanársky klub Štart o.z. - účasť družstva v česko-slovenskej súťaži žien WHIL</t>
  </si>
  <si>
    <t>LampArt - činnosť</t>
  </si>
  <si>
    <t>PD - Priechody pre chodcov: osvetlenie</t>
  </si>
  <si>
    <t>Chodník Psotného (z toho VMČ Západ 5.980 €)</t>
  </si>
  <si>
    <t>Grant od SPP</t>
  </si>
  <si>
    <t>Komplexná modernizácia verejného osvetlenia v meste Trenčín</t>
  </si>
  <si>
    <t>Príjmy z podnikania</t>
  </si>
  <si>
    <t>Dividendy</t>
  </si>
  <si>
    <t>Stavebná údržba</t>
  </si>
  <si>
    <t>Parkovacia politika - prenájom parkovacích automatov</t>
  </si>
  <si>
    <t>0461</t>
  </si>
  <si>
    <t>Parkovacia politika - služby (rampy)</t>
  </si>
  <si>
    <t>Parkovacia politika - služby (automaty)</t>
  </si>
  <si>
    <t>Parkovacia politika - kúpa 2 ks rampových systémov</t>
  </si>
  <si>
    <t>Rekonštrukcia sociálnych zariadení</t>
  </si>
  <si>
    <t>Údržba komunikácií - odburinenie</t>
  </si>
  <si>
    <t>Rekonštrukcia MK Hricku a časti Kubranskej pod kostolom</t>
  </si>
  <si>
    <t>Clover Media s.r.o. - Materiálno-technické zabezpečenie Happyband Orchestra</t>
  </si>
  <si>
    <t>Fond na podporu umenia - dotácia na Festival pri trenčianskej bráne</t>
  </si>
  <si>
    <t>Fond na podporu umenia - dotácia na projekt Nesiem Vám novinu</t>
  </si>
  <si>
    <t>Nesiem Vám novinu</t>
  </si>
  <si>
    <t>Súvislé obnovy povrchov miestnych komunikácií</t>
  </si>
  <si>
    <t>PD -elektroinštalácia telocvične</t>
  </si>
  <si>
    <t>PD - elektroinštalácia telocvične</t>
  </si>
  <si>
    <t>MŠ Bl.Tarzícia - dotácia na činnosť</t>
  </si>
  <si>
    <t>Rímskokatolícka Cirkev, farnosť Trenčín - dotácia na projekt "V škôlke zdravo a hravo"</t>
  </si>
  <si>
    <t>Slimáčik o.z.</t>
  </si>
  <si>
    <t>Škodové udalosti vo VZ</t>
  </si>
  <si>
    <t>PD Rekonštrukcia mestského opevnenia</t>
  </si>
  <si>
    <t>Realizácia záhradného altánku</t>
  </si>
  <si>
    <t>Realizácia chodníka v záhrade ZpS</t>
  </si>
  <si>
    <t>Centrum pre rodinu, o.z. - dotácia na činnosť</t>
  </si>
  <si>
    <t>PD - úprava parkoviska na Opatovskej ulici pre MHD</t>
  </si>
  <si>
    <t>Spomienka na 17.november 1989</t>
  </si>
  <si>
    <t xml:space="preserve">Spomienková svätá omša patróna mesta sv.Františka Xaverského </t>
  </si>
  <si>
    <t>Silvester</t>
  </si>
  <si>
    <t>MČ Sever - ul.Potočná - rekonštrukcia chodníkov a oporného múru</t>
  </si>
  <si>
    <t>MČ Sever - PD Komunikácia Volavé</t>
  </si>
  <si>
    <t>MČ Sever - Chodníky na Sihoti - realizácia</t>
  </si>
  <si>
    <t>PD - Prekládka trafostanice pri gréckokatolíckom kostole</t>
  </si>
  <si>
    <t>Rutinná a štandardná údržba - letná plaváreň</t>
  </si>
  <si>
    <t>Bunky Kasárenská - sťahovanie</t>
  </si>
  <si>
    <t>Rehoľa piaristov na Slovensku - dotácia na údržbu kultúrnej pamiatky</t>
  </si>
  <si>
    <t>Recyklačný fond</t>
  </si>
  <si>
    <t>PD - budova MsÚ - zníženie energetickej náročnosti budovy</t>
  </si>
  <si>
    <t>PD - budova MHSL - zníženie energetickej náročnosti budovy</t>
  </si>
  <si>
    <t>Kosačka/záhradný traktor, umývací stroj</t>
  </si>
  <si>
    <t>Rekonštrukcia vodoinštalácie</t>
  </si>
  <si>
    <t>PD - zníženie energetickej náročnosti budovy</t>
  </si>
  <si>
    <t xml:space="preserve">PD - rekonštrukcia elektroinštalácie </t>
  </si>
  <si>
    <t xml:space="preserve">Chodník ul.Pred Poľom </t>
  </si>
  <si>
    <t>Návrh na zmenu Programového rozpočtu Mesta Trenčín na rok 2016</t>
  </si>
  <si>
    <t>Rozpočet 2016</t>
  </si>
  <si>
    <t>Návrh na zmenu +/-</t>
  </si>
  <si>
    <t>Upravený rozpočet 2016</t>
  </si>
  <si>
    <t>Upravený bežný rozpočet 2016</t>
  </si>
  <si>
    <t>Upravený kapitálový rozpočet 2016</t>
  </si>
  <si>
    <t>Bežný rozpočet 2016</t>
  </si>
  <si>
    <t>Kapitálový rozpočet 2016</t>
  </si>
  <si>
    <t xml:space="preserve">Rozpočet 2016 </t>
  </si>
  <si>
    <t>Od ostatných subjektov verejnej správy</t>
  </si>
  <si>
    <t>Súťaže</t>
  </si>
  <si>
    <t>Návrh na zmenu            +/-</t>
  </si>
  <si>
    <t>Sublicencia programu MP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</si>
</sst>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8"/>
      <color rgb="FFC0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7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40" fillId="0" borderId="0"/>
    <xf numFmtId="0" fontId="40" fillId="0" borderId="0"/>
  </cellStyleXfs>
  <cellXfs count="284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1" fillId="4" borderId="2" xfId="0" applyFont="1" applyFill="1" applyBorder="1"/>
    <xf numFmtId="0" fontId="3" fillId="0" borderId="0" xfId="0" applyFont="1"/>
    <xf numFmtId="0" fontId="22" fillId="0" borderId="2" xfId="0" applyFont="1" applyBorder="1" applyAlignment="1"/>
    <xf numFmtId="0" fontId="23" fillId="0" borderId="0" xfId="0" applyFo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4" fillId="6" borderId="3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9" fillId="6" borderId="5" xfId="0" applyFont="1" applyFill="1" applyBorder="1" applyAlignment="1"/>
    <xf numFmtId="0" fontId="29" fillId="7" borderId="2" xfId="0" applyFont="1" applyFill="1" applyBorder="1"/>
    <xf numFmtId="0" fontId="0" fillId="0" borderId="0" xfId="0" applyAlignment="1">
      <alignment horizontal="center"/>
    </xf>
    <xf numFmtId="0" fontId="41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9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4" fillId="6" borderId="3" xfId="0" applyNumberFormat="1" applyFont="1" applyFill="1" applyBorder="1"/>
    <xf numFmtId="49" fontId="30" fillId="0" borderId="2" xfId="0" applyNumberFormat="1" applyFont="1" applyBorder="1"/>
    <xf numFmtId="0" fontId="30" fillId="0" borderId="2" xfId="0" applyFont="1" applyFill="1" applyBorder="1"/>
    <xf numFmtId="0" fontId="30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9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30" fillId="0" borderId="7" xfId="0" applyFont="1" applyFill="1" applyBorder="1" applyAlignment="1">
      <alignment horizontal="center"/>
    </xf>
    <xf numFmtId="0" fontId="31" fillId="0" borderId="2" xfId="0" applyFont="1" applyBorder="1" applyAlignment="1"/>
    <xf numFmtId="0" fontId="32" fillId="4" borderId="2" xfId="0" applyFont="1" applyFill="1" applyBorder="1"/>
    <xf numFmtId="3" fontId="20" fillId="13" borderId="2" xfId="0" applyNumberFormat="1" applyFont="1" applyFill="1" applyBorder="1" applyAlignment="1">
      <alignment horizontal="center" vertical="center" wrapText="1"/>
    </xf>
    <xf numFmtId="3" fontId="32" fillId="4" borderId="2" xfId="0" applyNumberFormat="1" applyFont="1" applyFill="1" applyBorder="1"/>
    <xf numFmtId="3" fontId="32" fillId="4" borderId="4" xfId="0" applyNumberFormat="1" applyFont="1" applyFill="1" applyBorder="1"/>
    <xf numFmtId="3" fontId="16" fillId="8" borderId="2" xfId="0" applyNumberFormat="1" applyFont="1" applyFill="1" applyBorder="1" applyAlignment="1"/>
    <xf numFmtId="3" fontId="27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9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9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31" fillId="0" borderId="2" xfId="0" applyNumberFormat="1" applyFont="1" applyFill="1" applyBorder="1" applyAlignment="1"/>
    <xf numFmtId="0" fontId="7" fillId="0" borderId="8" xfId="0" applyFont="1" applyBorder="1"/>
    <xf numFmtId="0" fontId="30" fillId="0" borderId="4" xfId="0" applyFont="1" applyBorder="1"/>
    <xf numFmtId="49" fontId="30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4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1" fillId="0" borderId="9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6" fillId="2" borderId="3" xfId="0" applyNumberFormat="1" applyFont="1" applyFill="1" applyBorder="1" applyAlignment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1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23" fillId="0" borderId="0" xfId="0" applyFont="1" applyFill="1"/>
    <xf numFmtId="0" fontId="34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4" fillId="14" borderId="11" xfId="0" applyFont="1" applyFill="1" applyBorder="1" applyAlignment="1">
      <alignment wrapText="1"/>
    </xf>
    <xf numFmtId="0" fontId="42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8" fillId="16" borderId="2" xfId="0" applyFont="1" applyFill="1" applyBorder="1"/>
    <xf numFmtId="0" fontId="38" fillId="0" borderId="2" xfId="0" applyFont="1" applyBorder="1"/>
    <xf numFmtId="0" fontId="38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29" fillId="19" borderId="2" xfId="0" applyFont="1" applyFill="1" applyBorder="1"/>
    <xf numFmtId="0" fontId="7" fillId="0" borderId="2" xfId="0" applyFont="1" applyBorder="1" applyAlignment="1">
      <alignment wrapText="1"/>
    </xf>
    <xf numFmtId="0" fontId="41" fillId="0" borderId="0" xfId="0" applyFont="1" applyBorder="1" applyAlignment="1">
      <alignment vertical="center"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0" fontId="30" fillId="20" borderId="4" xfId="0" applyFont="1" applyFill="1" applyBorder="1"/>
    <xf numFmtId="3" fontId="7" fillId="20" borderId="2" xfId="0" applyNumberFormat="1" applyFont="1" applyFill="1" applyBorder="1"/>
    <xf numFmtId="0" fontId="7" fillId="20" borderId="2" xfId="0" applyFont="1" applyFill="1" applyBorder="1"/>
    <xf numFmtId="0" fontId="34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11" fillId="20" borderId="2" xfId="0" applyFont="1" applyFill="1" applyBorder="1"/>
    <xf numFmtId="3" fontId="11" fillId="20" borderId="2" xfId="0" applyNumberFormat="1" applyFont="1" applyFill="1" applyBorder="1"/>
    <xf numFmtId="0" fontId="43" fillId="0" borderId="0" xfId="0" applyFont="1" applyBorder="1" applyAlignment="1">
      <alignment vertical="center"/>
    </xf>
    <xf numFmtId="0" fontId="7" fillId="20" borderId="2" xfId="0" applyFont="1" applyFill="1" applyBorder="1" applyAlignment="1">
      <alignment vertical="center" wrapText="1"/>
    </xf>
    <xf numFmtId="0" fontId="11" fillId="14" borderId="4" xfId="0" applyFont="1" applyFill="1" applyBorder="1"/>
    <xf numFmtId="0" fontId="30" fillId="21" borderId="4" xfId="0" applyFont="1" applyFill="1" applyBorder="1"/>
    <xf numFmtId="3" fontId="7" fillId="21" borderId="2" xfId="0" applyNumberFormat="1" applyFont="1" applyFill="1" applyBorder="1"/>
    <xf numFmtId="0" fontId="30" fillId="22" borderId="4" xfId="0" applyFont="1" applyFill="1" applyBorder="1"/>
    <xf numFmtId="3" fontId="7" fillId="22" borderId="2" xfId="0" applyNumberFormat="1" applyFont="1" applyFill="1" applyBorder="1"/>
    <xf numFmtId="0" fontId="34" fillId="22" borderId="2" xfId="0" applyFont="1" applyFill="1" applyBorder="1"/>
    <xf numFmtId="0" fontId="7" fillId="22" borderId="4" xfId="0" applyFont="1" applyFill="1" applyBorder="1" applyAlignment="1">
      <alignment vertical="center" wrapText="1"/>
    </xf>
    <xf numFmtId="3" fontId="7" fillId="22" borderId="2" xfId="0" applyNumberFormat="1" applyFont="1" applyFill="1" applyBorder="1" applyAlignment="1">
      <alignment vertical="center"/>
    </xf>
    <xf numFmtId="0" fontId="30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4" fillId="21" borderId="2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7" fillId="21" borderId="2" xfId="0" applyFont="1" applyFill="1" applyBorder="1" applyAlignment="1">
      <alignment wrapText="1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4" fillId="22" borderId="2" xfId="0" applyFont="1" applyFill="1" applyBorder="1" applyAlignment="1">
      <alignment vertical="center" wrapText="1"/>
    </xf>
    <xf numFmtId="0" fontId="7" fillId="21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vertical="center"/>
    </xf>
    <xf numFmtId="0" fontId="29" fillId="7" borderId="2" xfId="0" applyFont="1" applyFill="1" applyBorder="1" applyAlignment="1">
      <alignment horizontal="center" vertical="center"/>
    </xf>
    <xf numFmtId="3" fontId="29" fillId="7" borderId="2" xfId="0" applyNumberFormat="1" applyFont="1" applyFill="1" applyBorder="1" applyAlignment="1">
      <alignment vertical="center"/>
    </xf>
    <xf numFmtId="3" fontId="3" fillId="0" borderId="0" xfId="0" applyNumberFormat="1" applyFont="1"/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34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5" xfId="0" applyFont="1" applyBorder="1"/>
    <xf numFmtId="3" fontId="7" fillId="0" borderId="25" xfId="0" applyNumberFormat="1" applyFont="1" applyBorder="1"/>
    <xf numFmtId="0" fontId="10" fillId="0" borderId="1" xfId="0" applyFont="1" applyBorder="1"/>
    <xf numFmtId="0" fontId="11" fillId="0" borderId="10" xfId="0" applyFont="1" applyFill="1" applyBorder="1"/>
    <xf numFmtId="0" fontId="11" fillId="0" borderId="4" xfId="0" applyFont="1" applyFill="1" applyBorder="1"/>
    <xf numFmtId="0" fontId="7" fillId="17" borderId="4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49" fontId="7" fillId="20" borderId="2" xfId="0" applyNumberFormat="1" applyFont="1" applyFill="1" applyBorder="1" applyAlignment="1">
      <alignment horizontal="center"/>
    </xf>
    <xf numFmtId="0" fontId="7" fillId="20" borderId="2" xfId="0" applyFont="1" applyFill="1" applyBorder="1" applyAlignment="1">
      <alignment wrapText="1"/>
    </xf>
    <xf numFmtId="49" fontId="7" fillId="20" borderId="2" xfId="0" applyNumberFormat="1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 wrapText="1"/>
    </xf>
    <xf numFmtId="0" fontId="7" fillId="14" borderId="2" xfId="0" applyFont="1" applyFill="1" applyBorder="1" applyAlignment="1">
      <alignment wrapText="1"/>
    </xf>
    <xf numFmtId="49" fontId="7" fillId="17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7" fillId="22" borderId="2" xfId="0" applyFont="1" applyFill="1" applyBorder="1"/>
    <xf numFmtId="3" fontId="10" fillId="0" borderId="1" xfId="0" applyNumberFormat="1" applyFont="1" applyBorder="1"/>
    <xf numFmtId="49" fontId="7" fillId="0" borderId="4" xfId="0" applyNumberFormat="1" applyFont="1" applyFill="1" applyBorder="1" applyAlignment="1">
      <alignment horizontal="center"/>
    </xf>
    <xf numFmtId="0" fontId="30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0" fontId="27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3" xfId="0" applyNumberFormat="1" applyFont="1" applyFill="1" applyBorder="1" applyAlignment="1">
      <alignment horizontal="left"/>
    </xf>
    <xf numFmtId="0" fontId="10" fillId="14" borderId="2" xfId="0" applyFont="1" applyFill="1" applyBorder="1"/>
    <xf numFmtId="3" fontId="10" fillId="14" borderId="2" xfId="0" applyNumberFormat="1" applyFont="1" applyFill="1" applyBorder="1"/>
    <xf numFmtId="3" fontId="14" fillId="14" borderId="1" xfId="0" applyNumberFormat="1" applyFont="1" applyFill="1" applyBorder="1" applyAlignment="1">
      <alignment horizontal="center" vertical="center" wrapText="1"/>
    </xf>
    <xf numFmtId="3" fontId="14" fillId="14" borderId="19" xfId="0" applyNumberFormat="1" applyFont="1" applyFill="1" applyBorder="1" applyAlignment="1">
      <alignment horizontal="center" vertical="center" wrapText="1"/>
    </xf>
    <xf numFmtId="3" fontId="14" fillId="14" borderId="18" xfId="0" applyNumberFormat="1" applyFont="1" applyFill="1" applyBorder="1" applyAlignment="1">
      <alignment horizontal="center" vertical="center" wrapText="1"/>
    </xf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3" fontId="29" fillId="14" borderId="2" xfId="0" applyNumberFormat="1" applyFont="1" applyFill="1" applyBorder="1"/>
    <xf numFmtId="3" fontId="0" fillId="14" borderId="0" xfId="0" applyNumberFormat="1" applyFill="1"/>
    <xf numFmtId="3" fontId="11" fillId="14" borderId="0" xfId="0" applyNumberFormat="1" applyFont="1" applyFill="1" applyBorder="1"/>
    <xf numFmtId="3" fontId="11" fillId="14" borderId="2" xfId="0" applyNumberFormat="1" applyFont="1" applyFill="1" applyBorder="1" applyAlignment="1">
      <alignment vertical="center"/>
    </xf>
    <xf numFmtId="3" fontId="29" fillId="14" borderId="2" xfId="0" applyNumberFormat="1" applyFont="1" applyFill="1" applyBorder="1" applyAlignment="1">
      <alignment vertical="center"/>
    </xf>
    <xf numFmtId="49" fontId="12" fillId="14" borderId="15" xfId="0" applyNumberFormat="1" applyFont="1" applyFill="1" applyBorder="1" applyAlignment="1">
      <alignment horizontal="center"/>
    </xf>
    <xf numFmtId="3" fontId="20" fillId="13" borderId="12" xfId="0" applyNumberFormat="1" applyFont="1" applyFill="1" applyBorder="1" applyAlignment="1">
      <alignment horizontal="center" vertical="center" wrapText="1"/>
    </xf>
    <xf numFmtId="3" fontId="32" fillId="4" borderId="12" xfId="0" applyNumberFormat="1" applyFont="1" applyFill="1" applyBorder="1"/>
    <xf numFmtId="3" fontId="31" fillId="0" borderId="12" xfId="0" applyNumberFormat="1" applyFont="1" applyFill="1" applyBorder="1" applyAlignment="1"/>
    <xf numFmtId="3" fontId="0" fillId="18" borderId="10" xfId="0" applyNumberFormat="1" applyFill="1" applyBorder="1"/>
    <xf numFmtId="0" fontId="0" fillId="18" borderId="4" xfId="0" applyFill="1" applyBorder="1"/>
    <xf numFmtId="0" fontId="1" fillId="0" borderId="2" xfId="0" applyFont="1" applyBorder="1"/>
    <xf numFmtId="3" fontId="1" fillId="0" borderId="2" xfId="0" applyNumberFormat="1" applyFont="1" applyBorder="1"/>
    <xf numFmtId="0" fontId="7" fillId="0" borderId="0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7" xfId="0" applyNumberFormat="1" applyFont="1" applyFill="1" applyBorder="1" applyAlignment="1">
      <alignment horizontal="center" vertical="center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8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8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3" fontId="25" fillId="13" borderId="1" xfId="0" applyNumberFormat="1" applyFont="1" applyFill="1" applyBorder="1" applyAlignment="1">
      <alignment horizontal="center" vertical="center" wrapText="1"/>
    </xf>
    <xf numFmtId="3" fontId="25" fillId="13" borderId="19" xfId="0" applyNumberFormat="1" applyFont="1" applyFill="1" applyBorder="1" applyAlignment="1">
      <alignment horizontal="center" vertical="center" wrapText="1"/>
    </xf>
    <xf numFmtId="3" fontId="25" fillId="13" borderId="18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wrapText="1"/>
    </xf>
    <xf numFmtId="0" fontId="18" fillId="4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5" fillId="0" borderId="0" xfId="0" applyFont="1" applyFill="1" applyBorder="1" applyAlignment="1"/>
    <xf numFmtId="0" fontId="0" fillId="0" borderId="0" xfId="0" applyAlignment="1"/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9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1" xfId="0" applyFont="1" applyFill="1" applyBorder="1" applyAlignment="1">
      <alignment horizontal="center" vertical="center" textRotation="180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49" fontId="12" fillId="12" borderId="14" xfId="0" applyNumberFormat="1" applyFont="1" applyFill="1" applyBorder="1" applyAlignment="1">
      <alignment horizontal="center"/>
    </xf>
    <xf numFmtId="49" fontId="12" fillId="12" borderId="15" xfId="0" applyNumberFormat="1" applyFont="1" applyFill="1" applyBorder="1" applyAlignment="1">
      <alignment horizontal="center"/>
    </xf>
    <xf numFmtId="49" fontId="12" fillId="12" borderId="16" xfId="0" applyNumberFormat="1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3" borderId="8" xfId="0" applyFont="1" applyFill="1" applyBorder="1" applyAlignment="1"/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0" fontId="44" fillId="14" borderId="0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2" xfId="0" applyNumberFormat="1" applyFont="1" applyFill="1" applyBorder="1" applyAlignment="1">
      <alignment horizontal="left"/>
    </xf>
    <xf numFmtId="3" fontId="28" fillId="2" borderId="23" xfId="0" applyNumberFormat="1" applyFont="1" applyFill="1" applyBorder="1" applyAlignment="1">
      <alignment horizontal="left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M452"/>
  <sheetViews>
    <sheetView tabSelected="1" zoomScale="90" zoomScaleNormal="90" workbookViewId="0"/>
  </sheetViews>
  <sheetFormatPr defaultRowHeight="12.75" x14ac:dyDescent="0.2"/>
  <cols>
    <col min="1" max="1" width="2.7109375" style="20" customWidth="1"/>
    <col min="2" max="2" width="4" style="19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21" customWidth="1"/>
    <col min="9" max="9" width="13.85546875" customWidth="1"/>
    <col min="10" max="10" width="14.85546875" customWidth="1"/>
    <col min="12" max="12" width="12.42578125" customWidth="1"/>
    <col min="13" max="13" width="11" bestFit="1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40" t="s">
        <v>771</v>
      </c>
      <c r="C3" s="240"/>
      <c r="D3" s="240"/>
      <c r="E3" s="240"/>
      <c r="F3" s="240"/>
      <c r="G3" s="240"/>
      <c r="H3" s="240"/>
      <c r="I3" s="240"/>
      <c r="J3" s="240"/>
    </row>
    <row r="4" spans="1:10" ht="20.25" customHeight="1" x14ac:dyDescent="0.2">
      <c r="B4" s="223" t="s">
        <v>285</v>
      </c>
      <c r="C4" s="224"/>
      <c r="D4" s="224"/>
      <c r="E4" s="224"/>
      <c r="F4" s="224"/>
      <c r="G4" s="225"/>
      <c r="H4" s="241" t="s">
        <v>772</v>
      </c>
      <c r="I4" s="241" t="s">
        <v>773</v>
      </c>
      <c r="J4" s="241" t="s">
        <v>774</v>
      </c>
    </row>
    <row r="5" spans="1:10" ht="15" customHeight="1" x14ac:dyDescent="0.2">
      <c r="B5" s="226"/>
      <c r="C5" s="227"/>
      <c r="D5" s="227"/>
      <c r="E5" s="227"/>
      <c r="F5" s="227"/>
      <c r="G5" s="228"/>
      <c r="H5" s="242"/>
      <c r="I5" s="242"/>
      <c r="J5" s="242"/>
    </row>
    <row r="6" spans="1:10" ht="12.75" customHeight="1" x14ac:dyDescent="0.2">
      <c r="B6" s="229" t="s">
        <v>112</v>
      </c>
      <c r="C6" s="231" t="s">
        <v>114</v>
      </c>
      <c r="D6" s="233" t="s">
        <v>115</v>
      </c>
      <c r="E6" s="233" t="s">
        <v>117</v>
      </c>
      <c r="F6" s="233" t="s">
        <v>118</v>
      </c>
      <c r="G6" s="238" t="s">
        <v>116</v>
      </c>
      <c r="H6" s="242"/>
      <c r="I6" s="242"/>
      <c r="J6" s="242"/>
    </row>
    <row r="7" spans="1:10" ht="13.5" customHeight="1" thickBot="1" x14ac:dyDescent="0.25">
      <c r="A7" s="222"/>
      <c r="B7" s="230"/>
      <c r="C7" s="232"/>
      <c r="D7" s="234"/>
      <c r="E7" s="234"/>
      <c r="F7" s="234"/>
      <c r="G7" s="239"/>
      <c r="H7" s="243"/>
      <c r="I7" s="243"/>
      <c r="J7" s="243"/>
    </row>
    <row r="8" spans="1:10" ht="17.25" thickTop="1" thickBot="1" x14ac:dyDescent="0.3">
      <c r="A8" s="222"/>
      <c r="B8" s="39">
        <v>1</v>
      </c>
      <c r="C8" s="16">
        <v>100</v>
      </c>
      <c r="D8" s="16"/>
      <c r="E8" s="16"/>
      <c r="F8" s="16"/>
      <c r="G8" s="16" t="s">
        <v>43</v>
      </c>
      <c r="H8" s="22">
        <f>H9</f>
        <v>23369634</v>
      </c>
      <c r="I8" s="22">
        <f t="shared" ref="I8" si="0">I9</f>
        <v>0</v>
      </c>
      <c r="J8" s="22">
        <f>H8+I8</f>
        <v>23369634</v>
      </c>
    </row>
    <row r="9" spans="1:10" ht="15.75" thickBot="1" x14ac:dyDescent="0.3">
      <c r="A9" s="222"/>
      <c r="B9" s="32">
        <f>B8+1</f>
        <v>2</v>
      </c>
      <c r="C9" s="35"/>
      <c r="D9" s="17"/>
      <c r="E9" s="17"/>
      <c r="F9" s="17"/>
      <c r="G9" s="17" t="s">
        <v>282</v>
      </c>
      <c r="H9" s="23">
        <f>H18+H13+H10</f>
        <v>23369634</v>
      </c>
      <c r="I9" s="23">
        <f t="shared" ref="I9" si="1">I18+I13+I10</f>
        <v>0</v>
      </c>
      <c r="J9" s="23">
        <f t="shared" ref="J9:J72" si="2">H9+I9</f>
        <v>23369634</v>
      </c>
    </row>
    <row r="10" spans="1:10" x14ac:dyDescent="0.2">
      <c r="A10" s="222"/>
      <c r="B10" s="32">
        <f>B9+1</f>
        <v>3</v>
      </c>
      <c r="C10" s="36">
        <v>110</v>
      </c>
      <c r="D10" s="10"/>
      <c r="E10" s="10"/>
      <c r="F10" s="10"/>
      <c r="G10" s="10" t="s">
        <v>44</v>
      </c>
      <c r="H10" s="24">
        <f>H11</f>
        <v>15333634</v>
      </c>
      <c r="I10" s="24">
        <f t="shared" ref="I10:I11" si="3">I11</f>
        <v>0</v>
      </c>
      <c r="J10" s="24">
        <f t="shared" si="2"/>
        <v>15333634</v>
      </c>
    </row>
    <row r="11" spans="1:10" x14ac:dyDescent="0.2">
      <c r="A11" s="222"/>
      <c r="B11" s="32">
        <f t="shared" ref="B11:B97" si="4">B10+1</f>
        <v>4</v>
      </c>
      <c r="C11" s="37"/>
      <c r="D11" s="3">
        <v>111</v>
      </c>
      <c r="E11" s="3"/>
      <c r="F11" s="3"/>
      <c r="G11" s="3" t="s">
        <v>45</v>
      </c>
      <c r="H11" s="25">
        <f>H12</f>
        <v>15333634</v>
      </c>
      <c r="I11" s="25">
        <f t="shared" si="3"/>
        <v>0</v>
      </c>
      <c r="J11" s="25">
        <f t="shared" si="2"/>
        <v>15333634</v>
      </c>
    </row>
    <row r="12" spans="1:10" x14ac:dyDescent="0.2">
      <c r="A12" s="222"/>
      <c r="B12" s="32">
        <f t="shared" si="4"/>
        <v>5</v>
      </c>
      <c r="C12" s="38"/>
      <c r="D12" s="4"/>
      <c r="E12" s="4">
        <v>111003</v>
      </c>
      <c r="F12" s="4"/>
      <c r="G12" s="4" t="s">
        <v>42</v>
      </c>
      <c r="H12" s="26">
        <f>15150000+102328+55306+26000</f>
        <v>15333634</v>
      </c>
      <c r="I12" s="26"/>
      <c r="J12" s="26">
        <f t="shared" si="2"/>
        <v>15333634</v>
      </c>
    </row>
    <row r="13" spans="1:10" x14ac:dyDescent="0.2">
      <c r="A13" s="222"/>
      <c r="B13" s="32">
        <f t="shared" si="4"/>
        <v>6</v>
      </c>
      <c r="C13" s="10">
        <v>120</v>
      </c>
      <c r="D13" s="10"/>
      <c r="E13" s="10"/>
      <c r="F13" s="10"/>
      <c r="G13" s="10" t="s">
        <v>47</v>
      </c>
      <c r="H13" s="24">
        <f>H14</f>
        <v>5450000</v>
      </c>
      <c r="I13" s="24">
        <f t="shared" ref="I13" si="5">I14</f>
        <v>0</v>
      </c>
      <c r="J13" s="24">
        <f t="shared" si="2"/>
        <v>5450000</v>
      </c>
    </row>
    <row r="14" spans="1:10" x14ac:dyDescent="0.2">
      <c r="A14" s="222"/>
      <c r="B14" s="32">
        <f t="shared" si="4"/>
        <v>7</v>
      </c>
      <c r="C14" s="3"/>
      <c r="D14" s="3">
        <v>121</v>
      </c>
      <c r="E14" s="3"/>
      <c r="F14" s="3"/>
      <c r="G14" s="3" t="s">
        <v>48</v>
      </c>
      <c r="H14" s="25">
        <f>H17+H16+H15</f>
        <v>5450000</v>
      </c>
      <c r="I14" s="25">
        <f t="shared" ref="I14" si="6">I17+I16+I15</f>
        <v>0</v>
      </c>
      <c r="J14" s="25">
        <f t="shared" si="2"/>
        <v>5450000</v>
      </c>
    </row>
    <row r="15" spans="1:10" x14ac:dyDescent="0.2">
      <c r="A15" s="222"/>
      <c r="B15" s="32">
        <f t="shared" si="4"/>
        <v>8</v>
      </c>
      <c r="C15" s="4"/>
      <c r="D15" s="4"/>
      <c r="E15" s="4">
        <v>121001</v>
      </c>
      <c r="F15" s="4"/>
      <c r="G15" s="4" t="s">
        <v>46</v>
      </c>
      <c r="H15" s="26">
        <v>565000</v>
      </c>
      <c r="I15" s="26"/>
      <c r="J15" s="26">
        <f t="shared" si="2"/>
        <v>565000</v>
      </c>
    </row>
    <row r="16" spans="1:10" x14ac:dyDescent="0.2">
      <c r="B16" s="32">
        <f t="shared" si="4"/>
        <v>9</v>
      </c>
      <c r="C16" s="4"/>
      <c r="D16" s="4"/>
      <c r="E16" s="4">
        <v>121002</v>
      </c>
      <c r="F16" s="4"/>
      <c r="G16" s="4" t="s">
        <v>49</v>
      </c>
      <c r="H16" s="62">
        <v>4500000</v>
      </c>
      <c r="I16" s="62"/>
      <c r="J16" s="62">
        <f t="shared" si="2"/>
        <v>4500000</v>
      </c>
    </row>
    <row r="17" spans="2:10" x14ac:dyDescent="0.2">
      <c r="B17" s="32">
        <f t="shared" si="4"/>
        <v>10</v>
      </c>
      <c r="C17" s="4"/>
      <c r="D17" s="4"/>
      <c r="E17" s="4">
        <v>121003</v>
      </c>
      <c r="F17" s="4"/>
      <c r="G17" s="4" t="s">
        <v>50</v>
      </c>
      <c r="H17" s="62">
        <v>385000</v>
      </c>
      <c r="I17" s="62"/>
      <c r="J17" s="62">
        <f t="shared" si="2"/>
        <v>385000</v>
      </c>
    </row>
    <row r="18" spans="2:10" x14ac:dyDescent="0.2">
      <c r="B18" s="32">
        <f t="shared" si="4"/>
        <v>11</v>
      </c>
      <c r="C18" s="10">
        <v>130</v>
      </c>
      <c r="D18" s="10"/>
      <c r="E18" s="10"/>
      <c r="F18" s="10"/>
      <c r="G18" s="10" t="s">
        <v>52</v>
      </c>
      <c r="H18" s="24">
        <f>H19</f>
        <v>2586000</v>
      </c>
      <c r="I18" s="24">
        <f t="shared" ref="I18" si="7">I19</f>
        <v>0</v>
      </c>
      <c r="J18" s="24">
        <f t="shared" si="2"/>
        <v>2586000</v>
      </c>
    </row>
    <row r="19" spans="2:10" x14ac:dyDescent="0.2">
      <c r="B19" s="32">
        <f t="shared" si="4"/>
        <v>12</v>
      </c>
      <c r="C19" s="3"/>
      <c r="D19" s="3">
        <v>133</v>
      </c>
      <c r="E19" s="3"/>
      <c r="F19" s="3"/>
      <c r="G19" s="3" t="s">
        <v>53</v>
      </c>
      <c r="H19" s="25">
        <f>H23+H22+H21+H20</f>
        <v>2586000</v>
      </c>
      <c r="I19" s="25">
        <f t="shared" ref="I19" si="8">I23+I22+I21+I20</f>
        <v>0</v>
      </c>
      <c r="J19" s="25">
        <f t="shared" si="2"/>
        <v>2586000</v>
      </c>
    </row>
    <row r="20" spans="2:10" x14ac:dyDescent="0.2">
      <c r="B20" s="32">
        <f t="shared" si="4"/>
        <v>13</v>
      </c>
      <c r="C20" s="4"/>
      <c r="D20" s="4"/>
      <c r="E20" s="4">
        <v>133001</v>
      </c>
      <c r="F20" s="4"/>
      <c r="G20" s="4" t="s">
        <v>51</v>
      </c>
      <c r="H20" s="26">
        <v>53000</v>
      </c>
      <c r="I20" s="26"/>
      <c r="J20" s="26">
        <f t="shared" si="2"/>
        <v>53000</v>
      </c>
    </row>
    <row r="21" spans="2:10" x14ac:dyDescent="0.2">
      <c r="B21" s="32">
        <f t="shared" si="4"/>
        <v>14</v>
      </c>
      <c r="C21" s="4"/>
      <c r="D21" s="4"/>
      <c r="E21" s="4">
        <v>133006</v>
      </c>
      <c r="F21" s="4"/>
      <c r="G21" s="4" t="s">
        <v>54</v>
      </c>
      <c r="H21" s="26">
        <f>38000+30000</f>
        <v>68000</v>
      </c>
      <c r="I21" s="26"/>
      <c r="J21" s="26">
        <f t="shared" si="2"/>
        <v>68000</v>
      </c>
    </row>
    <row r="22" spans="2:10" x14ac:dyDescent="0.2">
      <c r="B22" s="32">
        <f t="shared" si="4"/>
        <v>15</v>
      </c>
      <c r="C22" s="4"/>
      <c r="D22" s="4"/>
      <c r="E22" s="4">
        <v>133012</v>
      </c>
      <c r="F22" s="4"/>
      <c r="G22" s="4" t="s">
        <v>55</v>
      </c>
      <c r="H22" s="26">
        <v>65000</v>
      </c>
      <c r="I22" s="26"/>
      <c r="J22" s="26">
        <f t="shared" si="2"/>
        <v>65000</v>
      </c>
    </row>
    <row r="23" spans="2:10" x14ac:dyDescent="0.2">
      <c r="B23" s="32">
        <f t="shared" si="4"/>
        <v>16</v>
      </c>
      <c r="C23" s="4"/>
      <c r="D23" s="4"/>
      <c r="E23" s="4">
        <v>133013</v>
      </c>
      <c r="F23" s="4"/>
      <c r="G23" s="4" t="s">
        <v>56</v>
      </c>
      <c r="H23" s="26">
        <v>2400000</v>
      </c>
      <c r="I23" s="26"/>
      <c r="J23" s="26">
        <f t="shared" si="2"/>
        <v>2400000</v>
      </c>
    </row>
    <row r="24" spans="2:10" ht="16.5" thickBot="1" x14ac:dyDescent="0.3">
      <c r="B24" s="32">
        <f t="shared" si="4"/>
        <v>17</v>
      </c>
      <c r="C24" s="16">
        <v>200</v>
      </c>
      <c r="D24" s="16"/>
      <c r="E24" s="16"/>
      <c r="F24" s="16"/>
      <c r="G24" s="16" t="s">
        <v>169</v>
      </c>
      <c r="H24" s="22">
        <f>H352+H338+H323+H307+H292+H276+H262+H251+H236+H180+H105+H98+H60+H56+H25</f>
        <v>3332092</v>
      </c>
      <c r="I24" s="22">
        <f>I352+I338+I323+I307+I292+I276+I262+I251+I236+I180+I105+I98+I60+I56+I25</f>
        <v>43345</v>
      </c>
      <c r="J24" s="22">
        <f t="shared" si="2"/>
        <v>3375437</v>
      </c>
    </row>
    <row r="25" spans="2:10" ht="15.75" thickBot="1" x14ac:dyDescent="0.3">
      <c r="B25" s="32">
        <f t="shared" si="4"/>
        <v>18</v>
      </c>
      <c r="C25" s="17"/>
      <c r="D25" s="17"/>
      <c r="E25" s="17"/>
      <c r="F25" s="17"/>
      <c r="G25" s="17" t="s">
        <v>282</v>
      </c>
      <c r="H25" s="23">
        <f>H51+H48+H37+H26</f>
        <v>1574840</v>
      </c>
      <c r="I25" s="23">
        <f t="shared" ref="I25" si="9">I51+I48+I37+I26</f>
        <v>0</v>
      </c>
      <c r="J25" s="23">
        <f t="shared" si="2"/>
        <v>1574840</v>
      </c>
    </row>
    <row r="26" spans="2:10" x14ac:dyDescent="0.2">
      <c r="B26" s="32">
        <f t="shared" si="4"/>
        <v>19</v>
      </c>
      <c r="C26" s="10">
        <v>210</v>
      </c>
      <c r="D26" s="10"/>
      <c r="E26" s="10"/>
      <c r="F26" s="10"/>
      <c r="G26" s="10" t="s">
        <v>21</v>
      </c>
      <c r="H26" s="24">
        <f>H29+H27</f>
        <v>522059</v>
      </c>
      <c r="I26" s="24">
        <f t="shared" ref="I26" si="10">I29+I27</f>
        <v>0</v>
      </c>
      <c r="J26" s="24">
        <f t="shared" si="2"/>
        <v>522059</v>
      </c>
    </row>
    <row r="27" spans="2:10" x14ac:dyDescent="0.2">
      <c r="B27" s="32">
        <f t="shared" si="4"/>
        <v>20</v>
      </c>
      <c r="C27" s="3"/>
      <c r="D27" s="3">
        <v>212</v>
      </c>
      <c r="E27" s="3"/>
      <c r="F27" s="3"/>
      <c r="G27" s="3" t="s">
        <v>726</v>
      </c>
      <c r="H27" s="25">
        <f>H28</f>
        <v>59039</v>
      </c>
      <c r="I27" s="25">
        <f t="shared" ref="I27" si="11">I28</f>
        <v>0</v>
      </c>
      <c r="J27" s="25">
        <f t="shared" si="2"/>
        <v>59039</v>
      </c>
    </row>
    <row r="28" spans="2:10" x14ac:dyDescent="0.2">
      <c r="B28" s="32">
        <f t="shared" si="4"/>
        <v>21</v>
      </c>
      <c r="C28" s="4"/>
      <c r="D28" s="4"/>
      <c r="E28" s="4">
        <v>211003</v>
      </c>
      <c r="F28" s="4"/>
      <c r="G28" s="4" t="s">
        <v>727</v>
      </c>
      <c r="H28" s="26">
        <v>59039</v>
      </c>
      <c r="I28" s="26"/>
      <c r="J28" s="26">
        <f t="shared" si="2"/>
        <v>59039</v>
      </c>
    </row>
    <row r="29" spans="2:10" x14ac:dyDescent="0.2">
      <c r="B29" s="32">
        <f t="shared" si="4"/>
        <v>22</v>
      </c>
      <c r="C29" s="3"/>
      <c r="D29" s="3">
        <v>212</v>
      </c>
      <c r="E29" s="3"/>
      <c r="F29" s="3"/>
      <c r="G29" s="3" t="s">
        <v>22</v>
      </c>
      <c r="H29" s="25">
        <f>H31+H30</f>
        <v>463020</v>
      </c>
      <c r="I29" s="25">
        <f t="shared" ref="I29" si="12">I31+I30</f>
        <v>0</v>
      </c>
      <c r="J29" s="25">
        <f t="shared" si="2"/>
        <v>463020</v>
      </c>
    </row>
    <row r="30" spans="2:10" x14ac:dyDescent="0.2">
      <c r="B30" s="32">
        <f t="shared" si="4"/>
        <v>23</v>
      </c>
      <c r="C30" s="4"/>
      <c r="D30" s="4"/>
      <c r="E30" s="4">
        <v>212002</v>
      </c>
      <c r="F30" s="4"/>
      <c r="G30" s="4" t="s">
        <v>57</v>
      </c>
      <c r="H30" s="26">
        <v>89090</v>
      </c>
      <c r="I30" s="26"/>
      <c r="J30" s="26">
        <f t="shared" si="2"/>
        <v>89090</v>
      </c>
    </row>
    <row r="31" spans="2:10" x14ac:dyDescent="0.2">
      <c r="B31" s="32">
        <f t="shared" si="4"/>
        <v>24</v>
      </c>
      <c r="C31" s="4"/>
      <c r="D31" s="4"/>
      <c r="E31" s="4">
        <v>212003</v>
      </c>
      <c r="F31" s="4"/>
      <c r="G31" s="4" t="s">
        <v>23</v>
      </c>
      <c r="H31" s="26">
        <f>SUM(H32:H36)</f>
        <v>373930</v>
      </c>
      <c r="I31" s="26">
        <f t="shared" ref="I31" si="13">SUM(I32:I36)</f>
        <v>0</v>
      </c>
      <c r="J31" s="26">
        <f t="shared" si="2"/>
        <v>373930</v>
      </c>
    </row>
    <row r="32" spans="2:10" x14ac:dyDescent="0.2">
      <c r="B32" s="32">
        <f t="shared" si="4"/>
        <v>25</v>
      </c>
      <c r="C32" s="4"/>
      <c r="D32" s="4"/>
      <c r="E32" s="4"/>
      <c r="F32" s="4"/>
      <c r="G32" s="30" t="s">
        <v>322</v>
      </c>
      <c r="H32" s="80">
        <v>30230</v>
      </c>
      <c r="I32" s="80"/>
      <c r="J32" s="80">
        <f t="shared" si="2"/>
        <v>30230</v>
      </c>
    </row>
    <row r="33" spans="2:10" x14ac:dyDescent="0.2">
      <c r="B33" s="32">
        <f t="shared" si="4"/>
        <v>26</v>
      </c>
      <c r="C33" s="4"/>
      <c r="D33" s="4"/>
      <c r="E33" s="4"/>
      <c r="F33" s="4"/>
      <c r="G33" s="30" t="s">
        <v>323</v>
      </c>
      <c r="H33" s="80">
        <f>235450+1500-13850</f>
        <v>223100</v>
      </c>
      <c r="I33" s="80"/>
      <c r="J33" s="80">
        <f t="shared" si="2"/>
        <v>223100</v>
      </c>
    </row>
    <row r="34" spans="2:10" x14ac:dyDescent="0.2">
      <c r="B34" s="32">
        <f t="shared" si="4"/>
        <v>27</v>
      </c>
      <c r="C34" s="4"/>
      <c r="D34" s="4"/>
      <c r="E34" s="4"/>
      <c r="F34" s="4"/>
      <c r="G34" s="30" t="s">
        <v>324</v>
      </c>
      <c r="H34" s="80">
        <v>29200</v>
      </c>
      <c r="I34" s="80"/>
      <c r="J34" s="80">
        <f t="shared" si="2"/>
        <v>29200</v>
      </c>
    </row>
    <row r="35" spans="2:10" x14ac:dyDescent="0.2">
      <c r="B35" s="32">
        <f t="shared" si="4"/>
        <v>28</v>
      </c>
      <c r="C35" s="4"/>
      <c r="D35" s="4"/>
      <c r="E35" s="4"/>
      <c r="F35" s="4"/>
      <c r="G35" s="30" t="s">
        <v>325</v>
      </c>
      <c r="H35" s="80">
        <v>81400</v>
      </c>
      <c r="I35" s="80"/>
      <c r="J35" s="80">
        <f t="shared" si="2"/>
        <v>81400</v>
      </c>
    </row>
    <row r="36" spans="2:10" x14ac:dyDescent="0.2">
      <c r="B36" s="32">
        <f t="shared" si="4"/>
        <v>29</v>
      </c>
      <c r="C36" s="4"/>
      <c r="D36" s="4"/>
      <c r="E36" s="4"/>
      <c r="F36" s="4"/>
      <c r="G36" s="30" t="s">
        <v>326</v>
      </c>
      <c r="H36" s="80">
        <v>10000</v>
      </c>
      <c r="I36" s="80"/>
      <c r="J36" s="80">
        <f t="shared" si="2"/>
        <v>10000</v>
      </c>
    </row>
    <row r="37" spans="2:10" x14ac:dyDescent="0.2">
      <c r="B37" s="32">
        <f t="shared" si="4"/>
        <v>30</v>
      </c>
      <c r="C37" s="10">
        <v>220</v>
      </c>
      <c r="D37" s="10"/>
      <c r="E37" s="10"/>
      <c r="F37" s="10"/>
      <c r="G37" s="10" t="s">
        <v>224</v>
      </c>
      <c r="H37" s="24">
        <f>H46+H43+H41+H38</f>
        <v>510600</v>
      </c>
      <c r="I37" s="24">
        <f t="shared" ref="I37" si="14">I46+I43+I41+I38</f>
        <v>0</v>
      </c>
      <c r="J37" s="24">
        <f t="shared" si="2"/>
        <v>510600</v>
      </c>
    </row>
    <row r="38" spans="2:10" x14ac:dyDescent="0.2">
      <c r="B38" s="32">
        <f t="shared" si="4"/>
        <v>31</v>
      </c>
      <c r="C38" s="3"/>
      <c r="D38" s="3">
        <v>221</v>
      </c>
      <c r="E38" s="3"/>
      <c r="F38" s="3"/>
      <c r="G38" s="3" t="s">
        <v>225</v>
      </c>
      <c r="H38" s="25">
        <f>H40+H39</f>
        <v>289000</v>
      </c>
      <c r="I38" s="25">
        <f t="shared" ref="I38" si="15">I40+I39</f>
        <v>0</v>
      </c>
      <c r="J38" s="25">
        <f t="shared" si="2"/>
        <v>289000</v>
      </c>
    </row>
    <row r="39" spans="2:10" x14ac:dyDescent="0.2">
      <c r="B39" s="32">
        <f t="shared" si="4"/>
        <v>32</v>
      </c>
      <c r="C39" s="4"/>
      <c r="D39" s="4"/>
      <c r="E39" s="4">
        <v>221004</v>
      </c>
      <c r="F39" s="4"/>
      <c r="G39" s="4" t="s">
        <v>226</v>
      </c>
      <c r="H39" s="26">
        <f>180000-25000+8500+10000</f>
        <v>173500</v>
      </c>
      <c r="I39" s="26"/>
      <c r="J39" s="26">
        <f t="shared" si="2"/>
        <v>173500</v>
      </c>
    </row>
    <row r="40" spans="2:10" x14ac:dyDescent="0.2">
      <c r="B40" s="32">
        <f t="shared" si="4"/>
        <v>33</v>
      </c>
      <c r="C40" s="4"/>
      <c r="D40" s="4"/>
      <c r="E40" s="4">
        <v>221005</v>
      </c>
      <c r="F40" s="4"/>
      <c r="G40" s="31" t="s">
        <v>241</v>
      </c>
      <c r="H40" s="80">
        <v>115500</v>
      </c>
      <c r="I40" s="80"/>
      <c r="J40" s="80">
        <f t="shared" si="2"/>
        <v>115500</v>
      </c>
    </row>
    <row r="41" spans="2:10" x14ac:dyDescent="0.2">
      <c r="B41" s="32">
        <f t="shared" si="4"/>
        <v>34</v>
      </c>
      <c r="C41" s="3"/>
      <c r="D41" s="3">
        <v>222</v>
      </c>
      <c r="E41" s="3"/>
      <c r="F41" s="3"/>
      <c r="G41" s="3" t="s">
        <v>240</v>
      </c>
      <c r="H41" s="25">
        <f>H42</f>
        <v>90000</v>
      </c>
      <c r="I41" s="25">
        <f t="shared" ref="I41" si="16">I42</f>
        <v>0</v>
      </c>
      <c r="J41" s="25">
        <f t="shared" si="2"/>
        <v>90000</v>
      </c>
    </row>
    <row r="42" spans="2:10" x14ac:dyDescent="0.2">
      <c r="B42" s="32">
        <f t="shared" si="4"/>
        <v>35</v>
      </c>
      <c r="C42" s="4"/>
      <c r="D42" s="4"/>
      <c r="E42" s="4">
        <v>222003</v>
      </c>
      <c r="F42" s="4"/>
      <c r="G42" s="4" t="s">
        <v>239</v>
      </c>
      <c r="H42" s="26">
        <v>90000</v>
      </c>
      <c r="I42" s="26"/>
      <c r="J42" s="26">
        <f t="shared" si="2"/>
        <v>90000</v>
      </c>
    </row>
    <row r="43" spans="2:10" x14ac:dyDescent="0.2">
      <c r="B43" s="32">
        <f t="shared" si="4"/>
        <v>36</v>
      </c>
      <c r="C43" s="3"/>
      <c r="D43" s="3">
        <v>223</v>
      </c>
      <c r="E43" s="3"/>
      <c r="F43" s="3"/>
      <c r="G43" s="3" t="s">
        <v>25</v>
      </c>
      <c r="H43" s="25">
        <f>H44+H45</f>
        <v>130000</v>
      </c>
      <c r="I43" s="25">
        <f t="shared" ref="I43" si="17">I44+I45</f>
        <v>0</v>
      </c>
      <c r="J43" s="25">
        <f t="shared" si="2"/>
        <v>130000</v>
      </c>
    </row>
    <row r="44" spans="2:10" x14ac:dyDescent="0.2">
      <c r="B44" s="32">
        <f t="shared" si="4"/>
        <v>37</v>
      </c>
      <c r="C44" s="4"/>
      <c r="D44" s="4"/>
      <c r="E44" s="4">
        <v>223001</v>
      </c>
      <c r="F44" s="4"/>
      <c r="G44" s="4" t="s">
        <v>26</v>
      </c>
      <c r="H44" s="26">
        <v>80000</v>
      </c>
      <c r="I44" s="26"/>
      <c r="J44" s="26">
        <f t="shared" si="2"/>
        <v>80000</v>
      </c>
    </row>
    <row r="45" spans="2:10" x14ac:dyDescent="0.2">
      <c r="B45" s="32">
        <f t="shared" si="4"/>
        <v>38</v>
      </c>
      <c r="C45" s="4"/>
      <c r="D45" s="4"/>
      <c r="E45" s="4">
        <v>223001</v>
      </c>
      <c r="F45" s="4"/>
      <c r="G45" s="4" t="s">
        <v>763</v>
      </c>
      <c r="H45" s="26">
        <v>50000</v>
      </c>
      <c r="I45" s="26"/>
      <c r="J45" s="26">
        <f t="shared" si="2"/>
        <v>50000</v>
      </c>
    </row>
    <row r="46" spans="2:10" x14ac:dyDescent="0.2">
      <c r="B46" s="32">
        <f t="shared" si="4"/>
        <v>39</v>
      </c>
      <c r="C46" s="3"/>
      <c r="D46" s="3">
        <v>229</v>
      </c>
      <c r="E46" s="3"/>
      <c r="F46" s="3"/>
      <c r="G46" s="3" t="s">
        <v>39</v>
      </c>
      <c r="H46" s="25">
        <f>H47</f>
        <v>1600</v>
      </c>
      <c r="I46" s="25">
        <f t="shared" ref="I46" si="18">I47</f>
        <v>0</v>
      </c>
      <c r="J46" s="25">
        <f t="shared" si="2"/>
        <v>1600</v>
      </c>
    </row>
    <row r="47" spans="2:10" x14ac:dyDescent="0.2">
      <c r="B47" s="32">
        <f t="shared" si="4"/>
        <v>40</v>
      </c>
      <c r="C47" s="4"/>
      <c r="D47" s="4"/>
      <c r="E47" s="4">
        <v>229005</v>
      </c>
      <c r="F47" s="4"/>
      <c r="G47" s="4" t="s">
        <v>40</v>
      </c>
      <c r="H47" s="26">
        <v>1600</v>
      </c>
      <c r="I47" s="26"/>
      <c r="J47" s="26">
        <f t="shared" si="2"/>
        <v>1600</v>
      </c>
    </row>
    <row r="48" spans="2:10" x14ac:dyDescent="0.2">
      <c r="B48" s="32">
        <f t="shared" si="4"/>
        <v>41</v>
      </c>
      <c r="C48" s="10">
        <v>240</v>
      </c>
      <c r="D48" s="10"/>
      <c r="E48" s="10"/>
      <c r="F48" s="10"/>
      <c r="G48" s="10" t="s">
        <v>174</v>
      </c>
      <c r="H48" s="24">
        <f>H49</f>
        <v>2000</v>
      </c>
      <c r="I48" s="24">
        <f t="shared" ref="I48:I49" si="19">I49</f>
        <v>0</v>
      </c>
      <c r="J48" s="24">
        <f t="shared" si="2"/>
        <v>2000</v>
      </c>
    </row>
    <row r="49" spans="1:12" x14ac:dyDescent="0.2">
      <c r="A49" s="244"/>
      <c r="B49" s="32">
        <f t="shared" si="4"/>
        <v>42</v>
      </c>
      <c r="C49" s="3"/>
      <c r="D49" s="3">
        <v>242</v>
      </c>
      <c r="E49" s="3"/>
      <c r="F49" s="3"/>
      <c r="G49" s="3" t="s">
        <v>173</v>
      </c>
      <c r="H49" s="25">
        <f>H50</f>
        <v>2000</v>
      </c>
      <c r="I49" s="25">
        <f t="shared" si="19"/>
        <v>0</v>
      </c>
      <c r="J49" s="25">
        <f t="shared" si="2"/>
        <v>2000</v>
      </c>
    </row>
    <row r="50" spans="1:12" x14ac:dyDescent="0.2">
      <c r="A50" s="244"/>
      <c r="B50" s="32">
        <f t="shared" si="4"/>
        <v>43</v>
      </c>
      <c r="C50" s="4"/>
      <c r="D50" s="4"/>
      <c r="E50" s="4">
        <v>242</v>
      </c>
      <c r="F50" s="4"/>
      <c r="G50" s="4" t="s">
        <v>173</v>
      </c>
      <c r="H50" s="26">
        <v>2000</v>
      </c>
      <c r="I50" s="26"/>
      <c r="J50" s="26">
        <f t="shared" si="2"/>
        <v>2000</v>
      </c>
    </row>
    <row r="51" spans="1:12" x14ac:dyDescent="0.2">
      <c r="B51" s="32">
        <f t="shared" si="4"/>
        <v>44</v>
      </c>
      <c r="C51" s="10">
        <v>290</v>
      </c>
      <c r="D51" s="10"/>
      <c r="E51" s="10"/>
      <c r="F51" s="10"/>
      <c r="G51" s="10" t="s">
        <v>175</v>
      </c>
      <c r="H51" s="24">
        <f>H52</f>
        <v>540181</v>
      </c>
      <c r="I51" s="24">
        <f t="shared" ref="I51" si="20">I52</f>
        <v>0</v>
      </c>
      <c r="J51" s="24">
        <f t="shared" si="2"/>
        <v>540181</v>
      </c>
    </row>
    <row r="52" spans="1:12" x14ac:dyDescent="0.2">
      <c r="A52" s="85"/>
      <c r="B52" s="32">
        <f t="shared" si="4"/>
        <v>45</v>
      </c>
      <c r="C52" s="3"/>
      <c r="D52" s="3">
        <v>292</v>
      </c>
      <c r="E52" s="3"/>
      <c r="F52" s="3"/>
      <c r="G52" s="3" t="s">
        <v>176</v>
      </c>
      <c r="H52" s="25">
        <f>H53+H55+H54</f>
        <v>540181</v>
      </c>
      <c r="I52" s="25">
        <f t="shared" ref="I52" si="21">I53+I55+I54</f>
        <v>0</v>
      </c>
      <c r="J52" s="25">
        <f t="shared" si="2"/>
        <v>540181</v>
      </c>
    </row>
    <row r="53" spans="1:12" x14ac:dyDescent="0.2">
      <c r="A53" s="85"/>
      <c r="B53" s="32">
        <f t="shared" si="4"/>
        <v>46</v>
      </c>
      <c r="C53" s="4"/>
      <c r="D53" s="4"/>
      <c r="E53" s="4">
        <v>292008</v>
      </c>
      <c r="F53" s="4"/>
      <c r="G53" s="4" t="s">
        <v>177</v>
      </c>
      <c r="H53" s="62">
        <v>300000</v>
      </c>
      <c r="I53" s="62"/>
      <c r="J53" s="62">
        <f t="shared" si="2"/>
        <v>300000</v>
      </c>
    </row>
    <row r="54" spans="1:12" x14ac:dyDescent="0.2">
      <c r="A54" s="85"/>
      <c r="B54" s="32">
        <f t="shared" si="4"/>
        <v>47</v>
      </c>
      <c r="C54" s="4"/>
      <c r="D54" s="4"/>
      <c r="E54" s="4">
        <v>292017</v>
      </c>
      <c r="F54" s="4"/>
      <c r="G54" s="4" t="s">
        <v>547</v>
      </c>
      <c r="H54" s="62">
        <f>102786+19268</f>
        <v>122054</v>
      </c>
      <c r="I54" s="62"/>
      <c r="J54" s="62">
        <f t="shared" si="2"/>
        <v>122054</v>
      </c>
    </row>
    <row r="55" spans="1:12" ht="13.5" thickBot="1" x14ac:dyDescent="0.25">
      <c r="A55" s="85"/>
      <c r="B55" s="32">
        <f t="shared" si="4"/>
        <v>48</v>
      </c>
      <c r="C55" s="4"/>
      <c r="D55" s="4"/>
      <c r="E55" s="4">
        <v>292027</v>
      </c>
      <c r="F55" s="4"/>
      <c r="G55" s="4" t="s">
        <v>38</v>
      </c>
      <c r="H55" s="62">
        <f>100000-7173+25300</f>
        <v>118127</v>
      </c>
      <c r="I55" s="62"/>
      <c r="J55" s="62">
        <f t="shared" si="2"/>
        <v>118127</v>
      </c>
    </row>
    <row r="56" spans="1:12" ht="15.75" thickBot="1" x14ac:dyDescent="0.3">
      <c r="B56" s="32">
        <f t="shared" si="4"/>
        <v>49</v>
      </c>
      <c r="C56" s="17">
        <v>1</v>
      </c>
      <c r="D56" s="17"/>
      <c r="E56" s="17"/>
      <c r="F56" s="17"/>
      <c r="G56" s="17" t="s">
        <v>314</v>
      </c>
      <c r="H56" s="23">
        <f>H57</f>
        <v>2370</v>
      </c>
      <c r="I56" s="23">
        <f t="shared" ref="I56:I58" si="22">I57</f>
        <v>1394</v>
      </c>
      <c r="J56" s="23">
        <f t="shared" si="2"/>
        <v>3764</v>
      </c>
      <c r="L56" s="21"/>
    </row>
    <row r="57" spans="1:12" x14ac:dyDescent="0.2">
      <c r="B57" s="32">
        <f t="shared" si="4"/>
        <v>50</v>
      </c>
      <c r="C57" s="10">
        <v>220</v>
      </c>
      <c r="D57" s="10"/>
      <c r="E57" s="10"/>
      <c r="F57" s="10"/>
      <c r="G57" s="10" t="s">
        <v>224</v>
      </c>
      <c r="H57" s="24">
        <f>H58</f>
        <v>2370</v>
      </c>
      <c r="I57" s="24">
        <f t="shared" si="22"/>
        <v>1394</v>
      </c>
      <c r="J57" s="24">
        <f t="shared" si="2"/>
        <v>3764</v>
      </c>
    </row>
    <row r="58" spans="1:12" x14ac:dyDescent="0.2">
      <c r="B58" s="32">
        <f t="shared" si="4"/>
        <v>51</v>
      </c>
      <c r="C58" s="3"/>
      <c r="D58" s="3">
        <v>223</v>
      </c>
      <c r="E58" s="3"/>
      <c r="F58" s="3"/>
      <c r="G58" s="3" t="s">
        <v>25</v>
      </c>
      <c r="H58" s="25">
        <f>H59</f>
        <v>2370</v>
      </c>
      <c r="I58" s="25">
        <f t="shared" si="22"/>
        <v>1394</v>
      </c>
      <c r="J58" s="25">
        <f t="shared" si="2"/>
        <v>3764</v>
      </c>
    </row>
    <row r="59" spans="1:12" ht="13.5" thickBot="1" x14ac:dyDescent="0.25">
      <c r="B59" s="32">
        <f t="shared" si="4"/>
        <v>52</v>
      </c>
      <c r="C59" s="4"/>
      <c r="D59" s="4"/>
      <c r="E59" s="4">
        <v>223002</v>
      </c>
      <c r="F59" s="4"/>
      <c r="G59" s="4" t="s">
        <v>68</v>
      </c>
      <c r="H59" s="26">
        <v>2370</v>
      </c>
      <c r="I59" s="26">
        <v>1394</v>
      </c>
      <c r="J59" s="26">
        <f t="shared" si="2"/>
        <v>3764</v>
      </c>
    </row>
    <row r="60" spans="1:12" ht="15.75" thickBot="1" x14ac:dyDescent="0.3">
      <c r="B60" s="32">
        <f t="shared" si="4"/>
        <v>53</v>
      </c>
      <c r="C60" s="17">
        <v>2</v>
      </c>
      <c r="D60" s="17"/>
      <c r="E60" s="17"/>
      <c r="F60" s="17"/>
      <c r="G60" s="17" t="s">
        <v>257</v>
      </c>
      <c r="H60" s="23">
        <f>H61+H74</f>
        <v>564040</v>
      </c>
      <c r="I60" s="23">
        <f>I61+I74</f>
        <v>-38000</v>
      </c>
      <c r="J60" s="23">
        <f t="shared" si="2"/>
        <v>526040</v>
      </c>
    </row>
    <row r="61" spans="1:12" x14ac:dyDescent="0.2">
      <c r="B61" s="32">
        <f t="shared" si="4"/>
        <v>54</v>
      </c>
      <c r="C61" s="3">
        <v>210</v>
      </c>
      <c r="D61" s="3"/>
      <c r="E61" s="3"/>
      <c r="F61" s="3"/>
      <c r="G61" s="3" t="s">
        <v>21</v>
      </c>
      <c r="H61" s="25">
        <f>H62</f>
        <v>94140</v>
      </c>
      <c r="I61" s="25">
        <f>I62</f>
        <v>-5500</v>
      </c>
      <c r="J61" s="25">
        <f t="shared" si="2"/>
        <v>88640</v>
      </c>
    </row>
    <row r="62" spans="1:12" x14ac:dyDescent="0.2">
      <c r="B62" s="32">
        <f t="shared" si="4"/>
        <v>55</v>
      </c>
      <c r="C62" s="4"/>
      <c r="D62" s="4">
        <v>212</v>
      </c>
      <c r="E62" s="4"/>
      <c r="F62" s="4"/>
      <c r="G62" s="4" t="s">
        <v>22</v>
      </c>
      <c r="H62" s="26">
        <f>H63+H67</f>
        <v>94140</v>
      </c>
      <c r="I62" s="26">
        <f>I63+I67</f>
        <v>-5500</v>
      </c>
      <c r="J62" s="26">
        <f t="shared" si="2"/>
        <v>88640</v>
      </c>
    </row>
    <row r="63" spans="1:12" x14ac:dyDescent="0.2">
      <c r="B63" s="32">
        <f t="shared" si="4"/>
        <v>56</v>
      </c>
      <c r="C63" s="5"/>
      <c r="D63" s="5"/>
      <c r="E63" s="94">
        <v>212002</v>
      </c>
      <c r="F63" s="94"/>
      <c r="G63" s="107" t="s">
        <v>57</v>
      </c>
      <c r="H63" s="95">
        <f>SUM(H64:H66)</f>
        <v>1000</v>
      </c>
      <c r="I63" s="95">
        <f t="shared" ref="I63" si="23">SUM(I64:I66)</f>
        <v>-500</v>
      </c>
      <c r="J63" s="95">
        <f t="shared" si="2"/>
        <v>500</v>
      </c>
    </row>
    <row r="64" spans="1:12" x14ac:dyDescent="0.2">
      <c r="B64" s="32">
        <f t="shared" si="4"/>
        <v>57</v>
      </c>
      <c r="C64" s="5"/>
      <c r="D64" s="5"/>
      <c r="E64" s="5"/>
      <c r="F64" s="5"/>
      <c r="G64" s="108" t="s">
        <v>313</v>
      </c>
      <c r="H64" s="27">
        <v>500</v>
      </c>
      <c r="I64" s="27">
        <v>-500</v>
      </c>
      <c r="J64" s="27">
        <f t="shared" si="2"/>
        <v>0</v>
      </c>
    </row>
    <row r="65" spans="2:10" x14ac:dyDescent="0.2">
      <c r="B65" s="32">
        <f t="shared" si="4"/>
        <v>58</v>
      </c>
      <c r="C65" s="5"/>
      <c r="D65" s="5"/>
      <c r="E65" s="5"/>
      <c r="F65" s="5"/>
      <c r="G65" s="108" t="s">
        <v>260</v>
      </c>
      <c r="H65" s="27">
        <v>200</v>
      </c>
      <c r="I65" s="27"/>
      <c r="J65" s="27">
        <f t="shared" si="2"/>
        <v>200</v>
      </c>
    </row>
    <row r="66" spans="2:10" x14ac:dyDescent="0.2">
      <c r="B66" s="32">
        <f t="shared" si="4"/>
        <v>59</v>
      </c>
      <c r="C66" s="5"/>
      <c r="D66" s="5"/>
      <c r="E66" s="5"/>
      <c r="F66" s="5"/>
      <c r="G66" s="108" t="s">
        <v>264</v>
      </c>
      <c r="H66" s="27">
        <v>300</v>
      </c>
      <c r="I66" s="27"/>
      <c r="J66" s="27">
        <f t="shared" si="2"/>
        <v>300</v>
      </c>
    </row>
    <row r="67" spans="2:10" x14ac:dyDescent="0.2">
      <c r="B67" s="32">
        <f t="shared" si="4"/>
        <v>60</v>
      </c>
      <c r="C67" s="5"/>
      <c r="D67" s="5"/>
      <c r="E67" s="94">
        <v>212003</v>
      </c>
      <c r="F67" s="94"/>
      <c r="G67" s="107" t="s">
        <v>23</v>
      </c>
      <c r="H67" s="95">
        <f>SUM(H68:H73)</f>
        <v>93140</v>
      </c>
      <c r="I67" s="95">
        <f>SUM(I68:I73)</f>
        <v>-5000</v>
      </c>
      <c r="J67" s="95">
        <f t="shared" si="2"/>
        <v>88140</v>
      </c>
    </row>
    <row r="68" spans="2:10" x14ac:dyDescent="0.2">
      <c r="B68" s="32">
        <f t="shared" si="4"/>
        <v>61</v>
      </c>
      <c r="C68" s="5"/>
      <c r="D68" s="5"/>
      <c r="E68" s="5"/>
      <c r="F68" s="5"/>
      <c r="G68" s="108" t="s">
        <v>388</v>
      </c>
      <c r="H68" s="27">
        <v>20500</v>
      </c>
      <c r="I68" s="27"/>
      <c r="J68" s="27">
        <f t="shared" si="2"/>
        <v>20500</v>
      </c>
    </row>
    <row r="69" spans="2:10" x14ac:dyDescent="0.2">
      <c r="B69" s="32">
        <f t="shared" si="4"/>
        <v>62</v>
      </c>
      <c r="C69" s="5"/>
      <c r="D69" s="5"/>
      <c r="E69" s="5"/>
      <c r="F69" s="5"/>
      <c r="G69" s="108" t="s">
        <v>261</v>
      </c>
      <c r="H69" s="27">
        <v>15500</v>
      </c>
      <c r="I69" s="27"/>
      <c r="J69" s="27">
        <f t="shared" si="2"/>
        <v>15500</v>
      </c>
    </row>
    <row r="70" spans="2:10" x14ac:dyDescent="0.2">
      <c r="B70" s="32">
        <f t="shared" si="4"/>
        <v>63</v>
      </c>
      <c r="C70" s="5"/>
      <c r="D70" s="5"/>
      <c r="E70" s="5"/>
      <c r="F70" s="5"/>
      <c r="G70" s="108" t="s">
        <v>313</v>
      </c>
      <c r="H70" s="27">
        <v>2000</v>
      </c>
      <c r="I70" s="27">
        <v>-2000</v>
      </c>
      <c r="J70" s="27">
        <f t="shared" si="2"/>
        <v>0</v>
      </c>
    </row>
    <row r="71" spans="2:10" x14ac:dyDescent="0.2">
      <c r="B71" s="32">
        <f t="shared" si="4"/>
        <v>64</v>
      </c>
      <c r="C71" s="5"/>
      <c r="D71" s="5"/>
      <c r="E71" s="5"/>
      <c r="F71" s="5"/>
      <c r="G71" s="108" t="s">
        <v>213</v>
      </c>
      <c r="H71" s="27">
        <v>50000</v>
      </c>
      <c r="I71" s="27"/>
      <c r="J71" s="27">
        <f t="shared" si="2"/>
        <v>50000</v>
      </c>
    </row>
    <row r="72" spans="2:10" x14ac:dyDescent="0.2">
      <c r="B72" s="32">
        <f t="shared" si="4"/>
        <v>65</v>
      </c>
      <c r="C72" s="5"/>
      <c r="D72" s="5"/>
      <c r="E72" s="5"/>
      <c r="F72" s="5"/>
      <c r="G72" s="108" t="s">
        <v>259</v>
      </c>
      <c r="H72" s="27">
        <v>40</v>
      </c>
      <c r="I72" s="27"/>
      <c r="J72" s="27">
        <f t="shared" si="2"/>
        <v>40</v>
      </c>
    </row>
    <row r="73" spans="2:10" x14ac:dyDescent="0.2">
      <c r="B73" s="32">
        <f t="shared" si="4"/>
        <v>66</v>
      </c>
      <c r="C73" s="5"/>
      <c r="D73" s="5"/>
      <c r="E73" s="5"/>
      <c r="F73" s="5"/>
      <c r="G73" s="108" t="s">
        <v>392</v>
      </c>
      <c r="H73" s="27">
        <v>5100</v>
      </c>
      <c r="I73" s="27">
        <v>-3000</v>
      </c>
      <c r="J73" s="27">
        <f t="shared" ref="J73:J135" si="24">H73+I73</f>
        <v>2100</v>
      </c>
    </row>
    <row r="74" spans="2:10" x14ac:dyDescent="0.2">
      <c r="B74" s="32">
        <f t="shared" si="4"/>
        <v>67</v>
      </c>
      <c r="C74" s="3">
        <v>220</v>
      </c>
      <c r="D74" s="3"/>
      <c r="E74" s="3"/>
      <c r="F74" s="3"/>
      <c r="G74" s="3" t="s">
        <v>224</v>
      </c>
      <c r="H74" s="25">
        <f>H76</f>
        <v>469900</v>
      </c>
      <c r="I74" s="25">
        <f>I75+I76</f>
        <v>-32500</v>
      </c>
      <c r="J74" s="25">
        <f t="shared" si="24"/>
        <v>437400</v>
      </c>
    </row>
    <row r="75" spans="2:10" x14ac:dyDescent="0.2">
      <c r="B75" s="32">
        <f t="shared" si="4"/>
        <v>68</v>
      </c>
      <c r="C75" s="3"/>
      <c r="D75" s="4">
        <v>222</v>
      </c>
      <c r="E75" s="4"/>
      <c r="F75" s="4"/>
      <c r="G75" s="4" t="s">
        <v>239</v>
      </c>
      <c r="H75" s="26">
        <v>0</v>
      </c>
      <c r="I75" s="26">
        <v>300</v>
      </c>
      <c r="J75" s="26">
        <f>I75</f>
        <v>300</v>
      </c>
    </row>
    <row r="76" spans="2:10" x14ac:dyDescent="0.2">
      <c r="B76" s="32">
        <f t="shared" si="4"/>
        <v>69</v>
      </c>
      <c r="C76" s="4"/>
      <c r="D76" s="4">
        <v>223</v>
      </c>
      <c r="E76" s="4"/>
      <c r="F76" s="4"/>
      <c r="G76" s="4" t="s">
        <v>25</v>
      </c>
      <c r="H76" s="26">
        <f>H77</f>
        <v>469900</v>
      </c>
      <c r="I76" s="26">
        <f t="shared" ref="I76" si="25">I77</f>
        <v>-32800</v>
      </c>
      <c r="J76" s="26">
        <f t="shared" si="24"/>
        <v>437100</v>
      </c>
    </row>
    <row r="77" spans="2:10" x14ac:dyDescent="0.2">
      <c r="B77" s="32">
        <f t="shared" si="4"/>
        <v>70</v>
      </c>
      <c r="C77" s="5"/>
      <c r="D77" s="5"/>
      <c r="E77" s="94">
        <v>223001</v>
      </c>
      <c r="F77" s="94"/>
      <c r="G77" s="107" t="s">
        <v>26</v>
      </c>
      <c r="H77" s="95">
        <f>SUM(H78:H97)</f>
        <v>469900</v>
      </c>
      <c r="I77" s="95">
        <f>SUM(I78:I97)</f>
        <v>-32800</v>
      </c>
      <c r="J77" s="95">
        <f t="shared" si="24"/>
        <v>437100</v>
      </c>
    </row>
    <row r="78" spans="2:10" ht="12.75" customHeight="1" x14ac:dyDescent="0.2">
      <c r="B78" s="32">
        <f t="shared" si="4"/>
        <v>71</v>
      </c>
      <c r="C78" s="5"/>
      <c r="D78" s="5"/>
      <c r="E78" s="5"/>
      <c r="F78" s="235" t="s">
        <v>418</v>
      </c>
      <c r="G78" s="108" t="s">
        <v>389</v>
      </c>
      <c r="H78" s="27">
        <v>3000</v>
      </c>
      <c r="I78" s="27"/>
      <c r="J78" s="27">
        <f t="shared" si="24"/>
        <v>3000</v>
      </c>
    </row>
    <row r="79" spans="2:10" x14ac:dyDescent="0.2">
      <c r="B79" s="32">
        <f t="shared" si="4"/>
        <v>72</v>
      </c>
      <c r="C79" s="5"/>
      <c r="D79" s="5"/>
      <c r="E79" s="5"/>
      <c r="F79" s="236"/>
      <c r="G79" s="108" t="s">
        <v>390</v>
      </c>
      <c r="H79" s="27">
        <v>500</v>
      </c>
      <c r="I79" s="27"/>
      <c r="J79" s="27">
        <f t="shared" si="24"/>
        <v>500</v>
      </c>
    </row>
    <row r="80" spans="2:10" x14ac:dyDescent="0.2">
      <c r="B80" s="32">
        <f t="shared" si="4"/>
        <v>73</v>
      </c>
      <c r="C80" s="5"/>
      <c r="D80" s="5"/>
      <c r="E80" s="5"/>
      <c r="F80" s="236"/>
      <c r="G80" s="108" t="s">
        <v>391</v>
      </c>
      <c r="H80" s="27">
        <v>8000</v>
      </c>
      <c r="I80" s="27"/>
      <c r="J80" s="27">
        <f t="shared" si="24"/>
        <v>8000</v>
      </c>
    </row>
    <row r="81" spans="2:10" x14ac:dyDescent="0.2">
      <c r="B81" s="32">
        <f t="shared" si="4"/>
        <v>74</v>
      </c>
      <c r="C81" s="5"/>
      <c r="D81" s="5"/>
      <c r="E81" s="5"/>
      <c r="F81" s="236"/>
      <c r="G81" s="108" t="s">
        <v>392</v>
      </c>
      <c r="H81" s="27">
        <v>1350</v>
      </c>
      <c r="I81" s="27"/>
      <c r="J81" s="27">
        <f t="shared" si="24"/>
        <v>1350</v>
      </c>
    </row>
    <row r="82" spans="2:10" x14ac:dyDescent="0.2">
      <c r="B82" s="32">
        <f t="shared" si="4"/>
        <v>75</v>
      </c>
      <c r="C82" s="5"/>
      <c r="D82" s="5"/>
      <c r="E82" s="5"/>
      <c r="F82" s="236"/>
      <c r="G82" s="108" t="s">
        <v>203</v>
      </c>
      <c r="H82" s="27">
        <v>1000</v>
      </c>
      <c r="I82" s="27"/>
      <c r="J82" s="27">
        <f t="shared" si="24"/>
        <v>1000</v>
      </c>
    </row>
    <row r="83" spans="2:10" x14ac:dyDescent="0.2">
      <c r="B83" s="32">
        <f t="shared" si="4"/>
        <v>76</v>
      </c>
      <c r="C83" s="5"/>
      <c r="D83" s="5"/>
      <c r="E83" s="5"/>
      <c r="F83" s="236"/>
      <c r="G83" s="108" t="s">
        <v>262</v>
      </c>
      <c r="H83" s="27">
        <v>55200</v>
      </c>
      <c r="I83" s="27">
        <v>-16650</v>
      </c>
      <c r="J83" s="27">
        <f t="shared" si="24"/>
        <v>38550</v>
      </c>
    </row>
    <row r="84" spans="2:10" x14ac:dyDescent="0.2">
      <c r="B84" s="32">
        <f t="shared" si="4"/>
        <v>77</v>
      </c>
      <c r="C84" s="5"/>
      <c r="D84" s="5"/>
      <c r="E84" s="5"/>
      <c r="F84" s="236"/>
      <c r="G84" s="108" t="s">
        <v>388</v>
      </c>
      <c r="H84" s="27">
        <v>1000</v>
      </c>
      <c r="I84" s="27"/>
      <c r="J84" s="27">
        <f t="shared" si="24"/>
        <v>1000</v>
      </c>
    </row>
    <row r="85" spans="2:10" x14ac:dyDescent="0.2">
      <c r="B85" s="32">
        <f t="shared" si="4"/>
        <v>78</v>
      </c>
      <c r="C85" s="5"/>
      <c r="D85" s="5"/>
      <c r="E85" s="5"/>
      <c r="F85" s="236"/>
      <c r="G85" s="108" t="s">
        <v>263</v>
      </c>
      <c r="H85" s="27">
        <v>3000</v>
      </c>
      <c r="I85" s="27"/>
      <c r="J85" s="27">
        <f t="shared" si="24"/>
        <v>3000</v>
      </c>
    </row>
    <row r="86" spans="2:10" x14ac:dyDescent="0.2">
      <c r="B86" s="32">
        <f t="shared" si="4"/>
        <v>79</v>
      </c>
      <c r="C86" s="5"/>
      <c r="D86" s="5"/>
      <c r="E86" s="5"/>
      <c r="F86" s="236"/>
      <c r="G86" s="108" t="s">
        <v>416</v>
      </c>
      <c r="H86" s="27">
        <v>1000</v>
      </c>
      <c r="I86" s="27"/>
      <c r="J86" s="27">
        <f t="shared" si="24"/>
        <v>1000</v>
      </c>
    </row>
    <row r="87" spans="2:10" x14ac:dyDescent="0.2">
      <c r="B87" s="32">
        <f t="shared" si="4"/>
        <v>80</v>
      </c>
      <c r="C87" s="5"/>
      <c r="D87" s="5"/>
      <c r="E87" s="5"/>
      <c r="F87" s="236"/>
      <c r="G87" s="108" t="s">
        <v>213</v>
      </c>
      <c r="H87" s="27">
        <v>5000</v>
      </c>
      <c r="I87" s="27"/>
      <c r="J87" s="27">
        <f t="shared" si="24"/>
        <v>5000</v>
      </c>
    </row>
    <row r="88" spans="2:10" x14ac:dyDescent="0.2">
      <c r="B88" s="32">
        <f t="shared" si="4"/>
        <v>81</v>
      </c>
      <c r="C88" s="5"/>
      <c r="D88" s="5"/>
      <c r="E88" s="5"/>
      <c r="F88" s="237"/>
      <c r="G88" s="108" t="s">
        <v>417</v>
      </c>
      <c r="H88" s="27">
        <v>10300</v>
      </c>
      <c r="I88" s="27">
        <v>-300</v>
      </c>
      <c r="J88" s="27">
        <f t="shared" si="24"/>
        <v>10000</v>
      </c>
    </row>
    <row r="89" spans="2:10" x14ac:dyDescent="0.2">
      <c r="B89" s="32">
        <f t="shared" si="4"/>
        <v>82</v>
      </c>
      <c r="C89" s="5"/>
      <c r="D89" s="5"/>
      <c r="E89" s="5"/>
      <c r="F89" s="5"/>
      <c r="G89" s="108" t="s">
        <v>261</v>
      </c>
      <c r="H89" s="27">
        <v>144000</v>
      </c>
      <c r="I89" s="27"/>
      <c r="J89" s="27">
        <f t="shared" si="24"/>
        <v>144000</v>
      </c>
    </row>
    <row r="90" spans="2:10" x14ac:dyDescent="0.2">
      <c r="B90" s="32">
        <f t="shared" si="4"/>
        <v>83</v>
      </c>
      <c r="C90" s="5"/>
      <c r="D90" s="5"/>
      <c r="E90" s="5"/>
      <c r="F90" s="5"/>
      <c r="G90" s="108" t="s">
        <v>313</v>
      </c>
      <c r="H90" s="27">
        <v>95000</v>
      </c>
      <c r="I90" s="27">
        <v>-95000</v>
      </c>
      <c r="J90" s="27">
        <f t="shared" si="24"/>
        <v>0</v>
      </c>
    </row>
    <row r="91" spans="2:10" x14ac:dyDescent="0.2">
      <c r="B91" s="32">
        <f t="shared" si="4"/>
        <v>84</v>
      </c>
      <c r="C91" s="5"/>
      <c r="D91" s="5"/>
      <c r="E91" s="5"/>
      <c r="F91" s="5"/>
      <c r="G91" s="108" t="s">
        <v>213</v>
      </c>
      <c r="H91" s="27">
        <v>17000</v>
      </c>
      <c r="I91" s="27"/>
      <c r="J91" s="27">
        <f t="shared" si="24"/>
        <v>17000</v>
      </c>
    </row>
    <row r="92" spans="2:10" x14ac:dyDescent="0.2">
      <c r="B92" s="32">
        <f t="shared" si="4"/>
        <v>85</v>
      </c>
      <c r="C92" s="5"/>
      <c r="D92" s="5"/>
      <c r="E92" s="5"/>
      <c r="F92" s="5"/>
      <c r="G92" s="108" t="s">
        <v>1</v>
      </c>
      <c r="H92" s="27">
        <v>65000</v>
      </c>
      <c r="I92" s="27">
        <v>60000</v>
      </c>
      <c r="J92" s="27">
        <f t="shared" si="24"/>
        <v>125000</v>
      </c>
    </row>
    <row r="93" spans="2:10" x14ac:dyDescent="0.2">
      <c r="B93" s="32">
        <f t="shared" si="4"/>
        <v>86</v>
      </c>
      <c r="C93" s="5"/>
      <c r="D93" s="5"/>
      <c r="E93" s="5"/>
      <c r="F93" s="5"/>
      <c r="G93" s="108" t="s">
        <v>259</v>
      </c>
      <c r="H93" s="27">
        <v>12500</v>
      </c>
      <c r="I93" s="27"/>
      <c r="J93" s="27">
        <f t="shared" si="24"/>
        <v>12500</v>
      </c>
    </row>
    <row r="94" spans="2:10" x14ac:dyDescent="0.2">
      <c r="B94" s="32">
        <f t="shared" si="4"/>
        <v>87</v>
      </c>
      <c r="C94" s="5"/>
      <c r="D94" s="5"/>
      <c r="E94" s="5"/>
      <c r="F94" s="5"/>
      <c r="G94" s="108" t="s">
        <v>260</v>
      </c>
      <c r="H94" s="27">
        <v>40000</v>
      </c>
      <c r="I94" s="27"/>
      <c r="J94" s="27">
        <f t="shared" si="24"/>
        <v>40000</v>
      </c>
    </row>
    <row r="95" spans="2:10" x14ac:dyDescent="0.2">
      <c r="B95" s="32">
        <f t="shared" si="4"/>
        <v>88</v>
      </c>
      <c r="C95" s="5"/>
      <c r="D95" s="5"/>
      <c r="E95" s="5"/>
      <c r="F95" s="5"/>
      <c r="G95" s="108" t="s">
        <v>264</v>
      </c>
      <c r="H95" s="27">
        <v>5000</v>
      </c>
      <c r="I95" s="27"/>
      <c r="J95" s="27">
        <f t="shared" si="24"/>
        <v>5000</v>
      </c>
    </row>
    <row r="96" spans="2:10" x14ac:dyDescent="0.2">
      <c r="B96" s="32">
        <f t="shared" si="4"/>
        <v>89</v>
      </c>
      <c r="C96" s="5"/>
      <c r="D96" s="5"/>
      <c r="E96" s="5"/>
      <c r="F96" s="5"/>
      <c r="G96" s="109"/>
      <c r="H96" s="27"/>
      <c r="I96" s="27"/>
      <c r="J96" s="27"/>
    </row>
    <row r="97" spans="2:10" ht="13.5" thickBot="1" x14ac:dyDescent="0.25">
      <c r="B97" s="32">
        <f t="shared" si="4"/>
        <v>90</v>
      </c>
      <c r="C97" s="5"/>
      <c r="D97" s="5"/>
      <c r="E97" s="5"/>
      <c r="F97" s="5"/>
      <c r="G97" s="109" t="s">
        <v>327</v>
      </c>
      <c r="H97" s="27">
        <v>2050</v>
      </c>
      <c r="I97" s="27">
        <f>-200+50+2200+10900+5600+600</f>
        <v>19150</v>
      </c>
      <c r="J97" s="27">
        <f t="shared" si="24"/>
        <v>21200</v>
      </c>
    </row>
    <row r="98" spans="2:10" ht="15.75" thickBot="1" x14ac:dyDescent="0.3">
      <c r="B98" s="32">
        <f t="shared" ref="B98:B118" si="26">B97+1</f>
        <v>91</v>
      </c>
      <c r="C98" s="17">
        <v>3</v>
      </c>
      <c r="D98" s="17"/>
      <c r="E98" s="17"/>
      <c r="F98" s="17"/>
      <c r="G98" s="17" t="s">
        <v>269</v>
      </c>
      <c r="H98" s="23">
        <f>H99</f>
        <v>20500</v>
      </c>
      <c r="I98" s="23">
        <f>I99+I102</f>
        <v>1661</v>
      </c>
      <c r="J98" s="23">
        <f t="shared" si="24"/>
        <v>22161</v>
      </c>
    </row>
    <row r="99" spans="2:10" x14ac:dyDescent="0.2">
      <c r="B99" s="32">
        <f t="shared" si="26"/>
        <v>92</v>
      </c>
      <c r="C99" s="10">
        <v>220</v>
      </c>
      <c r="D99" s="10"/>
      <c r="E99" s="10"/>
      <c r="F99" s="10"/>
      <c r="G99" s="10" t="s">
        <v>224</v>
      </c>
      <c r="H99" s="24">
        <f>H100</f>
        <v>20500</v>
      </c>
      <c r="I99" s="24">
        <f t="shared" ref="I99:I100" si="27">I100</f>
        <v>0</v>
      </c>
      <c r="J99" s="24">
        <f t="shared" si="24"/>
        <v>20500</v>
      </c>
    </row>
    <row r="100" spans="2:10" x14ac:dyDescent="0.2">
      <c r="B100" s="32">
        <f t="shared" si="26"/>
        <v>93</v>
      </c>
      <c r="C100" s="3"/>
      <c r="D100" s="3">
        <v>223</v>
      </c>
      <c r="E100" s="3"/>
      <c r="F100" s="3"/>
      <c r="G100" s="3" t="s">
        <v>25</v>
      </c>
      <c r="H100" s="25">
        <f>H101</f>
        <v>20500</v>
      </c>
      <c r="I100" s="25">
        <f t="shared" si="27"/>
        <v>0</v>
      </c>
      <c r="J100" s="25">
        <f t="shared" si="24"/>
        <v>20500</v>
      </c>
    </row>
    <row r="101" spans="2:10" x14ac:dyDescent="0.2">
      <c r="B101" s="32">
        <f t="shared" si="26"/>
        <v>94</v>
      </c>
      <c r="C101" s="4"/>
      <c r="D101" s="4"/>
      <c r="E101" s="4">
        <v>223002</v>
      </c>
      <c r="F101" s="4"/>
      <c r="G101" s="4" t="s">
        <v>68</v>
      </c>
      <c r="H101" s="26">
        <v>20500</v>
      </c>
      <c r="I101" s="26"/>
      <c r="J101" s="26">
        <f t="shared" si="24"/>
        <v>20500</v>
      </c>
    </row>
    <row r="102" spans="2:10" x14ac:dyDescent="0.2">
      <c r="B102" s="32">
        <f t="shared" si="26"/>
        <v>95</v>
      </c>
      <c r="C102" s="10">
        <v>290</v>
      </c>
      <c r="D102" s="10"/>
      <c r="E102" s="10"/>
      <c r="F102" s="10"/>
      <c r="G102" s="10" t="s">
        <v>175</v>
      </c>
      <c r="H102" s="24">
        <f>H103</f>
        <v>0</v>
      </c>
      <c r="I102" s="24">
        <f t="shared" ref="I102" si="28">I103</f>
        <v>1661</v>
      </c>
      <c r="J102" s="24">
        <f t="shared" si="24"/>
        <v>1661</v>
      </c>
    </row>
    <row r="103" spans="2:10" x14ac:dyDescent="0.2">
      <c r="B103" s="32">
        <f t="shared" si="26"/>
        <v>96</v>
      </c>
      <c r="C103" s="3"/>
      <c r="D103" s="3">
        <v>292</v>
      </c>
      <c r="E103" s="3"/>
      <c r="F103" s="3"/>
      <c r="G103" s="3" t="s">
        <v>176</v>
      </c>
      <c r="H103" s="25">
        <f>H104</f>
        <v>0</v>
      </c>
      <c r="I103" s="25">
        <f>I104</f>
        <v>1661</v>
      </c>
      <c r="J103" s="25">
        <f t="shared" si="24"/>
        <v>1661</v>
      </c>
    </row>
    <row r="104" spans="2:10" ht="13.5" thickBot="1" x14ac:dyDescent="0.25">
      <c r="B104" s="32">
        <f t="shared" si="26"/>
        <v>97</v>
      </c>
      <c r="C104" s="216"/>
      <c r="D104" s="169"/>
      <c r="E104" s="169">
        <v>292017</v>
      </c>
      <c r="F104" s="169"/>
      <c r="G104" s="169" t="s">
        <v>547</v>
      </c>
      <c r="H104" s="170">
        <v>0</v>
      </c>
      <c r="I104" s="170">
        <v>1661</v>
      </c>
      <c r="J104" s="170">
        <f>I104+H104</f>
        <v>1661</v>
      </c>
    </row>
    <row r="105" spans="2:10" ht="15.75" thickBot="1" x14ac:dyDescent="0.3">
      <c r="B105" s="32">
        <f t="shared" si="26"/>
        <v>98</v>
      </c>
      <c r="C105" s="17">
        <v>4</v>
      </c>
      <c r="D105" s="17"/>
      <c r="E105" s="17"/>
      <c r="F105" s="17"/>
      <c r="G105" s="17" t="s">
        <v>85</v>
      </c>
      <c r="H105" s="23">
        <f>H106+H109+H115+H119+H123+H127+H131+H135+H139+H143+H147+H152+H156+H160+H164+H168+H172+H176</f>
        <v>135000</v>
      </c>
      <c r="I105" s="23">
        <f>I106+I109+I115+I119+I123+I127+I131+I135+I139+I143+I147+I152+I156+I160+I164+I168+I172+I176+I112</f>
        <v>21806</v>
      </c>
      <c r="J105" s="23">
        <f t="shared" si="24"/>
        <v>156806</v>
      </c>
    </row>
    <row r="106" spans="2:10" x14ac:dyDescent="0.2">
      <c r="B106" s="32">
        <f t="shared" si="26"/>
        <v>99</v>
      </c>
      <c r="C106" s="3">
        <v>210</v>
      </c>
      <c r="D106" s="3"/>
      <c r="E106" s="3"/>
      <c r="F106" s="3"/>
      <c r="G106" s="3" t="s">
        <v>21</v>
      </c>
      <c r="H106" s="25">
        <f>H107</f>
        <v>8000</v>
      </c>
      <c r="I106" s="25">
        <f t="shared" ref="I106:I107" si="29">I107</f>
        <v>0</v>
      </c>
      <c r="J106" s="25">
        <f t="shared" si="24"/>
        <v>8000</v>
      </c>
    </row>
    <row r="107" spans="2:10" x14ac:dyDescent="0.2">
      <c r="B107" s="32">
        <f t="shared" si="26"/>
        <v>100</v>
      </c>
      <c r="C107" s="4"/>
      <c r="D107" s="4">
        <v>212</v>
      </c>
      <c r="E107" s="4"/>
      <c r="F107" s="4"/>
      <c r="G107" s="4" t="s">
        <v>22</v>
      </c>
      <c r="H107" s="26">
        <f>H108</f>
        <v>8000</v>
      </c>
      <c r="I107" s="26">
        <f t="shared" si="29"/>
        <v>0</v>
      </c>
      <c r="J107" s="26">
        <f t="shared" si="24"/>
        <v>8000</v>
      </c>
    </row>
    <row r="108" spans="2:10" x14ac:dyDescent="0.2">
      <c r="B108" s="32">
        <f t="shared" si="26"/>
        <v>101</v>
      </c>
      <c r="C108" s="5"/>
      <c r="D108" s="5"/>
      <c r="E108" s="5">
        <v>212003</v>
      </c>
      <c r="F108" s="5"/>
      <c r="G108" s="5" t="s">
        <v>23</v>
      </c>
      <c r="H108" s="27">
        <v>8000</v>
      </c>
      <c r="I108" s="27"/>
      <c r="J108" s="27">
        <f t="shared" si="24"/>
        <v>8000</v>
      </c>
    </row>
    <row r="109" spans="2:10" x14ac:dyDescent="0.2">
      <c r="B109" s="32">
        <f t="shared" si="26"/>
        <v>102</v>
      </c>
      <c r="C109" s="3">
        <v>240</v>
      </c>
      <c r="D109" s="3"/>
      <c r="E109" s="3"/>
      <c r="F109" s="3"/>
      <c r="G109" s="3" t="s">
        <v>174</v>
      </c>
      <c r="H109" s="25">
        <f>H110</f>
        <v>15</v>
      </c>
      <c r="I109" s="25">
        <f t="shared" ref="I109:I110" si="30">I110</f>
        <v>0</v>
      </c>
      <c r="J109" s="25">
        <f t="shared" si="24"/>
        <v>15</v>
      </c>
    </row>
    <row r="110" spans="2:10" x14ac:dyDescent="0.2">
      <c r="B110" s="32">
        <f t="shared" si="26"/>
        <v>103</v>
      </c>
      <c r="C110" s="4"/>
      <c r="D110" s="4">
        <v>242</v>
      </c>
      <c r="E110" s="4"/>
      <c r="F110" s="4"/>
      <c r="G110" s="4" t="s">
        <v>173</v>
      </c>
      <c r="H110" s="26">
        <f>H111</f>
        <v>15</v>
      </c>
      <c r="I110" s="26">
        <f t="shared" si="30"/>
        <v>0</v>
      </c>
      <c r="J110" s="26">
        <f t="shared" si="24"/>
        <v>15</v>
      </c>
    </row>
    <row r="111" spans="2:10" x14ac:dyDescent="0.2">
      <c r="B111" s="32">
        <f t="shared" si="26"/>
        <v>104</v>
      </c>
      <c r="C111" s="5"/>
      <c r="D111" s="5"/>
      <c r="E111" s="5">
        <v>242</v>
      </c>
      <c r="F111" s="5"/>
      <c r="G111" s="5" t="s">
        <v>173</v>
      </c>
      <c r="H111" s="27">
        <v>15</v>
      </c>
      <c r="I111" s="27"/>
      <c r="J111" s="27">
        <f t="shared" si="24"/>
        <v>15</v>
      </c>
    </row>
    <row r="112" spans="2:10" x14ac:dyDescent="0.2">
      <c r="B112" s="32">
        <f t="shared" si="26"/>
        <v>105</v>
      </c>
      <c r="C112" s="10">
        <v>290</v>
      </c>
      <c r="D112" s="10"/>
      <c r="E112" s="10"/>
      <c r="F112" s="10"/>
      <c r="G112" s="10" t="s">
        <v>175</v>
      </c>
      <c r="H112" s="24">
        <f>H113</f>
        <v>0</v>
      </c>
      <c r="I112" s="24">
        <f t="shared" ref="I112" si="31">I113</f>
        <v>21806</v>
      </c>
      <c r="J112" s="24">
        <f t="shared" ref="J112:J113" si="32">H112+I112</f>
        <v>21806</v>
      </c>
    </row>
    <row r="113" spans="2:10" x14ac:dyDescent="0.2">
      <c r="B113" s="32">
        <f t="shared" si="26"/>
        <v>106</v>
      </c>
      <c r="C113" s="3"/>
      <c r="D113" s="3">
        <v>292</v>
      </c>
      <c r="E113" s="3"/>
      <c r="F113" s="3"/>
      <c r="G113" s="3" t="s">
        <v>176</v>
      </c>
      <c r="H113" s="25">
        <f>H114</f>
        <v>0</v>
      </c>
      <c r="I113" s="25">
        <f>I114</f>
        <v>21806</v>
      </c>
      <c r="J113" s="25">
        <f t="shared" si="32"/>
        <v>21806</v>
      </c>
    </row>
    <row r="114" spans="2:10" x14ac:dyDescent="0.2">
      <c r="B114" s="32">
        <f t="shared" si="26"/>
        <v>107</v>
      </c>
      <c r="C114" s="216"/>
      <c r="D114" s="217"/>
      <c r="E114" s="217">
        <v>292017</v>
      </c>
      <c r="F114" s="217"/>
      <c r="G114" s="217" t="s">
        <v>547</v>
      </c>
      <c r="H114" s="218">
        <v>0</v>
      </c>
      <c r="I114" s="218">
        <v>21806</v>
      </c>
      <c r="J114" s="218">
        <f>I114+H114</f>
        <v>21806</v>
      </c>
    </row>
    <row r="115" spans="2:10" x14ac:dyDescent="0.2">
      <c r="B115" s="32">
        <f t="shared" si="26"/>
        <v>108</v>
      </c>
      <c r="C115" s="10"/>
      <c r="D115" s="10"/>
      <c r="E115" s="10"/>
      <c r="F115" s="10"/>
      <c r="G115" s="10" t="s">
        <v>64</v>
      </c>
      <c r="H115" s="24">
        <f>H116</f>
        <v>6690</v>
      </c>
      <c r="I115" s="24">
        <f t="shared" ref="I115:I117" si="33">I116</f>
        <v>0</v>
      </c>
      <c r="J115" s="24">
        <f t="shared" si="24"/>
        <v>6690</v>
      </c>
    </row>
    <row r="116" spans="2:10" x14ac:dyDescent="0.2">
      <c r="B116" s="32">
        <f t="shared" si="26"/>
        <v>109</v>
      </c>
      <c r="C116" s="3">
        <v>220</v>
      </c>
      <c r="D116" s="3"/>
      <c r="E116" s="3"/>
      <c r="F116" s="3"/>
      <c r="G116" s="3" t="s">
        <v>224</v>
      </c>
      <c r="H116" s="25">
        <f>H117</f>
        <v>6690</v>
      </c>
      <c r="I116" s="25">
        <f t="shared" si="33"/>
        <v>0</v>
      </c>
      <c r="J116" s="25">
        <f t="shared" si="24"/>
        <v>6690</v>
      </c>
    </row>
    <row r="117" spans="2:10" x14ac:dyDescent="0.2">
      <c r="B117" s="32">
        <f t="shared" si="26"/>
        <v>110</v>
      </c>
      <c r="C117" s="4"/>
      <c r="D117" s="4">
        <v>223</v>
      </c>
      <c r="E117" s="4"/>
      <c r="F117" s="4"/>
      <c r="G117" s="4" t="s">
        <v>25</v>
      </c>
      <c r="H117" s="26">
        <f>H118</f>
        <v>6690</v>
      </c>
      <c r="I117" s="26">
        <f t="shared" si="33"/>
        <v>0</v>
      </c>
      <c r="J117" s="26">
        <f t="shared" si="24"/>
        <v>6690</v>
      </c>
    </row>
    <row r="118" spans="2:10" x14ac:dyDescent="0.2">
      <c r="B118" s="32">
        <f t="shared" si="26"/>
        <v>111</v>
      </c>
      <c r="C118" s="5"/>
      <c r="D118" s="5"/>
      <c r="E118" s="5">
        <v>223002</v>
      </c>
      <c r="F118" s="5"/>
      <c r="G118" s="5" t="s">
        <v>68</v>
      </c>
      <c r="H118" s="27">
        <v>6690</v>
      </c>
      <c r="I118" s="27"/>
      <c r="J118" s="27">
        <f t="shared" si="24"/>
        <v>6690</v>
      </c>
    </row>
    <row r="119" spans="2:10" x14ac:dyDescent="0.2">
      <c r="B119" s="32">
        <f t="shared" ref="B119:B122" si="34">B118+1</f>
        <v>112</v>
      </c>
      <c r="C119" s="10"/>
      <c r="D119" s="10"/>
      <c r="E119" s="10"/>
      <c r="F119" s="10"/>
      <c r="G119" s="10" t="s">
        <v>11</v>
      </c>
      <c r="H119" s="24">
        <f>H120</f>
        <v>8400</v>
      </c>
      <c r="I119" s="24">
        <f t="shared" ref="I119:I121" si="35">I120</f>
        <v>0</v>
      </c>
      <c r="J119" s="24">
        <f t="shared" si="24"/>
        <v>8400</v>
      </c>
    </row>
    <row r="120" spans="2:10" x14ac:dyDescent="0.2">
      <c r="B120" s="32">
        <f t="shared" si="34"/>
        <v>113</v>
      </c>
      <c r="C120" s="3">
        <v>220</v>
      </c>
      <c r="D120" s="3"/>
      <c r="E120" s="3"/>
      <c r="F120" s="3"/>
      <c r="G120" s="3" t="s">
        <v>224</v>
      </c>
      <c r="H120" s="25">
        <f>H121</f>
        <v>8400</v>
      </c>
      <c r="I120" s="25">
        <f t="shared" si="35"/>
        <v>0</v>
      </c>
      <c r="J120" s="25">
        <f t="shared" si="24"/>
        <v>8400</v>
      </c>
    </row>
    <row r="121" spans="2:10" x14ac:dyDescent="0.2">
      <c r="B121" s="32">
        <f t="shared" si="34"/>
        <v>114</v>
      </c>
      <c r="C121" s="4"/>
      <c r="D121" s="4">
        <v>223</v>
      </c>
      <c r="E121" s="4"/>
      <c r="F121" s="4"/>
      <c r="G121" s="4" t="s">
        <v>25</v>
      </c>
      <c r="H121" s="26">
        <f>H122</f>
        <v>8400</v>
      </c>
      <c r="I121" s="26">
        <f t="shared" si="35"/>
        <v>0</v>
      </c>
      <c r="J121" s="26">
        <f t="shared" si="24"/>
        <v>8400</v>
      </c>
    </row>
    <row r="122" spans="2:10" x14ac:dyDescent="0.2">
      <c r="B122" s="32">
        <f t="shared" si="34"/>
        <v>115</v>
      </c>
      <c r="C122" s="5"/>
      <c r="D122" s="5"/>
      <c r="E122" s="5">
        <v>223002</v>
      </c>
      <c r="F122" s="5"/>
      <c r="G122" s="5" t="s">
        <v>68</v>
      </c>
      <c r="H122" s="27">
        <v>8400</v>
      </c>
      <c r="I122" s="27"/>
      <c r="J122" s="27">
        <f t="shared" si="24"/>
        <v>8400</v>
      </c>
    </row>
    <row r="123" spans="2:10" x14ac:dyDescent="0.2">
      <c r="B123" s="32">
        <f t="shared" ref="B123:B155" si="36">B122+1</f>
        <v>116</v>
      </c>
      <c r="C123" s="10"/>
      <c r="D123" s="10"/>
      <c r="E123" s="10"/>
      <c r="F123" s="10"/>
      <c r="G123" s="10" t="s">
        <v>63</v>
      </c>
      <c r="H123" s="24">
        <f>H124</f>
        <v>6690</v>
      </c>
      <c r="I123" s="24">
        <f t="shared" ref="I123:I125" si="37">I124</f>
        <v>0</v>
      </c>
      <c r="J123" s="24">
        <f t="shared" si="24"/>
        <v>6690</v>
      </c>
    </row>
    <row r="124" spans="2:10" x14ac:dyDescent="0.2">
      <c r="B124" s="32">
        <f t="shared" si="36"/>
        <v>117</v>
      </c>
      <c r="C124" s="3">
        <v>220</v>
      </c>
      <c r="D124" s="3"/>
      <c r="E124" s="3"/>
      <c r="F124" s="3"/>
      <c r="G124" s="3" t="s">
        <v>224</v>
      </c>
      <c r="H124" s="25">
        <f>H125</f>
        <v>6690</v>
      </c>
      <c r="I124" s="25">
        <f t="shared" si="37"/>
        <v>0</v>
      </c>
      <c r="J124" s="25">
        <f t="shared" si="24"/>
        <v>6690</v>
      </c>
    </row>
    <row r="125" spans="2:10" x14ac:dyDescent="0.2">
      <c r="B125" s="32">
        <f t="shared" si="36"/>
        <v>118</v>
      </c>
      <c r="C125" s="4"/>
      <c r="D125" s="4">
        <v>223</v>
      </c>
      <c r="E125" s="4"/>
      <c r="F125" s="4"/>
      <c r="G125" s="4" t="s">
        <v>25</v>
      </c>
      <c r="H125" s="26">
        <f>H126</f>
        <v>6690</v>
      </c>
      <c r="I125" s="26">
        <f t="shared" si="37"/>
        <v>0</v>
      </c>
      <c r="J125" s="26">
        <f t="shared" si="24"/>
        <v>6690</v>
      </c>
    </row>
    <row r="126" spans="2:10" x14ac:dyDescent="0.2">
      <c r="B126" s="32">
        <f t="shared" si="36"/>
        <v>119</v>
      </c>
      <c r="C126" s="5"/>
      <c r="D126" s="5"/>
      <c r="E126" s="5">
        <v>223002</v>
      </c>
      <c r="F126" s="5"/>
      <c r="G126" s="5" t="s">
        <v>68</v>
      </c>
      <c r="H126" s="27">
        <v>6690</v>
      </c>
      <c r="I126" s="27"/>
      <c r="J126" s="27">
        <f t="shared" si="24"/>
        <v>6690</v>
      </c>
    </row>
    <row r="127" spans="2:10" x14ac:dyDescent="0.2">
      <c r="B127" s="32">
        <f t="shared" si="36"/>
        <v>120</v>
      </c>
      <c r="C127" s="10"/>
      <c r="D127" s="10"/>
      <c r="E127" s="10"/>
      <c r="F127" s="10"/>
      <c r="G127" s="10" t="s">
        <v>99</v>
      </c>
      <c r="H127" s="24">
        <f>H128</f>
        <v>8400</v>
      </c>
      <c r="I127" s="24">
        <f t="shared" ref="I127:I129" si="38">I128</f>
        <v>0</v>
      </c>
      <c r="J127" s="24">
        <f t="shared" si="24"/>
        <v>8400</v>
      </c>
    </row>
    <row r="128" spans="2:10" x14ac:dyDescent="0.2">
      <c r="B128" s="32">
        <f t="shared" si="36"/>
        <v>121</v>
      </c>
      <c r="C128" s="3">
        <v>220</v>
      </c>
      <c r="D128" s="3"/>
      <c r="E128" s="3"/>
      <c r="F128" s="3"/>
      <c r="G128" s="3" t="s">
        <v>224</v>
      </c>
      <c r="H128" s="25">
        <f>H129</f>
        <v>8400</v>
      </c>
      <c r="I128" s="25">
        <f t="shared" si="38"/>
        <v>0</v>
      </c>
      <c r="J128" s="25">
        <f t="shared" si="24"/>
        <v>8400</v>
      </c>
    </row>
    <row r="129" spans="2:10" x14ac:dyDescent="0.2">
      <c r="B129" s="32">
        <f t="shared" si="36"/>
        <v>122</v>
      </c>
      <c r="C129" s="4"/>
      <c r="D129" s="4">
        <v>223</v>
      </c>
      <c r="E129" s="4"/>
      <c r="F129" s="4"/>
      <c r="G129" s="4" t="s">
        <v>25</v>
      </c>
      <c r="H129" s="26">
        <f>H130</f>
        <v>8400</v>
      </c>
      <c r="I129" s="26">
        <f t="shared" si="38"/>
        <v>0</v>
      </c>
      <c r="J129" s="26">
        <f t="shared" si="24"/>
        <v>8400</v>
      </c>
    </row>
    <row r="130" spans="2:10" x14ac:dyDescent="0.2">
      <c r="B130" s="32">
        <f t="shared" si="36"/>
        <v>123</v>
      </c>
      <c r="C130" s="5"/>
      <c r="D130" s="5"/>
      <c r="E130" s="5">
        <v>223002</v>
      </c>
      <c r="F130" s="5"/>
      <c r="G130" s="5" t="s">
        <v>68</v>
      </c>
      <c r="H130" s="27">
        <v>8400</v>
      </c>
      <c r="I130" s="27"/>
      <c r="J130" s="27">
        <f t="shared" si="24"/>
        <v>8400</v>
      </c>
    </row>
    <row r="131" spans="2:10" x14ac:dyDescent="0.2">
      <c r="B131" s="32">
        <f t="shared" si="36"/>
        <v>124</v>
      </c>
      <c r="C131" s="10"/>
      <c r="D131" s="10"/>
      <c r="E131" s="10"/>
      <c r="F131" s="10"/>
      <c r="G131" s="10" t="s">
        <v>102</v>
      </c>
      <c r="H131" s="24">
        <f>H132</f>
        <v>8120</v>
      </c>
      <c r="I131" s="24">
        <f t="shared" ref="I131:I133" si="39">I132</f>
        <v>0</v>
      </c>
      <c r="J131" s="24">
        <f t="shared" si="24"/>
        <v>8120</v>
      </c>
    </row>
    <row r="132" spans="2:10" x14ac:dyDescent="0.2">
      <c r="B132" s="32">
        <f t="shared" si="36"/>
        <v>125</v>
      </c>
      <c r="C132" s="3">
        <v>220</v>
      </c>
      <c r="D132" s="3"/>
      <c r="E132" s="3"/>
      <c r="F132" s="3"/>
      <c r="G132" s="3" t="s">
        <v>224</v>
      </c>
      <c r="H132" s="25">
        <f>H133</f>
        <v>8120</v>
      </c>
      <c r="I132" s="25">
        <f t="shared" si="39"/>
        <v>0</v>
      </c>
      <c r="J132" s="25">
        <f t="shared" si="24"/>
        <v>8120</v>
      </c>
    </row>
    <row r="133" spans="2:10" x14ac:dyDescent="0.2">
      <c r="B133" s="32">
        <f t="shared" si="36"/>
        <v>126</v>
      </c>
      <c r="C133" s="4"/>
      <c r="D133" s="4">
        <v>223</v>
      </c>
      <c r="E133" s="4"/>
      <c r="F133" s="4"/>
      <c r="G133" s="4" t="s">
        <v>25</v>
      </c>
      <c r="H133" s="26">
        <f>H134</f>
        <v>8120</v>
      </c>
      <c r="I133" s="26">
        <f t="shared" si="39"/>
        <v>0</v>
      </c>
      <c r="J133" s="26">
        <f t="shared" si="24"/>
        <v>8120</v>
      </c>
    </row>
    <row r="134" spans="2:10" x14ac:dyDescent="0.2">
      <c r="B134" s="32">
        <f t="shared" si="36"/>
        <v>127</v>
      </c>
      <c r="C134" s="5"/>
      <c r="D134" s="5"/>
      <c r="E134" s="5">
        <v>223002</v>
      </c>
      <c r="F134" s="5"/>
      <c r="G134" s="5" t="s">
        <v>68</v>
      </c>
      <c r="H134" s="27">
        <v>8120</v>
      </c>
      <c r="I134" s="27"/>
      <c r="J134" s="27">
        <f t="shared" si="24"/>
        <v>8120</v>
      </c>
    </row>
    <row r="135" spans="2:10" x14ac:dyDescent="0.2">
      <c r="B135" s="32">
        <f t="shared" si="36"/>
        <v>128</v>
      </c>
      <c r="C135" s="10"/>
      <c r="D135" s="10"/>
      <c r="E135" s="10"/>
      <c r="F135" s="10"/>
      <c r="G135" s="10" t="s">
        <v>87</v>
      </c>
      <c r="H135" s="24">
        <f>H136</f>
        <v>12530</v>
      </c>
      <c r="I135" s="24">
        <f t="shared" ref="I135:I137" si="40">I136</f>
        <v>0</v>
      </c>
      <c r="J135" s="24">
        <f t="shared" si="24"/>
        <v>12530</v>
      </c>
    </row>
    <row r="136" spans="2:10" x14ac:dyDescent="0.2">
      <c r="B136" s="32">
        <f t="shared" si="36"/>
        <v>129</v>
      </c>
      <c r="C136" s="3">
        <v>220</v>
      </c>
      <c r="D136" s="3"/>
      <c r="E136" s="3"/>
      <c r="F136" s="3"/>
      <c r="G136" s="3" t="s">
        <v>224</v>
      </c>
      <c r="H136" s="25">
        <f>H137</f>
        <v>12530</v>
      </c>
      <c r="I136" s="25">
        <f t="shared" si="40"/>
        <v>0</v>
      </c>
      <c r="J136" s="25">
        <f t="shared" ref="J136:J199" si="41">H136+I136</f>
        <v>12530</v>
      </c>
    </row>
    <row r="137" spans="2:10" x14ac:dyDescent="0.2">
      <c r="B137" s="32">
        <f t="shared" si="36"/>
        <v>130</v>
      </c>
      <c r="C137" s="4"/>
      <c r="D137" s="4">
        <v>223</v>
      </c>
      <c r="E137" s="4"/>
      <c r="F137" s="4"/>
      <c r="G137" s="4" t="s">
        <v>25</v>
      </c>
      <c r="H137" s="26">
        <f>H138</f>
        <v>12530</v>
      </c>
      <c r="I137" s="26">
        <f t="shared" si="40"/>
        <v>0</v>
      </c>
      <c r="J137" s="26">
        <f t="shared" si="41"/>
        <v>12530</v>
      </c>
    </row>
    <row r="138" spans="2:10" x14ac:dyDescent="0.2">
      <c r="B138" s="32">
        <f t="shared" si="36"/>
        <v>131</v>
      </c>
      <c r="C138" s="5"/>
      <c r="D138" s="5"/>
      <c r="E138" s="5">
        <v>223002</v>
      </c>
      <c r="F138" s="5"/>
      <c r="G138" s="5" t="s">
        <v>68</v>
      </c>
      <c r="H138" s="27">
        <v>12530</v>
      </c>
      <c r="I138" s="27"/>
      <c r="J138" s="27">
        <f t="shared" si="41"/>
        <v>12530</v>
      </c>
    </row>
    <row r="139" spans="2:10" x14ac:dyDescent="0.2">
      <c r="B139" s="32">
        <f t="shared" si="36"/>
        <v>132</v>
      </c>
      <c r="C139" s="10"/>
      <c r="D139" s="10"/>
      <c r="E139" s="10"/>
      <c r="F139" s="10"/>
      <c r="G139" s="10" t="s">
        <v>84</v>
      </c>
      <c r="H139" s="24">
        <f>H140</f>
        <v>12815</v>
      </c>
      <c r="I139" s="24">
        <f t="shared" ref="I139:I141" si="42">I140</f>
        <v>0</v>
      </c>
      <c r="J139" s="24">
        <f t="shared" si="41"/>
        <v>12815</v>
      </c>
    </row>
    <row r="140" spans="2:10" x14ac:dyDescent="0.2">
      <c r="B140" s="32">
        <f t="shared" si="36"/>
        <v>133</v>
      </c>
      <c r="C140" s="3">
        <v>220</v>
      </c>
      <c r="D140" s="3"/>
      <c r="E140" s="3"/>
      <c r="F140" s="3"/>
      <c r="G140" s="3" t="s">
        <v>224</v>
      </c>
      <c r="H140" s="25">
        <f>H141</f>
        <v>12815</v>
      </c>
      <c r="I140" s="25">
        <f t="shared" si="42"/>
        <v>0</v>
      </c>
      <c r="J140" s="25">
        <f t="shared" si="41"/>
        <v>12815</v>
      </c>
    </row>
    <row r="141" spans="2:10" x14ac:dyDescent="0.2">
      <c r="B141" s="32">
        <f t="shared" si="36"/>
        <v>134</v>
      </c>
      <c r="C141" s="4"/>
      <c r="D141" s="4">
        <v>223</v>
      </c>
      <c r="E141" s="4"/>
      <c r="F141" s="4"/>
      <c r="G141" s="4" t="s">
        <v>25</v>
      </c>
      <c r="H141" s="26">
        <f>H142</f>
        <v>12815</v>
      </c>
      <c r="I141" s="26">
        <f t="shared" si="42"/>
        <v>0</v>
      </c>
      <c r="J141" s="26">
        <f t="shared" si="41"/>
        <v>12815</v>
      </c>
    </row>
    <row r="142" spans="2:10" x14ac:dyDescent="0.2">
      <c r="B142" s="32">
        <f t="shared" si="36"/>
        <v>135</v>
      </c>
      <c r="C142" s="5"/>
      <c r="D142" s="5"/>
      <c r="E142" s="5">
        <v>223002</v>
      </c>
      <c r="F142" s="5"/>
      <c r="G142" s="5" t="s">
        <v>68</v>
      </c>
      <c r="H142" s="27">
        <v>12815</v>
      </c>
      <c r="I142" s="27"/>
      <c r="J142" s="27">
        <f t="shared" si="41"/>
        <v>12815</v>
      </c>
    </row>
    <row r="143" spans="2:10" x14ac:dyDescent="0.2">
      <c r="B143" s="32">
        <f t="shared" si="36"/>
        <v>136</v>
      </c>
      <c r="C143" s="10"/>
      <c r="D143" s="10"/>
      <c r="E143" s="10"/>
      <c r="F143" s="10"/>
      <c r="G143" s="10" t="s">
        <v>106</v>
      </c>
      <c r="H143" s="24">
        <f>H144</f>
        <v>6980</v>
      </c>
      <c r="I143" s="24">
        <f t="shared" ref="I143:I145" si="43">I144</f>
        <v>0</v>
      </c>
      <c r="J143" s="24">
        <f t="shared" si="41"/>
        <v>6980</v>
      </c>
    </row>
    <row r="144" spans="2:10" x14ac:dyDescent="0.2">
      <c r="B144" s="32">
        <f t="shared" si="36"/>
        <v>137</v>
      </c>
      <c r="C144" s="3">
        <v>220</v>
      </c>
      <c r="D144" s="3"/>
      <c r="E144" s="3"/>
      <c r="F144" s="3"/>
      <c r="G144" s="3" t="s">
        <v>224</v>
      </c>
      <c r="H144" s="25">
        <f>H145</f>
        <v>6980</v>
      </c>
      <c r="I144" s="25">
        <f t="shared" si="43"/>
        <v>0</v>
      </c>
      <c r="J144" s="25">
        <f t="shared" si="41"/>
        <v>6980</v>
      </c>
    </row>
    <row r="145" spans="2:10" x14ac:dyDescent="0.2">
      <c r="B145" s="32">
        <f t="shared" si="36"/>
        <v>138</v>
      </c>
      <c r="C145" s="4"/>
      <c r="D145" s="4">
        <v>223</v>
      </c>
      <c r="E145" s="4"/>
      <c r="F145" s="4"/>
      <c r="G145" s="4" t="s">
        <v>25</v>
      </c>
      <c r="H145" s="26">
        <f>H146</f>
        <v>6980</v>
      </c>
      <c r="I145" s="26">
        <f t="shared" si="43"/>
        <v>0</v>
      </c>
      <c r="J145" s="26">
        <f t="shared" si="41"/>
        <v>6980</v>
      </c>
    </row>
    <row r="146" spans="2:10" x14ac:dyDescent="0.2">
      <c r="B146" s="32">
        <f t="shared" si="36"/>
        <v>139</v>
      </c>
      <c r="C146" s="5"/>
      <c r="D146" s="5"/>
      <c r="E146" s="5">
        <v>223002</v>
      </c>
      <c r="F146" s="5"/>
      <c r="G146" s="5" t="s">
        <v>68</v>
      </c>
      <c r="H146" s="27">
        <v>6980</v>
      </c>
      <c r="I146" s="27"/>
      <c r="J146" s="27">
        <f t="shared" si="41"/>
        <v>6980</v>
      </c>
    </row>
    <row r="147" spans="2:10" x14ac:dyDescent="0.2">
      <c r="B147" s="32">
        <f t="shared" si="36"/>
        <v>140</v>
      </c>
      <c r="C147" s="10"/>
      <c r="D147" s="10"/>
      <c r="E147" s="10"/>
      <c r="F147" s="10"/>
      <c r="G147" s="10" t="s">
        <v>251</v>
      </c>
      <c r="H147" s="24">
        <f>H148</f>
        <v>10880</v>
      </c>
      <c r="I147" s="24">
        <f t="shared" ref="I147:I148" si="44">I148</f>
        <v>0</v>
      </c>
      <c r="J147" s="24">
        <f t="shared" si="41"/>
        <v>10880</v>
      </c>
    </row>
    <row r="148" spans="2:10" x14ac:dyDescent="0.2">
      <c r="B148" s="32">
        <f t="shared" si="36"/>
        <v>141</v>
      </c>
      <c r="C148" s="3">
        <v>220</v>
      </c>
      <c r="D148" s="3"/>
      <c r="E148" s="3"/>
      <c r="F148" s="3"/>
      <c r="G148" s="3" t="s">
        <v>224</v>
      </c>
      <c r="H148" s="25">
        <f>H149</f>
        <v>10880</v>
      </c>
      <c r="I148" s="25">
        <f t="shared" si="44"/>
        <v>0</v>
      </c>
      <c r="J148" s="25">
        <f t="shared" si="41"/>
        <v>10880</v>
      </c>
    </row>
    <row r="149" spans="2:10" x14ac:dyDescent="0.2">
      <c r="B149" s="32">
        <f t="shared" si="36"/>
        <v>142</v>
      </c>
      <c r="C149" s="4"/>
      <c r="D149" s="4">
        <v>223</v>
      </c>
      <c r="E149" s="4"/>
      <c r="F149" s="4"/>
      <c r="G149" s="4" t="s">
        <v>25</v>
      </c>
      <c r="H149" s="26">
        <f>SUM(H150:H151)</f>
        <v>10880</v>
      </c>
      <c r="I149" s="26">
        <f t="shared" ref="I149" si="45">SUM(I150:I151)</f>
        <v>0</v>
      </c>
      <c r="J149" s="26">
        <f t="shared" si="41"/>
        <v>10880</v>
      </c>
    </row>
    <row r="150" spans="2:10" x14ac:dyDescent="0.2">
      <c r="B150" s="32">
        <f t="shared" si="36"/>
        <v>143</v>
      </c>
      <c r="C150" s="4"/>
      <c r="D150" s="4"/>
      <c r="E150" s="5">
        <v>223001</v>
      </c>
      <c r="F150" s="5"/>
      <c r="G150" s="5" t="s">
        <v>653</v>
      </c>
      <c r="H150" s="27">
        <v>350</v>
      </c>
      <c r="I150" s="27"/>
      <c r="J150" s="27">
        <f t="shared" si="41"/>
        <v>350</v>
      </c>
    </row>
    <row r="151" spans="2:10" x14ac:dyDescent="0.2">
      <c r="B151" s="32">
        <f t="shared" si="36"/>
        <v>144</v>
      </c>
      <c r="C151" s="5"/>
      <c r="D151" s="5"/>
      <c r="E151" s="5">
        <v>223002</v>
      </c>
      <c r="F151" s="5"/>
      <c r="G151" s="5" t="s">
        <v>68</v>
      </c>
      <c r="H151" s="27">
        <v>10530</v>
      </c>
      <c r="I151" s="27"/>
      <c r="J151" s="27">
        <f t="shared" si="41"/>
        <v>10530</v>
      </c>
    </row>
    <row r="152" spans="2:10" x14ac:dyDescent="0.2">
      <c r="B152" s="32">
        <f t="shared" si="36"/>
        <v>145</v>
      </c>
      <c r="C152" s="10"/>
      <c r="D152" s="10"/>
      <c r="E152" s="10"/>
      <c r="F152" s="10"/>
      <c r="G152" s="10" t="s">
        <v>65</v>
      </c>
      <c r="H152" s="24">
        <f>H153</f>
        <v>12390</v>
      </c>
      <c r="I152" s="24">
        <f t="shared" ref="I152:I154" si="46">I153</f>
        <v>0</v>
      </c>
      <c r="J152" s="24">
        <f t="shared" si="41"/>
        <v>12390</v>
      </c>
    </row>
    <row r="153" spans="2:10" x14ac:dyDescent="0.2">
      <c r="B153" s="32">
        <f t="shared" si="36"/>
        <v>146</v>
      </c>
      <c r="C153" s="3">
        <v>220</v>
      </c>
      <c r="D153" s="3"/>
      <c r="E153" s="3"/>
      <c r="F153" s="3"/>
      <c r="G153" s="3" t="s">
        <v>224</v>
      </c>
      <c r="H153" s="25">
        <f>H154</f>
        <v>12390</v>
      </c>
      <c r="I153" s="25">
        <f t="shared" si="46"/>
        <v>0</v>
      </c>
      <c r="J153" s="25">
        <f t="shared" si="41"/>
        <v>12390</v>
      </c>
    </row>
    <row r="154" spans="2:10" x14ac:dyDescent="0.2">
      <c r="B154" s="32">
        <f t="shared" si="36"/>
        <v>147</v>
      </c>
      <c r="C154" s="4"/>
      <c r="D154" s="4">
        <v>223</v>
      </c>
      <c r="E154" s="4"/>
      <c r="F154" s="4"/>
      <c r="G154" s="4" t="s">
        <v>25</v>
      </c>
      <c r="H154" s="26">
        <f>H155</f>
        <v>12390</v>
      </c>
      <c r="I154" s="26">
        <f t="shared" si="46"/>
        <v>0</v>
      </c>
      <c r="J154" s="26">
        <f t="shared" si="41"/>
        <v>12390</v>
      </c>
    </row>
    <row r="155" spans="2:10" x14ac:dyDescent="0.2">
      <c r="B155" s="32">
        <f t="shared" si="36"/>
        <v>148</v>
      </c>
      <c r="C155" s="5"/>
      <c r="D155" s="5"/>
      <c r="E155" s="5">
        <v>223002</v>
      </c>
      <c r="F155" s="5"/>
      <c r="G155" s="5" t="s">
        <v>68</v>
      </c>
      <c r="H155" s="27">
        <v>12390</v>
      </c>
      <c r="I155" s="27"/>
      <c r="J155" s="27">
        <f t="shared" si="41"/>
        <v>12390</v>
      </c>
    </row>
    <row r="156" spans="2:10" x14ac:dyDescent="0.2">
      <c r="B156" s="32">
        <f t="shared" ref="B156:B219" si="47">B155+1</f>
        <v>149</v>
      </c>
      <c r="C156" s="10"/>
      <c r="D156" s="10"/>
      <c r="E156" s="10"/>
      <c r="F156" s="10"/>
      <c r="G156" s="10" t="s">
        <v>66</v>
      </c>
      <c r="H156" s="24">
        <f>H157</f>
        <v>6550</v>
      </c>
      <c r="I156" s="24">
        <f t="shared" ref="I156:I158" si="48">I157</f>
        <v>0</v>
      </c>
      <c r="J156" s="24">
        <f t="shared" si="41"/>
        <v>6550</v>
      </c>
    </row>
    <row r="157" spans="2:10" x14ac:dyDescent="0.2">
      <c r="B157" s="32">
        <f t="shared" si="47"/>
        <v>150</v>
      </c>
      <c r="C157" s="3">
        <v>220</v>
      </c>
      <c r="D157" s="3"/>
      <c r="E157" s="3"/>
      <c r="F157" s="3"/>
      <c r="G157" s="3" t="s">
        <v>224</v>
      </c>
      <c r="H157" s="25">
        <f>H158</f>
        <v>6550</v>
      </c>
      <c r="I157" s="25">
        <f t="shared" si="48"/>
        <v>0</v>
      </c>
      <c r="J157" s="25">
        <f t="shared" si="41"/>
        <v>6550</v>
      </c>
    </row>
    <row r="158" spans="2:10" x14ac:dyDescent="0.2">
      <c r="B158" s="32">
        <f t="shared" si="47"/>
        <v>151</v>
      </c>
      <c r="C158" s="4"/>
      <c r="D158" s="4">
        <v>223</v>
      </c>
      <c r="E158" s="4"/>
      <c r="F158" s="4"/>
      <c r="G158" s="4" t="s">
        <v>25</v>
      </c>
      <c r="H158" s="26">
        <f>H159</f>
        <v>6550</v>
      </c>
      <c r="I158" s="26">
        <f t="shared" si="48"/>
        <v>0</v>
      </c>
      <c r="J158" s="26">
        <f t="shared" si="41"/>
        <v>6550</v>
      </c>
    </row>
    <row r="159" spans="2:10" ht="13.5" customHeight="1" x14ac:dyDescent="0.2">
      <c r="B159" s="32">
        <f t="shared" si="47"/>
        <v>152</v>
      </c>
      <c r="C159" s="5"/>
      <c r="D159" s="5"/>
      <c r="E159" s="5">
        <v>223002</v>
      </c>
      <c r="F159" s="5"/>
      <c r="G159" s="5" t="s">
        <v>68</v>
      </c>
      <c r="H159" s="27">
        <v>6550</v>
      </c>
      <c r="I159" s="27"/>
      <c r="J159" s="27">
        <f t="shared" si="41"/>
        <v>6550</v>
      </c>
    </row>
    <row r="160" spans="2:10" x14ac:dyDescent="0.2">
      <c r="B160" s="32">
        <f t="shared" si="47"/>
        <v>153</v>
      </c>
      <c r="C160" s="10"/>
      <c r="D160" s="10"/>
      <c r="E160" s="10"/>
      <c r="F160" s="10"/>
      <c r="G160" s="10" t="s">
        <v>97</v>
      </c>
      <c r="H160" s="24">
        <f>H161</f>
        <v>4700</v>
      </c>
      <c r="I160" s="24">
        <f t="shared" ref="I160:I162" si="49">I161</f>
        <v>0</v>
      </c>
      <c r="J160" s="24">
        <f t="shared" si="41"/>
        <v>4700</v>
      </c>
    </row>
    <row r="161" spans="2:10" x14ac:dyDescent="0.2">
      <c r="B161" s="32">
        <f t="shared" si="47"/>
        <v>154</v>
      </c>
      <c r="C161" s="3">
        <v>220</v>
      </c>
      <c r="D161" s="3"/>
      <c r="E161" s="3"/>
      <c r="F161" s="3"/>
      <c r="G161" s="3" t="s">
        <v>224</v>
      </c>
      <c r="H161" s="25">
        <f>H162</f>
        <v>4700</v>
      </c>
      <c r="I161" s="25">
        <f t="shared" si="49"/>
        <v>0</v>
      </c>
      <c r="J161" s="25">
        <f t="shared" si="41"/>
        <v>4700</v>
      </c>
    </row>
    <row r="162" spans="2:10" x14ac:dyDescent="0.2">
      <c r="B162" s="32">
        <f t="shared" si="47"/>
        <v>155</v>
      </c>
      <c r="C162" s="4"/>
      <c r="D162" s="4">
        <v>223</v>
      </c>
      <c r="E162" s="4"/>
      <c r="F162" s="4"/>
      <c r="G162" s="4" t="s">
        <v>25</v>
      </c>
      <c r="H162" s="26">
        <f>H163</f>
        <v>4700</v>
      </c>
      <c r="I162" s="26">
        <f t="shared" si="49"/>
        <v>0</v>
      </c>
      <c r="J162" s="26">
        <f t="shared" si="41"/>
        <v>4700</v>
      </c>
    </row>
    <row r="163" spans="2:10" x14ac:dyDescent="0.2">
      <c r="B163" s="32">
        <f t="shared" si="47"/>
        <v>156</v>
      </c>
      <c r="C163" s="5"/>
      <c r="D163" s="5"/>
      <c r="E163" s="5">
        <v>223002</v>
      </c>
      <c r="F163" s="5"/>
      <c r="G163" s="5" t="s">
        <v>68</v>
      </c>
      <c r="H163" s="27">
        <v>4700</v>
      </c>
      <c r="I163" s="27"/>
      <c r="J163" s="27">
        <f t="shared" si="41"/>
        <v>4700</v>
      </c>
    </row>
    <row r="164" spans="2:10" x14ac:dyDescent="0.2">
      <c r="B164" s="32">
        <f t="shared" si="47"/>
        <v>157</v>
      </c>
      <c r="C164" s="10"/>
      <c r="D164" s="10"/>
      <c r="E164" s="10"/>
      <c r="F164" s="10"/>
      <c r="G164" s="10" t="s">
        <v>209</v>
      </c>
      <c r="H164" s="24">
        <f>H165</f>
        <v>3410</v>
      </c>
      <c r="I164" s="24">
        <f t="shared" ref="I164:I166" si="50">I165</f>
        <v>0</v>
      </c>
      <c r="J164" s="24">
        <f t="shared" si="41"/>
        <v>3410</v>
      </c>
    </row>
    <row r="165" spans="2:10" x14ac:dyDescent="0.2">
      <c r="B165" s="32">
        <f t="shared" si="47"/>
        <v>158</v>
      </c>
      <c r="C165" s="3">
        <v>220</v>
      </c>
      <c r="D165" s="3"/>
      <c r="E165" s="3"/>
      <c r="F165" s="3"/>
      <c r="G165" s="3" t="s">
        <v>224</v>
      </c>
      <c r="H165" s="25">
        <f>H166</f>
        <v>3410</v>
      </c>
      <c r="I165" s="25">
        <f t="shared" si="50"/>
        <v>0</v>
      </c>
      <c r="J165" s="25">
        <f t="shared" si="41"/>
        <v>3410</v>
      </c>
    </row>
    <row r="166" spans="2:10" x14ac:dyDescent="0.2">
      <c r="B166" s="32">
        <f t="shared" si="47"/>
        <v>159</v>
      </c>
      <c r="C166" s="4"/>
      <c r="D166" s="4">
        <v>223</v>
      </c>
      <c r="E166" s="4"/>
      <c r="F166" s="4"/>
      <c r="G166" s="4" t="s">
        <v>25</v>
      </c>
      <c r="H166" s="26">
        <f>H167</f>
        <v>3410</v>
      </c>
      <c r="I166" s="26">
        <f t="shared" si="50"/>
        <v>0</v>
      </c>
      <c r="J166" s="26">
        <f t="shared" si="41"/>
        <v>3410</v>
      </c>
    </row>
    <row r="167" spans="2:10" x14ac:dyDescent="0.2">
      <c r="B167" s="32">
        <f t="shared" si="47"/>
        <v>160</v>
      </c>
      <c r="C167" s="5"/>
      <c r="D167" s="5"/>
      <c r="E167" s="5">
        <v>223002</v>
      </c>
      <c r="F167" s="5"/>
      <c r="G167" s="5" t="s">
        <v>68</v>
      </c>
      <c r="H167" s="27">
        <v>3410</v>
      </c>
      <c r="I167" s="27"/>
      <c r="J167" s="27">
        <f t="shared" si="41"/>
        <v>3410</v>
      </c>
    </row>
    <row r="168" spans="2:10" x14ac:dyDescent="0.2">
      <c r="B168" s="32">
        <f t="shared" si="47"/>
        <v>161</v>
      </c>
      <c r="C168" s="10"/>
      <c r="D168" s="10"/>
      <c r="E168" s="10"/>
      <c r="F168" s="10"/>
      <c r="G168" s="10" t="s">
        <v>67</v>
      </c>
      <c r="H168" s="24">
        <f>H169</f>
        <v>2420</v>
      </c>
      <c r="I168" s="24">
        <f t="shared" ref="I168:I170" si="51">I169</f>
        <v>0</v>
      </c>
      <c r="J168" s="24">
        <f t="shared" si="41"/>
        <v>2420</v>
      </c>
    </row>
    <row r="169" spans="2:10" x14ac:dyDescent="0.2">
      <c r="B169" s="32">
        <f t="shared" si="47"/>
        <v>162</v>
      </c>
      <c r="C169" s="3">
        <v>220</v>
      </c>
      <c r="D169" s="3"/>
      <c r="E169" s="3"/>
      <c r="F169" s="3"/>
      <c r="G169" s="3" t="s">
        <v>224</v>
      </c>
      <c r="H169" s="25">
        <f>H170</f>
        <v>2420</v>
      </c>
      <c r="I169" s="25">
        <f t="shared" si="51"/>
        <v>0</v>
      </c>
      <c r="J169" s="25">
        <f t="shared" si="41"/>
        <v>2420</v>
      </c>
    </row>
    <row r="170" spans="2:10" x14ac:dyDescent="0.2">
      <c r="B170" s="32">
        <f t="shared" si="47"/>
        <v>163</v>
      </c>
      <c r="C170" s="4"/>
      <c r="D170" s="4">
        <v>223</v>
      </c>
      <c r="E170" s="4"/>
      <c r="F170" s="4"/>
      <c r="G170" s="4" t="s">
        <v>25</v>
      </c>
      <c r="H170" s="26">
        <f>H171</f>
        <v>2420</v>
      </c>
      <c r="I170" s="26">
        <f t="shared" si="51"/>
        <v>0</v>
      </c>
      <c r="J170" s="26">
        <f t="shared" si="41"/>
        <v>2420</v>
      </c>
    </row>
    <row r="171" spans="2:10" x14ac:dyDescent="0.2">
      <c r="B171" s="32">
        <f t="shared" si="47"/>
        <v>164</v>
      </c>
      <c r="C171" s="5"/>
      <c r="D171" s="5"/>
      <c r="E171" s="5">
        <v>223002</v>
      </c>
      <c r="F171" s="5"/>
      <c r="G171" s="5" t="s">
        <v>68</v>
      </c>
      <c r="H171" s="27">
        <v>2420</v>
      </c>
      <c r="I171" s="27"/>
      <c r="J171" s="27">
        <f t="shared" si="41"/>
        <v>2420</v>
      </c>
    </row>
    <row r="172" spans="2:10" x14ac:dyDescent="0.2">
      <c r="B172" s="32">
        <f t="shared" si="47"/>
        <v>165</v>
      </c>
      <c r="C172" s="10"/>
      <c r="D172" s="10"/>
      <c r="E172" s="10"/>
      <c r="F172" s="10"/>
      <c r="G172" s="10" t="s">
        <v>109</v>
      </c>
      <c r="H172" s="24">
        <f>H173</f>
        <v>14950</v>
      </c>
      <c r="I172" s="24">
        <f t="shared" ref="I172:I174" si="52">I173</f>
        <v>0</v>
      </c>
      <c r="J172" s="24">
        <f t="shared" si="41"/>
        <v>14950</v>
      </c>
    </row>
    <row r="173" spans="2:10" x14ac:dyDescent="0.2">
      <c r="B173" s="32">
        <f t="shared" si="47"/>
        <v>166</v>
      </c>
      <c r="C173" s="3">
        <v>220</v>
      </c>
      <c r="D173" s="3"/>
      <c r="E173" s="3"/>
      <c r="F173" s="3"/>
      <c r="G173" s="3" t="s">
        <v>224</v>
      </c>
      <c r="H173" s="25">
        <f>H174</f>
        <v>14950</v>
      </c>
      <c r="I173" s="25">
        <f t="shared" si="52"/>
        <v>0</v>
      </c>
      <c r="J173" s="25">
        <f t="shared" si="41"/>
        <v>14950</v>
      </c>
    </row>
    <row r="174" spans="2:10" x14ac:dyDescent="0.2">
      <c r="B174" s="32">
        <f t="shared" si="47"/>
        <v>167</v>
      </c>
      <c r="C174" s="4"/>
      <c r="D174" s="4">
        <v>223</v>
      </c>
      <c r="E174" s="4"/>
      <c r="F174" s="4"/>
      <c r="G174" s="4" t="s">
        <v>25</v>
      </c>
      <c r="H174" s="26">
        <f>H175</f>
        <v>14950</v>
      </c>
      <c r="I174" s="26">
        <f t="shared" si="52"/>
        <v>0</v>
      </c>
      <c r="J174" s="26">
        <f t="shared" si="41"/>
        <v>14950</v>
      </c>
    </row>
    <row r="175" spans="2:10" x14ac:dyDescent="0.2">
      <c r="B175" s="32">
        <f t="shared" si="47"/>
        <v>168</v>
      </c>
      <c r="C175" s="5"/>
      <c r="D175" s="5"/>
      <c r="E175" s="5">
        <v>223002</v>
      </c>
      <c r="F175" s="5"/>
      <c r="G175" s="5" t="s">
        <v>68</v>
      </c>
      <c r="H175" s="27">
        <v>14950</v>
      </c>
      <c r="I175" s="27"/>
      <c r="J175" s="27">
        <f t="shared" si="41"/>
        <v>14950</v>
      </c>
    </row>
    <row r="176" spans="2:10" x14ac:dyDescent="0.2">
      <c r="B176" s="32">
        <f t="shared" si="47"/>
        <v>169</v>
      </c>
      <c r="C176" s="10"/>
      <c r="D176" s="10"/>
      <c r="E176" s="10"/>
      <c r="F176" s="10"/>
      <c r="G176" s="10" t="s">
        <v>93</v>
      </c>
      <c r="H176" s="24">
        <f>H177</f>
        <v>1060</v>
      </c>
      <c r="I176" s="24">
        <f t="shared" ref="I176:I178" si="53">I177</f>
        <v>0</v>
      </c>
      <c r="J176" s="24">
        <f t="shared" si="41"/>
        <v>1060</v>
      </c>
    </row>
    <row r="177" spans="2:10" x14ac:dyDescent="0.2">
      <c r="B177" s="32">
        <f t="shared" si="47"/>
        <v>170</v>
      </c>
      <c r="C177" s="3">
        <v>220</v>
      </c>
      <c r="D177" s="3"/>
      <c r="E177" s="3"/>
      <c r="F177" s="3"/>
      <c r="G177" s="3" t="s">
        <v>224</v>
      </c>
      <c r="H177" s="25">
        <f>H178</f>
        <v>1060</v>
      </c>
      <c r="I177" s="25">
        <f t="shared" si="53"/>
        <v>0</v>
      </c>
      <c r="J177" s="25">
        <f t="shared" si="41"/>
        <v>1060</v>
      </c>
    </row>
    <row r="178" spans="2:10" x14ac:dyDescent="0.2">
      <c r="B178" s="32">
        <f t="shared" si="47"/>
        <v>171</v>
      </c>
      <c r="C178" s="4"/>
      <c r="D178" s="4">
        <v>223</v>
      </c>
      <c r="E178" s="4"/>
      <c r="F178" s="4"/>
      <c r="G178" s="4" t="s">
        <v>25</v>
      </c>
      <c r="H178" s="26">
        <f>H179</f>
        <v>1060</v>
      </c>
      <c r="I178" s="26">
        <f t="shared" si="53"/>
        <v>0</v>
      </c>
      <c r="J178" s="26">
        <f t="shared" si="41"/>
        <v>1060</v>
      </c>
    </row>
    <row r="179" spans="2:10" ht="13.5" thickBot="1" x14ac:dyDescent="0.25">
      <c r="B179" s="32">
        <f t="shared" si="47"/>
        <v>172</v>
      </c>
      <c r="C179" s="5"/>
      <c r="D179" s="5"/>
      <c r="E179" s="5">
        <v>223002</v>
      </c>
      <c r="F179" s="5"/>
      <c r="G179" s="5" t="s">
        <v>68</v>
      </c>
      <c r="H179" s="27">
        <v>1060</v>
      </c>
      <c r="I179" s="27"/>
      <c r="J179" s="27">
        <f t="shared" si="41"/>
        <v>1060</v>
      </c>
    </row>
    <row r="180" spans="2:10" ht="15.75" thickBot="1" x14ac:dyDescent="0.3">
      <c r="B180" s="32">
        <f t="shared" si="47"/>
        <v>173</v>
      </c>
      <c r="C180" s="17">
        <v>5</v>
      </c>
      <c r="D180" s="17"/>
      <c r="E180" s="17"/>
      <c r="F180" s="17"/>
      <c r="G180" s="17" t="s">
        <v>266</v>
      </c>
      <c r="H180" s="23">
        <f>H181+H184+H190+H194+H201+H209+H213+H217+H221+H225+H229+H233</f>
        <v>717557</v>
      </c>
      <c r="I180" s="23">
        <f t="shared" ref="I180" si="54">I181+I184+I190+I194+I201+I209+I213+I217+I221+I225+I229+I233</f>
        <v>0</v>
      </c>
      <c r="J180" s="23">
        <f t="shared" si="41"/>
        <v>717557</v>
      </c>
    </row>
    <row r="181" spans="2:10" x14ac:dyDescent="0.2">
      <c r="B181" s="32">
        <f t="shared" si="47"/>
        <v>174</v>
      </c>
      <c r="C181" s="3">
        <v>220</v>
      </c>
      <c r="D181" s="3"/>
      <c r="E181" s="3"/>
      <c r="F181" s="3"/>
      <c r="G181" s="3" t="s">
        <v>224</v>
      </c>
      <c r="H181" s="25">
        <f>H182</f>
        <v>6600</v>
      </c>
      <c r="I181" s="25">
        <f t="shared" ref="I181:I182" si="55">I182</f>
        <v>0</v>
      </c>
      <c r="J181" s="25">
        <f t="shared" si="41"/>
        <v>6600</v>
      </c>
    </row>
    <row r="182" spans="2:10" x14ac:dyDescent="0.2">
      <c r="B182" s="32">
        <f t="shared" si="47"/>
        <v>175</v>
      </c>
      <c r="C182" s="4"/>
      <c r="D182" s="4">
        <v>223</v>
      </c>
      <c r="E182" s="4"/>
      <c r="F182" s="4"/>
      <c r="G182" s="4" t="s">
        <v>25</v>
      </c>
      <c r="H182" s="26">
        <f>H183</f>
        <v>6600</v>
      </c>
      <c r="I182" s="26">
        <f t="shared" si="55"/>
        <v>0</v>
      </c>
      <c r="J182" s="26">
        <f t="shared" si="41"/>
        <v>6600</v>
      </c>
    </row>
    <row r="183" spans="2:10" x14ac:dyDescent="0.2">
      <c r="B183" s="32">
        <f t="shared" si="47"/>
        <v>176</v>
      </c>
      <c r="C183" s="96"/>
      <c r="D183" s="96"/>
      <c r="E183" s="5">
        <v>223003</v>
      </c>
      <c r="F183" s="5"/>
      <c r="G183" s="5" t="s">
        <v>393</v>
      </c>
      <c r="H183" s="27">
        <v>6600</v>
      </c>
      <c r="I183" s="27"/>
      <c r="J183" s="27">
        <f t="shared" si="41"/>
        <v>6600</v>
      </c>
    </row>
    <row r="184" spans="2:10" x14ac:dyDescent="0.2">
      <c r="B184" s="32">
        <f t="shared" si="47"/>
        <v>177</v>
      </c>
      <c r="C184" s="10"/>
      <c r="D184" s="10"/>
      <c r="E184" s="10"/>
      <c r="F184" s="10"/>
      <c r="G184" s="10" t="s">
        <v>268</v>
      </c>
      <c r="H184" s="24">
        <f>H185</f>
        <v>119000</v>
      </c>
      <c r="I184" s="24">
        <f t="shared" ref="I184:I185" si="56">I185</f>
        <v>0</v>
      </c>
      <c r="J184" s="24">
        <f t="shared" si="41"/>
        <v>119000</v>
      </c>
    </row>
    <row r="185" spans="2:10" x14ac:dyDescent="0.2">
      <c r="B185" s="32">
        <f t="shared" si="47"/>
        <v>178</v>
      </c>
      <c r="C185" s="3">
        <v>220</v>
      </c>
      <c r="D185" s="3"/>
      <c r="E185" s="3"/>
      <c r="F185" s="3"/>
      <c r="G185" s="3" t="s">
        <v>224</v>
      </c>
      <c r="H185" s="25">
        <f>H186</f>
        <v>119000</v>
      </c>
      <c r="I185" s="25">
        <f t="shared" si="56"/>
        <v>0</v>
      </c>
      <c r="J185" s="25">
        <f t="shared" si="41"/>
        <v>119000</v>
      </c>
    </row>
    <row r="186" spans="2:10" x14ac:dyDescent="0.2">
      <c r="B186" s="32">
        <f t="shared" si="47"/>
        <v>179</v>
      </c>
      <c r="C186" s="4"/>
      <c r="D186" s="4">
        <v>223</v>
      </c>
      <c r="E186" s="4"/>
      <c r="F186" s="4"/>
      <c r="G186" s="4" t="s">
        <v>25</v>
      </c>
      <c r="H186" s="26">
        <f>SUM(H187:H189)</f>
        <v>119000</v>
      </c>
      <c r="I186" s="26">
        <f t="shared" ref="I186" si="57">SUM(I187:I189)</f>
        <v>0</v>
      </c>
      <c r="J186" s="26">
        <f t="shared" si="41"/>
        <v>119000</v>
      </c>
    </row>
    <row r="187" spans="2:10" x14ac:dyDescent="0.2">
      <c r="B187" s="32">
        <f t="shared" si="47"/>
        <v>180</v>
      </c>
      <c r="C187" s="5"/>
      <c r="D187" s="5"/>
      <c r="E187" s="5">
        <v>223002</v>
      </c>
      <c r="F187" s="5"/>
      <c r="G187" s="5" t="s">
        <v>68</v>
      </c>
      <c r="H187" s="27">
        <v>109000</v>
      </c>
      <c r="I187" s="27"/>
      <c r="J187" s="27">
        <f t="shared" si="41"/>
        <v>109000</v>
      </c>
    </row>
    <row r="188" spans="2:10" x14ac:dyDescent="0.2">
      <c r="B188" s="32">
        <f t="shared" si="47"/>
        <v>181</v>
      </c>
      <c r="C188" s="5"/>
      <c r="D188" s="5"/>
      <c r="E188" s="5">
        <v>223003</v>
      </c>
      <c r="F188" s="5"/>
      <c r="G188" s="5" t="s">
        <v>69</v>
      </c>
      <c r="H188" s="27">
        <v>9000</v>
      </c>
      <c r="I188" s="27"/>
      <c r="J188" s="27">
        <f t="shared" si="41"/>
        <v>9000</v>
      </c>
    </row>
    <row r="189" spans="2:10" x14ac:dyDescent="0.2">
      <c r="B189" s="32">
        <f t="shared" si="47"/>
        <v>182</v>
      </c>
      <c r="C189" s="5"/>
      <c r="D189" s="5"/>
      <c r="E189" s="5">
        <v>223003</v>
      </c>
      <c r="F189" s="5"/>
      <c r="G189" s="5" t="s">
        <v>394</v>
      </c>
      <c r="H189" s="27">
        <v>1000</v>
      </c>
      <c r="I189" s="27"/>
      <c r="J189" s="27">
        <f t="shared" si="41"/>
        <v>1000</v>
      </c>
    </row>
    <row r="190" spans="2:10" x14ac:dyDescent="0.2">
      <c r="B190" s="32">
        <f t="shared" si="47"/>
        <v>183</v>
      </c>
      <c r="C190" s="10"/>
      <c r="D190" s="10"/>
      <c r="E190" s="10"/>
      <c r="F190" s="10"/>
      <c r="G190" s="10" t="s">
        <v>267</v>
      </c>
      <c r="H190" s="24">
        <f>H191</f>
        <v>2000</v>
      </c>
      <c r="I190" s="24">
        <f t="shared" ref="I190:I192" si="58">I191</f>
        <v>0</v>
      </c>
      <c r="J190" s="24">
        <f t="shared" si="41"/>
        <v>2000</v>
      </c>
    </row>
    <row r="191" spans="2:10" x14ac:dyDescent="0.2">
      <c r="B191" s="32">
        <f t="shared" si="47"/>
        <v>184</v>
      </c>
      <c r="C191" s="3">
        <v>220</v>
      </c>
      <c r="D191" s="3"/>
      <c r="E191" s="3"/>
      <c r="F191" s="3"/>
      <c r="G191" s="3" t="s">
        <v>224</v>
      </c>
      <c r="H191" s="25">
        <f>H192</f>
        <v>2000</v>
      </c>
      <c r="I191" s="25">
        <f t="shared" si="58"/>
        <v>0</v>
      </c>
      <c r="J191" s="25">
        <f t="shared" si="41"/>
        <v>2000</v>
      </c>
    </row>
    <row r="192" spans="2:10" x14ac:dyDescent="0.2">
      <c r="B192" s="32">
        <f t="shared" si="47"/>
        <v>185</v>
      </c>
      <c r="C192" s="4"/>
      <c r="D192" s="4">
        <v>223</v>
      </c>
      <c r="E192" s="4"/>
      <c r="F192" s="4"/>
      <c r="G192" s="4" t="s">
        <v>25</v>
      </c>
      <c r="H192" s="26">
        <f>H193</f>
        <v>2000</v>
      </c>
      <c r="I192" s="26">
        <f t="shared" si="58"/>
        <v>0</v>
      </c>
      <c r="J192" s="26">
        <f t="shared" si="41"/>
        <v>2000</v>
      </c>
    </row>
    <row r="193" spans="2:10" x14ac:dyDescent="0.2">
      <c r="B193" s="32">
        <f t="shared" si="47"/>
        <v>186</v>
      </c>
      <c r="C193" s="5"/>
      <c r="D193" s="5"/>
      <c r="E193" s="5">
        <v>223001</v>
      </c>
      <c r="F193" s="5"/>
      <c r="G193" s="5" t="s">
        <v>26</v>
      </c>
      <c r="H193" s="27">
        <v>2000</v>
      </c>
      <c r="I193" s="27"/>
      <c r="J193" s="27">
        <f t="shared" si="41"/>
        <v>2000</v>
      </c>
    </row>
    <row r="194" spans="2:10" x14ac:dyDescent="0.2">
      <c r="B194" s="32">
        <f t="shared" si="47"/>
        <v>187</v>
      </c>
      <c r="C194" s="10"/>
      <c r="D194" s="10"/>
      <c r="E194" s="10"/>
      <c r="F194" s="10"/>
      <c r="G194" s="10" t="s">
        <v>395</v>
      </c>
      <c r="H194" s="24">
        <f>H195+H198</f>
        <v>9400</v>
      </c>
      <c r="I194" s="24">
        <f t="shared" ref="I194" si="59">I195+I198</f>
        <v>0</v>
      </c>
      <c r="J194" s="24">
        <f t="shared" si="41"/>
        <v>9400</v>
      </c>
    </row>
    <row r="195" spans="2:10" x14ac:dyDescent="0.2">
      <c r="B195" s="32">
        <f t="shared" si="47"/>
        <v>188</v>
      </c>
      <c r="C195" s="3">
        <v>210</v>
      </c>
      <c r="D195" s="3"/>
      <c r="E195" s="3"/>
      <c r="F195" s="3"/>
      <c r="G195" s="3" t="s">
        <v>21</v>
      </c>
      <c r="H195" s="25">
        <f>H196</f>
        <v>3600</v>
      </c>
      <c r="I195" s="25">
        <f t="shared" ref="I195:I196" si="60">I196</f>
        <v>0</v>
      </c>
      <c r="J195" s="25">
        <f t="shared" si="41"/>
        <v>3600</v>
      </c>
    </row>
    <row r="196" spans="2:10" x14ac:dyDescent="0.2">
      <c r="B196" s="32">
        <f t="shared" si="47"/>
        <v>189</v>
      </c>
      <c r="C196" s="4"/>
      <c r="D196" s="4">
        <v>212</v>
      </c>
      <c r="E196" s="4"/>
      <c r="F196" s="4"/>
      <c r="G196" s="4" t="s">
        <v>22</v>
      </c>
      <c r="H196" s="26">
        <f>H197</f>
        <v>3600</v>
      </c>
      <c r="I196" s="26">
        <f t="shared" si="60"/>
        <v>0</v>
      </c>
      <c r="J196" s="26">
        <f t="shared" si="41"/>
        <v>3600</v>
      </c>
    </row>
    <row r="197" spans="2:10" x14ac:dyDescent="0.2">
      <c r="B197" s="32">
        <f t="shared" si="47"/>
        <v>190</v>
      </c>
      <c r="C197" s="5"/>
      <c r="D197" s="5"/>
      <c r="E197" s="5">
        <v>212003</v>
      </c>
      <c r="F197" s="5"/>
      <c r="G197" s="5" t="s">
        <v>23</v>
      </c>
      <c r="H197" s="27">
        <v>3600</v>
      </c>
      <c r="I197" s="27"/>
      <c r="J197" s="27">
        <f t="shared" si="41"/>
        <v>3600</v>
      </c>
    </row>
    <row r="198" spans="2:10" x14ac:dyDescent="0.2">
      <c r="B198" s="32">
        <f t="shared" si="47"/>
        <v>191</v>
      </c>
      <c r="C198" s="3">
        <v>220</v>
      </c>
      <c r="D198" s="3"/>
      <c r="E198" s="3"/>
      <c r="F198" s="3"/>
      <c r="G198" s="3" t="s">
        <v>224</v>
      </c>
      <c r="H198" s="25">
        <f>H199</f>
        <v>5800</v>
      </c>
      <c r="I198" s="25">
        <f t="shared" ref="I198:I199" si="61">I199</f>
        <v>0</v>
      </c>
      <c r="J198" s="25">
        <f t="shared" si="41"/>
        <v>5800</v>
      </c>
    </row>
    <row r="199" spans="2:10" x14ac:dyDescent="0.2">
      <c r="B199" s="32">
        <f t="shared" si="47"/>
        <v>192</v>
      </c>
      <c r="C199" s="4"/>
      <c r="D199" s="4">
        <v>223</v>
      </c>
      <c r="E199" s="4"/>
      <c r="F199" s="4"/>
      <c r="G199" s="4" t="s">
        <v>25</v>
      </c>
      <c r="H199" s="26">
        <f>H200</f>
        <v>5800</v>
      </c>
      <c r="I199" s="26">
        <f t="shared" si="61"/>
        <v>0</v>
      </c>
      <c r="J199" s="26">
        <f t="shared" si="41"/>
        <v>5800</v>
      </c>
    </row>
    <row r="200" spans="2:10" x14ac:dyDescent="0.2">
      <c r="B200" s="32">
        <f t="shared" si="47"/>
        <v>193</v>
      </c>
      <c r="C200" s="5"/>
      <c r="D200" s="5"/>
      <c r="E200" s="5">
        <v>223001</v>
      </c>
      <c r="F200" s="5"/>
      <c r="G200" s="5" t="s">
        <v>26</v>
      </c>
      <c r="H200" s="27">
        <f>2200+3600</f>
        <v>5800</v>
      </c>
      <c r="I200" s="27"/>
      <c r="J200" s="27">
        <f t="shared" ref="J200:J266" si="62">H200+I200</f>
        <v>5800</v>
      </c>
    </row>
    <row r="201" spans="2:10" x14ac:dyDescent="0.2">
      <c r="B201" s="32">
        <f t="shared" si="47"/>
        <v>194</v>
      </c>
      <c r="C201" s="10"/>
      <c r="D201" s="10"/>
      <c r="E201" s="10"/>
      <c r="F201" s="10"/>
      <c r="G201" s="10" t="s">
        <v>247</v>
      </c>
      <c r="H201" s="24">
        <f>H202+H205</f>
        <v>130100</v>
      </c>
      <c r="I201" s="24">
        <f t="shared" ref="I201" si="63">I202+I205</f>
        <v>0</v>
      </c>
      <c r="J201" s="24">
        <f t="shared" si="62"/>
        <v>130100</v>
      </c>
    </row>
    <row r="202" spans="2:10" x14ac:dyDescent="0.2">
      <c r="B202" s="32">
        <f t="shared" si="47"/>
        <v>195</v>
      </c>
      <c r="C202" s="3">
        <v>210</v>
      </c>
      <c r="D202" s="3"/>
      <c r="E202" s="3"/>
      <c r="F202" s="3"/>
      <c r="G202" s="3" t="s">
        <v>21</v>
      </c>
      <c r="H202" s="25">
        <f>H203</f>
        <v>1000</v>
      </c>
      <c r="I202" s="25">
        <f t="shared" ref="I202:I203" si="64">I203</f>
        <v>0</v>
      </c>
      <c r="J202" s="25">
        <f t="shared" si="62"/>
        <v>1000</v>
      </c>
    </row>
    <row r="203" spans="2:10" x14ac:dyDescent="0.2">
      <c r="B203" s="32">
        <f t="shared" si="47"/>
        <v>196</v>
      </c>
      <c r="C203" s="4"/>
      <c r="D203" s="4">
        <v>212</v>
      </c>
      <c r="E203" s="4"/>
      <c r="F203" s="4"/>
      <c r="G203" s="4" t="s">
        <v>22</v>
      </c>
      <c r="H203" s="26">
        <f>H204</f>
        <v>1000</v>
      </c>
      <c r="I203" s="26">
        <f t="shared" si="64"/>
        <v>0</v>
      </c>
      <c r="J203" s="26">
        <f t="shared" si="62"/>
        <v>1000</v>
      </c>
    </row>
    <row r="204" spans="2:10" x14ac:dyDescent="0.2">
      <c r="B204" s="32">
        <f t="shared" si="47"/>
        <v>197</v>
      </c>
      <c r="C204" s="5"/>
      <c r="D204" s="5"/>
      <c r="E204" s="5">
        <v>212003</v>
      </c>
      <c r="F204" s="5"/>
      <c r="G204" s="5" t="s">
        <v>23</v>
      </c>
      <c r="H204" s="27">
        <v>1000</v>
      </c>
      <c r="I204" s="27"/>
      <c r="J204" s="27">
        <f t="shared" si="62"/>
        <v>1000</v>
      </c>
    </row>
    <row r="205" spans="2:10" x14ac:dyDescent="0.2">
      <c r="B205" s="32">
        <f t="shared" si="47"/>
        <v>198</v>
      </c>
      <c r="C205" s="3">
        <v>220</v>
      </c>
      <c r="D205" s="3"/>
      <c r="E205" s="3"/>
      <c r="F205" s="3"/>
      <c r="G205" s="3" t="s">
        <v>224</v>
      </c>
      <c r="H205" s="25">
        <f>H206</f>
        <v>129100</v>
      </c>
      <c r="I205" s="25">
        <f t="shared" ref="I205" si="65">I206</f>
        <v>0</v>
      </c>
      <c r="J205" s="25">
        <f t="shared" si="62"/>
        <v>129100</v>
      </c>
    </row>
    <row r="206" spans="2:10" x14ac:dyDescent="0.2">
      <c r="B206" s="32">
        <f t="shared" si="47"/>
        <v>199</v>
      </c>
      <c r="C206" s="4"/>
      <c r="D206" s="4">
        <v>223</v>
      </c>
      <c r="E206" s="4"/>
      <c r="F206" s="4"/>
      <c r="G206" s="4" t="s">
        <v>25</v>
      </c>
      <c r="H206" s="26">
        <f>H207+H208</f>
        <v>129100</v>
      </c>
      <c r="I206" s="26">
        <f t="shared" ref="I206" si="66">I207+I208</f>
        <v>0</v>
      </c>
      <c r="J206" s="26">
        <f t="shared" si="62"/>
        <v>129100</v>
      </c>
    </row>
    <row r="207" spans="2:10" x14ac:dyDescent="0.2">
      <c r="B207" s="32">
        <f t="shared" si="47"/>
        <v>200</v>
      </c>
      <c r="C207" s="5"/>
      <c r="D207" s="5"/>
      <c r="E207" s="5">
        <v>223001</v>
      </c>
      <c r="F207" s="5"/>
      <c r="G207" s="5" t="s">
        <v>396</v>
      </c>
      <c r="H207" s="27">
        <v>108000</v>
      </c>
      <c r="I207" s="27"/>
      <c r="J207" s="27">
        <f t="shared" si="62"/>
        <v>108000</v>
      </c>
    </row>
    <row r="208" spans="2:10" x14ac:dyDescent="0.2">
      <c r="B208" s="32">
        <f t="shared" si="47"/>
        <v>201</v>
      </c>
      <c r="C208" s="5"/>
      <c r="D208" s="5"/>
      <c r="E208" s="5">
        <v>223001</v>
      </c>
      <c r="F208" s="5"/>
      <c r="G208" s="5" t="s">
        <v>397</v>
      </c>
      <c r="H208" s="27">
        <v>21100</v>
      </c>
      <c r="I208" s="27"/>
      <c r="J208" s="27">
        <f t="shared" si="62"/>
        <v>21100</v>
      </c>
    </row>
    <row r="209" spans="2:10" x14ac:dyDescent="0.2">
      <c r="B209" s="32">
        <f t="shared" si="47"/>
        <v>202</v>
      </c>
      <c r="C209" s="10"/>
      <c r="D209" s="10"/>
      <c r="E209" s="10"/>
      <c r="F209" s="10"/>
      <c r="G209" s="10" t="s">
        <v>398</v>
      </c>
      <c r="H209" s="24">
        <f>H210</f>
        <v>191200</v>
      </c>
      <c r="I209" s="24">
        <f t="shared" ref="I209:I211" si="67">I210</f>
        <v>0</v>
      </c>
      <c r="J209" s="24">
        <f t="shared" si="62"/>
        <v>191200</v>
      </c>
    </row>
    <row r="210" spans="2:10" x14ac:dyDescent="0.2">
      <c r="B210" s="32">
        <f t="shared" si="47"/>
        <v>203</v>
      </c>
      <c r="C210" s="3">
        <v>220</v>
      </c>
      <c r="D210" s="3"/>
      <c r="E210" s="3"/>
      <c r="F210" s="3"/>
      <c r="G210" s="3" t="s">
        <v>224</v>
      </c>
      <c r="H210" s="25">
        <f>H211</f>
        <v>191200</v>
      </c>
      <c r="I210" s="25">
        <f t="shared" si="67"/>
        <v>0</v>
      </c>
      <c r="J210" s="25">
        <f t="shared" si="62"/>
        <v>191200</v>
      </c>
    </row>
    <row r="211" spans="2:10" x14ac:dyDescent="0.2">
      <c r="B211" s="32">
        <f t="shared" si="47"/>
        <v>204</v>
      </c>
      <c r="C211" s="4"/>
      <c r="D211" s="4">
        <v>223</v>
      </c>
      <c r="E211" s="4"/>
      <c r="F211" s="4"/>
      <c r="G211" s="4" t="s">
        <v>25</v>
      </c>
      <c r="H211" s="26">
        <f>H212</f>
        <v>191200</v>
      </c>
      <c r="I211" s="26">
        <f t="shared" si="67"/>
        <v>0</v>
      </c>
      <c r="J211" s="26">
        <f t="shared" si="62"/>
        <v>191200</v>
      </c>
    </row>
    <row r="212" spans="2:10" x14ac:dyDescent="0.2">
      <c r="B212" s="32">
        <f t="shared" si="47"/>
        <v>205</v>
      </c>
      <c r="C212" s="5"/>
      <c r="D212" s="5"/>
      <c r="E212" s="5">
        <v>223001</v>
      </c>
      <c r="F212" s="5"/>
      <c r="G212" s="5" t="s">
        <v>405</v>
      </c>
      <c r="H212" s="27">
        <v>191200</v>
      </c>
      <c r="I212" s="27"/>
      <c r="J212" s="27">
        <f t="shared" si="62"/>
        <v>191200</v>
      </c>
    </row>
    <row r="213" spans="2:10" x14ac:dyDescent="0.2">
      <c r="B213" s="32">
        <f t="shared" si="47"/>
        <v>206</v>
      </c>
      <c r="C213" s="10"/>
      <c r="D213" s="10"/>
      <c r="E213" s="10"/>
      <c r="F213" s="10"/>
      <c r="G213" s="10" t="s">
        <v>399</v>
      </c>
      <c r="H213" s="24">
        <f>H214</f>
        <v>9300</v>
      </c>
      <c r="I213" s="24">
        <f t="shared" ref="I213:I215" si="68">I214</f>
        <v>0</v>
      </c>
      <c r="J213" s="24">
        <f t="shared" si="62"/>
        <v>9300</v>
      </c>
    </row>
    <row r="214" spans="2:10" x14ac:dyDescent="0.2">
      <c r="B214" s="32">
        <f t="shared" si="47"/>
        <v>207</v>
      </c>
      <c r="C214" s="3">
        <v>220</v>
      </c>
      <c r="D214" s="3"/>
      <c r="E214" s="3"/>
      <c r="F214" s="3"/>
      <c r="G214" s="3" t="s">
        <v>224</v>
      </c>
      <c r="H214" s="25">
        <f>H215</f>
        <v>9300</v>
      </c>
      <c r="I214" s="25">
        <f t="shared" si="68"/>
        <v>0</v>
      </c>
      <c r="J214" s="25">
        <f t="shared" si="62"/>
        <v>9300</v>
      </c>
    </row>
    <row r="215" spans="2:10" x14ac:dyDescent="0.2">
      <c r="B215" s="32">
        <f t="shared" si="47"/>
        <v>208</v>
      </c>
      <c r="C215" s="4"/>
      <c r="D215" s="4">
        <v>223</v>
      </c>
      <c r="E215" s="4"/>
      <c r="F215" s="4"/>
      <c r="G215" s="4" t="s">
        <v>25</v>
      </c>
      <c r="H215" s="26">
        <f>H216</f>
        <v>9300</v>
      </c>
      <c r="I215" s="26">
        <f t="shared" si="68"/>
        <v>0</v>
      </c>
      <c r="J215" s="26">
        <f t="shared" si="62"/>
        <v>9300</v>
      </c>
    </row>
    <row r="216" spans="2:10" x14ac:dyDescent="0.2">
      <c r="B216" s="32">
        <f t="shared" si="47"/>
        <v>209</v>
      </c>
      <c r="C216" s="5"/>
      <c r="D216" s="5"/>
      <c r="E216" s="5">
        <v>223001</v>
      </c>
      <c r="F216" s="5"/>
      <c r="G216" s="5" t="s">
        <v>405</v>
      </c>
      <c r="H216" s="27">
        <v>9300</v>
      </c>
      <c r="I216" s="27"/>
      <c r="J216" s="27">
        <f t="shared" si="62"/>
        <v>9300</v>
      </c>
    </row>
    <row r="217" spans="2:10" x14ac:dyDescent="0.2">
      <c r="B217" s="32">
        <f t="shared" si="47"/>
        <v>210</v>
      </c>
      <c r="C217" s="10"/>
      <c r="D217" s="10"/>
      <c r="E217" s="10"/>
      <c r="F217" s="10"/>
      <c r="G217" s="10" t="s">
        <v>400</v>
      </c>
      <c r="H217" s="24">
        <f>H218</f>
        <v>134000</v>
      </c>
      <c r="I217" s="24">
        <f t="shared" ref="I217:I219" si="69">I218</f>
        <v>0</v>
      </c>
      <c r="J217" s="24">
        <f t="shared" si="62"/>
        <v>134000</v>
      </c>
    </row>
    <row r="218" spans="2:10" x14ac:dyDescent="0.2">
      <c r="B218" s="32">
        <f t="shared" si="47"/>
        <v>211</v>
      </c>
      <c r="C218" s="3">
        <v>220</v>
      </c>
      <c r="D218" s="3"/>
      <c r="E218" s="3"/>
      <c r="F218" s="3"/>
      <c r="G218" s="3" t="s">
        <v>224</v>
      </c>
      <c r="H218" s="25">
        <f>H219</f>
        <v>134000</v>
      </c>
      <c r="I218" s="25">
        <f t="shared" si="69"/>
        <v>0</v>
      </c>
      <c r="J218" s="25">
        <f t="shared" si="62"/>
        <v>134000</v>
      </c>
    </row>
    <row r="219" spans="2:10" x14ac:dyDescent="0.2">
      <c r="B219" s="32">
        <f t="shared" si="47"/>
        <v>212</v>
      </c>
      <c r="C219" s="4"/>
      <c r="D219" s="4">
        <v>223</v>
      </c>
      <c r="E219" s="4"/>
      <c r="F219" s="4"/>
      <c r="G219" s="4" t="s">
        <v>25</v>
      </c>
      <c r="H219" s="26">
        <f>H220</f>
        <v>134000</v>
      </c>
      <c r="I219" s="26">
        <f t="shared" si="69"/>
        <v>0</v>
      </c>
      <c r="J219" s="26">
        <f t="shared" si="62"/>
        <v>134000</v>
      </c>
    </row>
    <row r="220" spans="2:10" x14ac:dyDescent="0.2">
      <c r="B220" s="32">
        <f t="shared" ref="B220:B244" si="70">B219+1</f>
        <v>213</v>
      </c>
      <c r="C220" s="5"/>
      <c r="D220" s="5"/>
      <c r="E220" s="5">
        <v>223001</v>
      </c>
      <c r="F220" s="5"/>
      <c r="G220" s="5" t="s">
        <v>405</v>
      </c>
      <c r="H220" s="27">
        <v>134000</v>
      </c>
      <c r="I220" s="27"/>
      <c r="J220" s="27">
        <f t="shared" si="62"/>
        <v>134000</v>
      </c>
    </row>
    <row r="221" spans="2:10" x14ac:dyDescent="0.2">
      <c r="B221" s="32">
        <f t="shared" si="70"/>
        <v>214</v>
      </c>
      <c r="C221" s="10"/>
      <c r="D221" s="10"/>
      <c r="E221" s="10"/>
      <c r="F221" s="10"/>
      <c r="G221" s="10" t="s">
        <v>403</v>
      </c>
      <c r="H221" s="24">
        <f>H222</f>
        <v>82643</v>
      </c>
      <c r="I221" s="24">
        <f t="shared" ref="I221:I223" si="71">I222</f>
        <v>0</v>
      </c>
      <c r="J221" s="24">
        <f t="shared" si="62"/>
        <v>82643</v>
      </c>
    </row>
    <row r="222" spans="2:10" x14ac:dyDescent="0.2">
      <c r="B222" s="32">
        <f t="shared" si="70"/>
        <v>215</v>
      </c>
      <c r="C222" s="3">
        <v>220</v>
      </c>
      <c r="D222" s="3"/>
      <c r="E222" s="3"/>
      <c r="F222" s="3"/>
      <c r="G222" s="3" t="s">
        <v>224</v>
      </c>
      <c r="H222" s="25">
        <f>H223</f>
        <v>82643</v>
      </c>
      <c r="I222" s="25">
        <f t="shared" si="71"/>
        <v>0</v>
      </c>
      <c r="J222" s="25">
        <f t="shared" si="62"/>
        <v>82643</v>
      </c>
    </row>
    <row r="223" spans="2:10" x14ac:dyDescent="0.2">
      <c r="B223" s="32">
        <f t="shared" si="70"/>
        <v>216</v>
      </c>
      <c r="C223" s="4"/>
      <c r="D223" s="4">
        <v>223</v>
      </c>
      <c r="E223" s="4"/>
      <c r="F223" s="4"/>
      <c r="G223" s="4" t="s">
        <v>25</v>
      </c>
      <c r="H223" s="26">
        <f>H224</f>
        <v>82643</v>
      </c>
      <c r="I223" s="26">
        <f t="shared" si="71"/>
        <v>0</v>
      </c>
      <c r="J223" s="26">
        <f t="shared" si="62"/>
        <v>82643</v>
      </c>
    </row>
    <row r="224" spans="2:10" x14ac:dyDescent="0.2">
      <c r="B224" s="32">
        <f t="shared" si="70"/>
        <v>217</v>
      </c>
      <c r="C224" s="5"/>
      <c r="D224" s="5"/>
      <c r="E224" s="5">
        <v>223001</v>
      </c>
      <c r="F224" s="5"/>
      <c r="G224" s="5" t="s">
        <v>401</v>
      </c>
      <c r="H224" s="27">
        <f>95200-12557</f>
        <v>82643</v>
      </c>
      <c r="I224" s="27"/>
      <c r="J224" s="27">
        <f t="shared" si="62"/>
        <v>82643</v>
      </c>
    </row>
    <row r="225" spans="2:10" x14ac:dyDescent="0.2">
      <c r="B225" s="32">
        <f t="shared" si="70"/>
        <v>218</v>
      </c>
      <c r="C225" s="10"/>
      <c r="D225" s="10"/>
      <c r="E225" s="10"/>
      <c r="F225" s="10"/>
      <c r="G225" s="10" t="s">
        <v>404</v>
      </c>
      <c r="H225" s="24">
        <f>H226</f>
        <v>5500</v>
      </c>
      <c r="I225" s="24">
        <f t="shared" ref="I225:I227" si="72">I226</f>
        <v>0</v>
      </c>
      <c r="J225" s="24">
        <f t="shared" si="62"/>
        <v>5500</v>
      </c>
    </row>
    <row r="226" spans="2:10" x14ac:dyDescent="0.2">
      <c r="B226" s="32">
        <f t="shared" si="70"/>
        <v>219</v>
      </c>
      <c r="C226" s="3">
        <v>220</v>
      </c>
      <c r="D226" s="3"/>
      <c r="E226" s="3"/>
      <c r="F226" s="3"/>
      <c r="G226" s="3" t="s">
        <v>224</v>
      </c>
      <c r="H226" s="25">
        <f>H227</f>
        <v>5500</v>
      </c>
      <c r="I226" s="25">
        <f t="shared" si="72"/>
        <v>0</v>
      </c>
      <c r="J226" s="25">
        <f t="shared" si="62"/>
        <v>5500</v>
      </c>
    </row>
    <row r="227" spans="2:10" x14ac:dyDescent="0.2">
      <c r="B227" s="32">
        <f t="shared" si="70"/>
        <v>220</v>
      </c>
      <c r="C227" s="4"/>
      <c r="D227" s="4">
        <v>223</v>
      </c>
      <c r="E227" s="4"/>
      <c r="F227" s="4"/>
      <c r="G227" s="4" t="s">
        <v>25</v>
      </c>
      <c r="H227" s="26">
        <f>H228</f>
        <v>5500</v>
      </c>
      <c r="I227" s="26">
        <f t="shared" si="72"/>
        <v>0</v>
      </c>
      <c r="J227" s="26">
        <f t="shared" si="62"/>
        <v>5500</v>
      </c>
    </row>
    <row r="228" spans="2:10" x14ac:dyDescent="0.2">
      <c r="B228" s="32">
        <f t="shared" si="70"/>
        <v>221</v>
      </c>
      <c r="C228" s="5"/>
      <c r="D228" s="5"/>
      <c r="E228" s="5">
        <v>223001</v>
      </c>
      <c r="F228" s="5"/>
      <c r="G228" s="5" t="s">
        <v>402</v>
      </c>
      <c r="H228" s="27">
        <v>5500</v>
      </c>
      <c r="I228" s="27"/>
      <c r="J228" s="27">
        <f t="shared" si="62"/>
        <v>5500</v>
      </c>
    </row>
    <row r="229" spans="2:10" x14ac:dyDescent="0.2">
      <c r="B229" s="32">
        <f t="shared" si="70"/>
        <v>222</v>
      </c>
      <c r="C229" s="10"/>
      <c r="D229" s="10"/>
      <c r="E229" s="10"/>
      <c r="F229" s="10"/>
      <c r="G229" s="10" t="s">
        <v>288</v>
      </c>
      <c r="H229" s="24">
        <f>H230</f>
        <v>7300</v>
      </c>
      <c r="I229" s="24">
        <f t="shared" ref="I229:I231" si="73">I230</f>
        <v>0</v>
      </c>
      <c r="J229" s="24">
        <f t="shared" si="62"/>
        <v>7300</v>
      </c>
    </row>
    <row r="230" spans="2:10" x14ac:dyDescent="0.2">
      <c r="B230" s="32">
        <f t="shared" si="70"/>
        <v>223</v>
      </c>
      <c r="C230" s="3">
        <v>220</v>
      </c>
      <c r="D230" s="3"/>
      <c r="E230" s="3"/>
      <c r="F230" s="3"/>
      <c r="G230" s="3" t="s">
        <v>224</v>
      </c>
      <c r="H230" s="25">
        <f>H231</f>
        <v>7300</v>
      </c>
      <c r="I230" s="25">
        <f t="shared" si="73"/>
        <v>0</v>
      </c>
      <c r="J230" s="25">
        <f t="shared" si="62"/>
        <v>7300</v>
      </c>
    </row>
    <row r="231" spans="2:10" x14ac:dyDescent="0.2">
      <c r="B231" s="32">
        <f t="shared" si="70"/>
        <v>224</v>
      </c>
      <c r="C231" s="4"/>
      <c r="D231" s="4">
        <v>223</v>
      </c>
      <c r="E231" s="4"/>
      <c r="F231" s="4"/>
      <c r="G231" s="4" t="s">
        <v>25</v>
      </c>
      <c r="H231" s="26">
        <f>H232</f>
        <v>7300</v>
      </c>
      <c r="I231" s="26">
        <f t="shared" si="73"/>
        <v>0</v>
      </c>
      <c r="J231" s="26">
        <f t="shared" si="62"/>
        <v>7300</v>
      </c>
    </row>
    <row r="232" spans="2:10" x14ac:dyDescent="0.2">
      <c r="B232" s="32">
        <f t="shared" si="70"/>
        <v>225</v>
      </c>
      <c r="C232" s="5"/>
      <c r="D232" s="5"/>
      <c r="E232" s="5">
        <v>223001</v>
      </c>
      <c r="F232" s="5"/>
      <c r="G232" s="5" t="s">
        <v>26</v>
      </c>
      <c r="H232" s="27">
        <v>7300</v>
      </c>
      <c r="I232" s="27"/>
      <c r="J232" s="27">
        <f t="shared" si="62"/>
        <v>7300</v>
      </c>
    </row>
    <row r="233" spans="2:10" x14ac:dyDescent="0.2">
      <c r="B233" s="32">
        <f t="shared" si="70"/>
        <v>226</v>
      </c>
      <c r="C233" s="10">
        <v>290</v>
      </c>
      <c r="D233" s="10"/>
      <c r="E233" s="10"/>
      <c r="F233" s="10"/>
      <c r="G233" s="10" t="s">
        <v>175</v>
      </c>
      <c r="H233" s="24">
        <f>H234</f>
        <v>20514</v>
      </c>
      <c r="I233" s="24">
        <f t="shared" ref="I233" si="74">I234</f>
        <v>0</v>
      </c>
      <c r="J233" s="24">
        <f t="shared" si="62"/>
        <v>20514</v>
      </c>
    </row>
    <row r="234" spans="2:10" x14ac:dyDescent="0.2">
      <c r="B234" s="32">
        <f t="shared" si="70"/>
        <v>227</v>
      </c>
      <c r="C234" s="3"/>
      <c r="D234" s="3">
        <v>292</v>
      </c>
      <c r="E234" s="3"/>
      <c r="F234" s="3"/>
      <c r="G234" s="3" t="s">
        <v>176</v>
      </c>
      <c r="H234" s="25">
        <f>H235</f>
        <v>20514</v>
      </c>
      <c r="I234" s="25">
        <v>0</v>
      </c>
      <c r="J234" s="25">
        <f t="shared" si="62"/>
        <v>20514</v>
      </c>
    </row>
    <row r="235" spans="2:10" ht="13.5" thickBot="1" x14ac:dyDescent="0.25">
      <c r="B235" s="32">
        <f t="shared" si="70"/>
        <v>228</v>
      </c>
      <c r="C235" s="3"/>
      <c r="D235" s="3"/>
      <c r="E235" s="4">
        <v>292</v>
      </c>
      <c r="F235" s="4"/>
      <c r="G235" s="4" t="s">
        <v>176</v>
      </c>
      <c r="H235" s="26">
        <v>20514</v>
      </c>
      <c r="I235" s="26"/>
      <c r="J235" s="26">
        <f t="shared" si="62"/>
        <v>20514</v>
      </c>
    </row>
    <row r="236" spans="2:10" ht="15.75" thickBot="1" x14ac:dyDescent="0.3">
      <c r="B236" s="32">
        <f t="shared" si="70"/>
        <v>229</v>
      </c>
      <c r="C236" s="17">
        <v>6</v>
      </c>
      <c r="D236" s="17"/>
      <c r="E236" s="17"/>
      <c r="F236" s="17"/>
      <c r="G236" s="17" t="s">
        <v>82</v>
      </c>
      <c r="H236" s="23">
        <f>H247+H244+H240+H237</f>
        <v>24890</v>
      </c>
      <c r="I236" s="23">
        <f t="shared" ref="I236" si="75">I247+I244+I240+I237</f>
        <v>344</v>
      </c>
      <c r="J236" s="23">
        <f t="shared" si="62"/>
        <v>25234</v>
      </c>
    </row>
    <row r="237" spans="2:10" x14ac:dyDescent="0.2">
      <c r="B237" s="32">
        <f t="shared" si="70"/>
        <v>230</v>
      </c>
      <c r="C237" s="10">
        <v>210</v>
      </c>
      <c r="D237" s="10"/>
      <c r="E237" s="10"/>
      <c r="F237" s="10"/>
      <c r="G237" s="10" t="s">
        <v>21</v>
      </c>
      <c r="H237" s="24">
        <f>H238</f>
        <v>1455</v>
      </c>
      <c r="I237" s="24">
        <f t="shared" ref="I237:I238" si="76">I238</f>
        <v>-106</v>
      </c>
      <c r="J237" s="24">
        <f t="shared" si="62"/>
        <v>1349</v>
      </c>
    </row>
    <row r="238" spans="2:10" x14ac:dyDescent="0.2">
      <c r="B238" s="32">
        <f t="shared" si="70"/>
        <v>231</v>
      </c>
      <c r="C238" s="3"/>
      <c r="D238" s="3">
        <v>212</v>
      </c>
      <c r="E238" s="3"/>
      <c r="F238" s="3"/>
      <c r="G238" s="3" t="s">
        <v>22</v>
      </c>
      <c r="H238" s="25">
        <f>H239</f>
        <v>1455</v>
      </c>
      <c r="I238" s="25">
        <f t="shared" si="76"/>
        <v>-106</v>
      </c>
      <c r="J238" s="25">
        <f t="shared" si="62"/>
        <v>1349</v>
      </c>
    </row>
    <row r="239" spans="2:10" x14ac:dyDescent="0.2">
      <c r="B239" s="32">
        <f t="shared" si="70"/>
        <v>232</v>
      </c>
      <c r="C239" s="4"/>
      <c r="D239" s="4"/>
      <c r="E239" s="4">
        <v>212003</v>
      </c>
      <c r="F239" s="4"/>
      <c r="G239" s="4" t="s">
        <v>23</v>
      </c>
      <c r="H239" s="26">
        <v>1455</v>
      </c>
      <c r="I239" s="26">
        <v>-106</v>
      </c>
      <c r="J239" s="26">
        <f t="shared" si="62"/>
        <v>1349</v>
      </c>
    </row>
    <row r="240" spans="2:10" x14ac:dyDescent="0.2">
      <c r="B240" s="32">
        <f t="shared" si="70"/>
        <v>233</v>
      </c>
      <c r="C240" s="10">
        <v>220</v>
      </c>
      <c r="D240" s="10"/>
      <c r="E240" s="10"/>
      <c r="F240" s="10"/>
      <c r="G240" s="10" t="s">
        <v>224</v>
      </c>
      <c r="H240" s="24">
        <f>H241</f>
        <v>23000</v>
      </c>
      <c r="I240" s="24">
        <f t="shared" ref="I240" si="77">I241</f>
        <v>0</v>
      </c>
      <c r="J240" s="24">
        <f t="shared" si="62"/>
        <v>23000</v>
      </c>
    </row>
    <row r="241" spans="2:10" x14ac:dyDescent="0.2">
      <c r="B241" s="32">
        <f t="shared" si="70"/>
        <v>234</v>
      </c>
      <c r="C241" s="3"/>
      <c r="D241" s="3">
        <v>223</v>
      </c>
      <c r="E241" s="3"/>
      <c r="F241" s="3"/>
      <c r="G241" s="3" t="s">
        <v>25</v>
      </c>
      <c r="H241" s="25">
        <f>H243+H242</f>
        <v>23000</v>
      </c>
      <c r="I241" s="25">
        <f t="shared" ref="I241" si="78">I243+I242</f>
        <v>0</v>
      </c>
      <c r="J241" s="25">
        <f t="shared" si="62"/>
        <v>23000</v>
      </c>
    </row>
    <row r="242" spans="2:10" x14ac:dyDescent="0.2">
      <c r="B242" s="32">
        <f t="shared" si="70"/>
        <v>235</v>
      </c>
      <c r="C242" s="3"/>
      <c r="D242" s="3"/>
      <c r="E242" s="4">
        <v>223001</v>
      </c>
      <c r="F242" s="4"/>
      <c r="G242" s="4" t="s">
        <v>230</v>
      </c>
      <c r="H242" s="26">
        <v>11000</v>
      </c>
      <c r="I242" s="26"/>
      <c r="J242" s="26">
        <f t="shared" si="62"/>
        <v>11000</v>
      </c>
    </row>
    <row r="243" spans="2:10" x14ac:dyDescent="0.2">
      <c r="B243" s="32">
        <f t="shared" si="70"/>
        <v>236</v>
      </c>
      <c r="C243" s="4"/>
      <c r="D243" s="4"/>
      <c r="E243" s="4">
        <v>223002</v>
      </c>
      <c r="F243" s="4"/>
      <c r="G243" s="4" t="s">
        <v>68</v>
      </c>
      <c r="H243" s="26">
        <v>12000</v>
      </c>
      <c r="I243" s="26"/>
      <c r="J243" s="26">
        <f t="shared" si="62"/>
        <v>12000</v>
      </c>
    </row>
    <row r="244" spans="2:10" x14ac:dyDescent="0.2">
      <c r="B244" s="32">
        <f t="shared" si="70"/>
        <v>237</v>
      </c>
      <c r="C244" s="10">
        <v>240</v>
      </c>
      <c r="D244" s="10"/>
      <c r="E244" s="10"/>
      <c r="F244" s="10"/>
      <c r="G244" s="10" t="s">
        <v>174</v>
      </c>
      <c r="H244" s="24">
        <f>H245</f>
        <v>5</v>
      </c>
      <c r="I244" s="24">
        <f t="shared" ref="I244:I245" si="79">I245</f>
        <v>0</v>
      </c>
      <c r="J244" s="24">
        <f t="shared" si="62"/>
        <v>5</v>
      </c>
    </row>
    <row r="245" spans="2:10" x14ac:dyDescent="0.2">
      <c r="B245" s="32">
        <f t="shared" ref="B245:B308" si="80">B244+1</f>
        <v>238</v>
      </c>
      <c r="C245" s="3"/>
      <c r="D245" s="3">
        <v>242</v>
      </c>
      <c r="E245" s="3"/>
      <c r="F245" s="3"/>
      <c r="G245" s="3" t="s">
        <v>173</v>
      </c>
      <c r="H245" s="25">
        <f>H246</f>
        <v>5</v>
      </c>
      <c r="I245" s="25">
        <f t="shared" si="79"/>
        <v>0</v>
      </c>
      <c r="J245" s="25">
        <f t="shared" si="62"/>
        <v>5</v>
      </c>
    </row>
    <row r="246" spans="2:10" x14ac:dyDescent="0.2">
      <c r="B246" s="32">
        <f t="shared" si="80"/>
        <v>239</v>
      </c>
      <c r="C246" s="4"/>
      <c r="D246" s="4"/>
      <c r="E246" s="4">
        <v>242</v>
      </c>
      <c r="F246" s="4"/>
      <c r="G246" s="4" t="s">
        <v>173</v>
      </c>
      <c r="H246" s="26">
        <v>5</v>
      </c>
      <c r="I246" s="26"/>
      <c r="J246" s="26">
        <f t="shared" si="62"/>
        <v>5</v>
      </c>
    </row>
    <row r="247" spans="2:10" x14ac:dyDescent="0.2">
      <c r="B247" s="32">
        <f t="shared" si="80"/>
        <v>240</v>
      </c>
      <c r="C247" s="10">
        <v>290</v>
      </c>
      <c r="D247" s="10"/>
      <c r="E247" s="10"/>
      <c r="F247" s="10"/>
      <c r="G247" s="10" t="s">
        <v>175</v>
      </c>
      <c r="H247" s="24">
        <f>H248</f>
        <v>430</v>
      </c>
      <c r="I247" s="24">
        <f t="shared" ref="I247" si="81">I248</f>
        <v>450</v>
      </c>
      <c r="J247" s="24">
        <f t="shared" si="62"/>
        <v>880</v>
      </c>
    </row>
    <row r="248" spans="2:10" x14ac:dyDescent="0.2">
      <c r="B248" s="32">
        <f t="shared" si="80"/>
        <v>241</v>
      </c>
      <c r="C248" s="3"/>
      <c r="D248" s="3">
        <v>292</v>
      </c>
      <c r="E248" s="3"/>
      <c r="F248" s="3"/>
      <c r="G248" s="3" t="s">
        <v>176</v>
      </c>
      <c r="H248" s="25">
        <f>H249</f>
        <v>430</v>
      </c>
      <c r="I248" s="25">
        <f>I249+I250</f>
        <v>450</v>
      </c>
      <c r="J248" s="25">
        <f t="shared" si="62"/>
        <v>880</v>
      </c>
    </row>
    <row r="249" spans="2:10" x14ac:dyDescent="0.2">
      <c r="B249" s="32">
        <f t="shared" si="80"/>
        <v>242</v>
      </c>
      <c r="C249" s="4"/>
      <c r="D249" s="4"/>
      <c r="E249" s="4">
        <v>292012</v>
      </c>
      <c r="F249" s="4"/>
      <c r="G249" s="4" t="s">
        <v>7</v>
      </c>
      <c r="H249" s="26">
        <v>430</v>
      </c>
      <c r="I249" s="26"/>
      <c r="J249" s="26">
        <f t="shared" si="62"/>
        <v>430</v>
      </c>
    </row>
    <row r="250" spans="2:10" ht="13.5" thickBot="1" x14ac:dyDescent="0.25">
      <c r="B250" s="32">
        <f t="shared" si="80"/>
        <v>243</v>
      </c>
      <c r="C250" s="216"/>
      <c r="D250" s="169"/>
      <c r="E250" s="169">
        <v>292017</v>
      </c>
      <c r="F250" s="169"/>
      <c r="G250" s="169" t="s">
        <v>547</v>
      </c>
      <c r="H250" s="170">
        <v>0</v>
      </c>
      <c r="I250" s="170">
        <v>450</v>
      </c>
      <c r="J250" s="170">
        <f>I250+H250</f>
        <v>450</v>
      </c>
    </row>
    <row r="251" spans="2:10" ht="15.75" thickBot="1" x14ac:dyDescent="0.3">
      <c r="B251" s="32">
        <f t="shared" si="80"/>
        <v>244</v>
      </c>
      <c r="C251" s="17">
        <v>7</v>
      </c>
      <c r="D251" s="17"/>
      <c r="E251" s="17"/>
      <c r="F251" s="17"/>
      <c r="G251" s="17" t="s">
        <v>317</v>
      </c>
      <c r="H251" s="23">
        <f>H255+H252</f>
        <v>25000</v>
      </c>
      <c r="I251" s="23">
        <f>I255+I252+I259</f>
        <v>10632</v>
      </c>
      <c r="J251" s="23">
        <f t="shared" si="62"/>
        <v>35632</v>
      </c>
    </row>
    <row r="252" spans="2:10" x14ac:dyDescent="0.2">
      <c r="B252" s="32">
        <f t="shared" si="80"/>
        <v>245</v>
      </c>
      <c r="C252" s="10">
        <v>210</v>
      </c>
      <c r="D252" s="10"/>
      <c r="E252" s="10"/>
      <c r="F252" s="10"/>
      <c r="G252" s="10" t="s">
        <v>21</v>
      </c>
      <c r="H252" s="24">
        <f>H253</f>
        <v>2000</v>
      </c>
      <c r="I252" s="24">
        <f t="shared" ref="I252:I253" si="82">I253</f>
        <v>0</v>
      </c>
      <c r="J252" s="24">
        <f t="shared" si="62"/>
        <v>2000</v>
      </c>
    </row>
    <row r="253" spans="2:10" x14ac:dyDescent="0.2">
      <c r="B253" s="32">
        <f t="shared" si="80"/>
        <v>246</v>
      </c>
      <c r="C253" s="3"/>
      <c r="D253" s="3">
        <v>212</v>
      </c>
      <c r="E253" s="3"/>
      <c r="F253" s="3"/>
      <c r="G253" s="3" t="s">
        <v>22</v>
      </c>
      <c r="H253" s="25">
        <f>H254</f>
        <v>2000</v>
      </c>
      <c r="I253" s="25">
        <f t="shared" si="82"/>
        <v>0</v>
      </c>
      <c r="J253" s="25">
        <f t="shared" si="62"/>
        <v>2000</v>
      </c>
    </row>
    <row r="254" spans="2:10" x14ac:dyDescent="0.2">
      <c r="B254" s="32">
        <f t="shared" si="80"/>
        <v>247</v>
      </c>
      <c r="C254" s="4"/>
      <c r="D254" s="4"/>
      <c r="E254" s="4">
        <v>212003</v>
      </c>
      <c r="F254" s="4"/>
      <c r="G254" s="4" t="s">
        <v>23</v>
      </c>
      <c r="H254" s="26">
        <v>2000</v>
      </c>
      <c r="I254" s="26"/>
      <c r="J254" s="26">
        <f t="shared" si="62"/>
        <v>2000</v>
      </c>
    </row>
    <row r="255" spans="2:10" x14ac:dyDescent="0.2">
      <c r="B255" s="32">
        <f t="shared" si="80"/>
        <v>248</v>
      </c>
      <c r="C255" s="10">
        <v>220</v>
      </c>
      <c r="D255" s="10"/>
      <c r="E255" s="10"/>
      <c r="F255" s="10"/>
      <c r="G255" s="10" t="s">
        <v>224</v>
      </c>
      <c r="H255" s="24">
        <f>H256</f>
        <v>23000</v>
      </c>
      <c r="I255" s="24">
        <f t="shared" ref="I255" si="83">I256</f>
        <v>6100</v>
      </c>
      <c r="J255" s="24">
        <f t="shared" si="62"/>
        <v>29100</v>
      </c>
    </row>
    <row r="256" spans="2:10" x14ac:dyDescent="0.2">
      <c r="B256" s="32">
        <f t="shared" si="80"/>
        <v>249</v>
      </c>
      <c r="C256" s="3"/>
      <c r="D256" s="3">
        <v>223</v>
      </c>
      <c r="E256" s="3"/>
      <c r="F256" s="3"/>
      <c r="G256" s="3" t="s">
        <v>25</v>
      </c>
      <c r="H256" s="25">
        <f>H258+H257</f>
        <v>23000</v>
      </c>
      <c r="I256" s="25">
        <f t="shared" ref="I256" si="84">I258+I257</f>
        <v>6100</v>
      </c>
      <c r="J256" s="25">
        <f t="shared" si="62"/>
        <v>29100</v>
      </c>
    </row>
    <row r="257" spans="2:10" x14ac:dyDescent="0.2">
      <c r="B257" s="32">
        <f t="shared" si="80"/>
        <v>250</v>
      </c>
      <c r="C257" s="3"/>
      <c r="D257" s="3"/>
      <c r="E257" s="4">
        <v>223001</v>
      </c>
      <c r="F257" s="4"/>
      <c r="G257" s="4" t="s">
        <v>230</v>
      </c>
      <c r="H257" s="26">
        <v>12000</v>
      </c>
      <c r="I257" s="26">
        <v>2800</v>
      </c>
      <c r="J257" s="26">
        <f t="shared" si="62"/>
        <v>14800</v>
      </c>
    </row>
    <row r="258" spans="2:10" x14ac:dyDescent="0.2">
      <c r="B258" s="32">
        <f t="shared" si="80"/>
        <v>251</v>
      </c>
      <c r="C258" s="4"/>
      <c r="D258" s="4"/>
      <c r="E258" s="4">
        <v>223002</v>
      </c>
      <c r="F258" s="4"/>
      <c r="G258" s="4" t="s">
        <v>68</v>
      </c>
      <c r="H258" s="26">
        <v>11000</v>
      </c>
      <c r="I258" s="26">
        <v>3300</v>
      </c>
      <c r="J258" s="26">
        <f t="shared" si="62"/>
        <v>14300</v>
      </c>
    </row>
    <row r="259" spans="2:10" x14ac:dyDescent="0.2">
      <c r="B259" s="32">
        <f t="shared" si="80"/>
        <v>252</v>
      </c>
      <c r="C259" s="10">
        <v>290</v>
      </c>
      <c r="D259" s="10"/>
      <c r="E259" s="10"/>
      <c r="F259" s="10"/>
      <c r="G259" s="10" t="s">
        <v>175</v>
      </c>
      <c r="H259" s="24">
        <f>H260</f>
        <v>0</v>
      </c>
      <c r="I259" s="24">
        <f t="shared" ref="I259" si="85">I260</f>
        <v>4532</v>
      </c>
      <c r="J259" s="24">
        <f t="shared" si="62"/>
        <v>4532</v>
      </c>
    </row>
    <row r="260" spans="2:10" x14ac:dyDescent="0.2">
      <c r="B260" s="32">
        <f t="shared" si="80"/>
        <v>253</v>
      </c>
      <c r="C260" s="3"/>
      <c r="D260" s="3">
        <v>292</v>
      </c>
      <c r="E260" s="3"/>
      <c r="F260" s="3"/>
      <c r="G260" s="3" t="s">
        <v>176</v>
      </c>
      <c r="H260" s="25">
        <f>H261</f>
        <v>0</v>
      </c>
      <c r="I260" s="25">
        <f>I261</f>
        <v>4532</v>
      </c>
      <c r="J260" s="25">
        <f t="shared" si="62"/>
        <v>4532</v>
      </c>
    </row>
    <row r="261" spans="2:10" ht="13.5" thickBot="1" x14ac:dyDescent="0.25">
      <c r="B261" s="32">
        <f t="shared" si="80"/>
        <v>254</v>
      </c>
      <c r="C261" s="169"/>
      <c r="D261" s="169"/>
      <c r="E261" s="169">
        <v>292017</v>
      </c>
      <c r="F261" s="169"/>
      <c r="G261" s="169" t="s">
        <v>547</v>
      </c>
      <c r="H261" s="170">
        <v>0</v>
      </c>
      <c r="I261" s="170">
        <v>4532</v>
      </c>
      <c r="J261" s="170">
        <f>I261</f>
        <v>4532</v>
      </c>
    </row>
    <row r="262" spans="2:10" ht="15.75" thickBot="1" x14ac:dyDescent="0.3">
      <c r="B262" s="32">
        <f t="shared" si="80"/>
        <v>255</v>
      </c>
      <c r="C262" s="17">
        <v>8</v>
      </c>
      <c r="D262" s="17"/>
      <c r="E262" s="17"/>
      <c r="F262" s="17"/>
      <c r="G262" s="17" t="s">
        <v>315</v>
      </c>
      <c r="H262" s="23">
        <f>H272+H269+H266+H263</f>
        <v>38730</v>
      </c>
      <c r="I262" s="23">
        <f t="shared" ref="I262" si="86">I272+I269+I266+I263</f>
        <v>4260</v>
      </c>
      <c r="J262" s="23">
        <f t="shared" si="62"/>
        <v>42990</v>
      </c>
    </row>
    <row r="263" spans="2:10" x14ac:dyDescent="0.2">
      <c r="B263" s="32">
        <f t="shared" si="80"/>
        <v>256</v>
      </c>
      <c r="C263" s="10">
        <v>210</v>
      </c>
      <c r="D263" s="10"/>
      <c r="E263" s="10"/>
      <c r="F263" s="10"/>
      <c r="G263" s="10" t="s">
        <v>21</v>
      </c>
      <c r="H263" s="24">
        <f>H264</f>
        <v>18025</v>
      </c>
      <c r="I263" s="24">
        <f t="shared" ref="I263:I264" si="87">I264</f>
        <v>1735</v>
      </c>
      <c r="J263" s="24">
        <f t="shared" si="62"/>
        <v>19760</v>
      </c>
    </row>
    <row r="264" spans="2:10" x14ac:dyDescent="0.2">
      <c r="B264" s="32">
        <f t="shared" si="80"/>
        <v>257</v>
      </c>
      <c r="C264" s="3"/>
      <c r="D264" s="3">
        <v>212</v>
      </c>
      <c r="E264" s="3"/>
      <c r="F264" s="3"/>
      <c r="G264" s="3" t="s">
        <v>22</v>
      </c>
      <c r="H264" s="25">
        <f>H265</f>
        <v>18025</v>
      </c>
      <c r="I264" s="25">
        <f t="shared" si="87"/>
        <v>1735</v>
      </c>
      <c r="J264" s="25">
        <f t="shared" si="62"/>
        <v>19760</v>
      </c>
    </row>
    <row r="265" spans="2:10" x14ac:dyDescent="0.2">
      <c r="B265" s="32">
        <f t="shared" si="80"/>
        <v>258</v>
      </c>
      <c r="C265" s="4"/>
      <c r="D265" s="4"/>
      <c r="E265" s="4">
        <v>212003</v>
      </c>
      <c r="F265" s="4"/>
      <c r="G265" s="4" t="s">
        <v>23</v>
      </c>
      <c r="H265" s="26">
        <v>18025</v>
      </c>
      <c r="I265" s="26">
        <v>1735</v>
      </c>
      <c r="J265" s="26">
        <f t="shared" si="62"/>
        <v>19760</v>
      </c>
    </row>
    <row r="266" spans="2:10" x14ac:dyDescent="0.2">
      <c r="B266" s="32">
        <f t="shared" si="80"/>
        <v>259</v>
      </c>
      <c r="C266" s="10">
        <v>220</v>
      </c>
      <c r="D266" s="10"/>
      <c r="E266" s="10"/>
      <c r="F266" s="10"/>
      <c r="G266" s="10" t="s">
        <v>224</v>
      </c>
      <c r="H266" s="24">
        <f>H267</f>
        <v>20000</v>
      </c>
      <c r="I266" s="24">
        <f t="shared" ref="I266:I267" si="88">I267</f>
        <v>1500</v>
      </c>
      <c r="J266" s="24">
        <f t="shared" si="62"/>
        <v>21500</v>
      </c>
    </row>
    <row r="267" spans="2:10" x14ac:dyDescent="0.2">
      <c r="B267" s="32">
        <f t="shared" si="80"/>
        <v>260</v>
      </c>
      <c r="C267" s="3"/>
      <c r="D267" s="3">
        <v>223</v>
      </c>
      <c r="E267" s="3"/>
      <c r="F267" s="3"/>
      <c r="G267" s="3" t="s">
        <v>25</v>
      </c>
      <c r="H267" s="25">
        <f>H268</f>
        <v>20000</v>
      </c>
      <c r="I267" s="25">
        <f t="shared" si="88"/>
        <v>1500</v>
      </c>
      <c r="J267" s="25">
        <f t="shared" ref="J267:J333" si="89">H267+I267</f>
        <v>21500</v>
      </c>
    </row>
    <row r="268" spans="2:10" x14ac:dyDescent="0.2">
      <c r="B268" s="32">
        <f t="shared" si="80"/>
        <v>261</v>
      </c>
      <c r="C268" s="4"/>
      <c r="D268" s="4"/>
      <c r="E268" s="4">
        <v>223002</v>
      </c>
      <c r="F268" s="4"/>
      <c r="G268" s="4" t="s">
        <v>68</v>
      </c>
      <c r="H268" s="26">
        <v>20000</v>
      </c>
      <c r="I268" s="26">
        <v>1500</v>
      </c>
      <c r="J268" s="26">
        <f t="shared" si="89"/>
        <v>21500</v>
      </c>
    </row>
    <row r="269" spans="2:10" x14ac:dyDescent="0.2">
      <c r="B269" s="32">
        <f t="shared" si="80"/>
        <v>262</v>
      </c>
      <c r="C269" s="10">
        <v>240</v>
      </c>
      <c r="D269" s="10"/>
      <c r="E269" s="10"/>
      <c r="F269" s="10"/>
      <c r="G269" s="10" t="s">
        <v>174</v>
      </c>
      <c r="H269" s="24">
        <f>H270</f>
        <v>5</v>
      </c>
      <c r="I269" s="24">
        <f t="shared" ref="I269:I270" si="90">I270</f>
        <v>0</v>
      </c>
      <c r="J269" s="24">
        <f t="shared" si="89"/>
        <v>5</v>
      </c>
    </row>
    <row r="270" spans="2:10" x14ac:dyDescent="0.2">
      <c r="B270" s="32">
        <f t="shared" si="80"/>
        <v>263</v>
      </c>
      <c r="C270" s="3"/>
      <c r="D270" s="3">
        <v>242</v>
      </c>
      <c r="E270" s="3"/>
      <c r="F270" s="3"/>
      <c r="G270" s="3" t="s">
        <v>173</v>
      </c>
      <c r="H270" s="25">
        <f>H271</f>
        <v>5</v>
      </c>
      <c r="I270" s="25">
        <f t="shared" si="90"/>
        <v>0</v>
      </c>
      <c r="J270" s="25">
        <f t="shared" si="89"/>
        <v>5</v>
      </c>
    </row>
    <row r="271" spans="2:10" x14ac:dyDescent="0.2">
      <c r="B271" s="32">
        <f t="shared" si="80"/>
        <v>264</v>
      </c>
      <c r="C271" s="4"/>
      <c r="D271" s="4"/>
      <c r="E271" s="4">
        <v>242</v>
      </c>
      <c r="F271" s="4"/>
      <c r="G271" s="4" t="s">
        <v>173</v>
      </c>
      <c r="H271" s="26">
        <v>5</v>
      </c>
      <c r="I271" s="26"/>
      <c r="J271" s="26">
        <f t="shared" si="89"/>
        <v>5</v>
      </c>
    </row>
    <row r="272" spans="2:10" x14ac:dyDescent="0.2">
      <c r="B272" s="32">
        <f t="shared" si="80"/>
        <v>265</v>
      </c>
      <c r="C272" s="10">
        <v>290</v>
      </c>
      <c r="D272" s="10"/>
      <c r="E272" s="10"/>
      <c r="F272" s="10"/>
      <c r="G272" s="10" t="s">
        <v>175</v>
      </c>
      <c r="H272" s="24">
        <f>H273</f>
        <v>700</v>
      </c>
      <c r="I272" s="24">
        <f t="shared" ref="I272" si="91">I273</f>
        <v>1025</v>
      </c>
      <c r="J272" s="24">
        <f t="shared" si="89"/>
        <v>1725</v>
      </c>
    </row>
    <row r="273" spans="2:10" x14ac:dyDescent="0.2">
      <c r="B273" s="32">
        <f t="shared" si="80"/>
        <v>266</v>
      </c>
      <c r="C273" s="3"/>
      <c r="D273" s="3">
        <v>292</v>
      </c>
      <c r="E273" s="3"/>
      <c r="F273" s="3"/>
      <c r="G273" s="3" t="s">
        <v>176</v>
      </c>
      <c r="H273" s="25">
        <f>H274</f>
        <v>700</v>
      </c>
      <c r="I273" s="25">
        <f>I274+I275</f>
        <v>1025</v>
      </c>
      <c r="J273" s="25">
        <f t="shared" si="89"/>
        <v>1725</v>
      </c>
    </row>
    <row r="274" spans="2:10" x14ac:dyDescent="0.2">
      <c r="B274" s="32">
        <f t="shared" si="80"/>
        <v>267</v>
      </c>
      <c r="C274" s="4"/>
      <c r="D274" s="4"/>
      <c r="E274" s="4">
        <v>292012</v>
      </c>
      <c r="F274" s="4"/>
      <c r="G274" s="4" t="s">
        <v>7</v>
      </c>
      <c r="H274" s="26">
        <v>700</v>
      </c>
      <c r="I274" s="26"/>
      <c r="J274" s="26">
        <f t="shared" si="89"/>
        <v>700</v>
      </c>
    </row>
    <row r="275" spans="2:10" ht="13.5" thickBot="1" x14ac:dyDescent="0.25">
      <c r="B275" s="32">
        <f t="shared" si="80"/>
        <v>268</v>
      </c>
      <c r="C275" s="216"/>
      <c r="D275" s="169"/>
      <c r="E275" s="169">
        <v>292017</v>
      </c>
      <c r="F275" s="169"/>
      <c r="G275" s="169" t="s">
        <v>547</v>
      </c>
      <c r="H275" s="170">
        <v>0</v>
      </c>
      <c r="I275" s="170">
        <v>1025</v>
      </c>
      <c r="J275" s="170">
        <f>I275</f>
        <v>1025</v>
      </c>
    </row>
    <row r="276" spans="2:10" ht="15.75" thickBot="1" x14ac:dyDescent="0.3">
      <c r="B276" s="32">
        <f t="shared" si="80"/>
        <v>269</v>
      </c>
      <c r="C276" s="17">
        <v>9</v>
      </c>
      <c r="D276" s="17"/>
      <c r="E276" s="17"/>
      <c r="F276" s="17"/>
      <c r="G276" s="17" t="s">
        <v>274</v>
      </c>
      <c r="H276" s="23">
        <f>H289+H286+H280+H277</f>
        <v>15910</v>
      </c>
      <c r="I276" s="23">
        <f t="shared" ref="I276" si="92">I289+I286+I280+I277</f>
        <v>3571</v>
      </c>
      <c r="J276" s="23">
        <f t="shared" si="89"/>
        <v>19481</v>
      </c>
    </row>
    <row r="277" spans="2:10" x14ac:dyDescent="0.2">
      <c r="B277" s="32">
        <f t="shared" si="80"/>
        <v>270</v>
      </c>
      <c r="C277" s="10">
        <v>210</v>
      </c>
      <c r="D277" s="10"/>
      <c r="E277" s="10"/>
      <c r="F277" s="10"/>
      <c r="G277" s="10" t="s">
        <v>21</v>
      </c>
      <c r="H277" s="24">
        <f>H278</f>
        <v>2705</v>
      </c>
      <c r="I277" s="24">
        <f t="shared" ref="I277:I278" si="93">I278</f>
        <v>370</v>
      </c>
      <c r="J277" s="24">
        <f t="shared" si="89"/>
        <v>3075</v>
      </c>
    </row>
    <row r="278" spans="2:10" x14ac:dyDescent="0.2">
      <c r="B278" s="32">
        <f t="shared" si="80"/>
        <v>271</v>
      </c>
      <c r="C278" s="3"/>
      <c r="D278" s="3">
        <v>212</v>
      </c>
      <c r="E278" s="3"/>
      <c r="F278" s="3"/>
      <c r="G278" s="3" t="s">
        <v>22</v>
      </c>
      <c r="H278" s="25">
        <f>H279</f>
        <v>2705</v>
      </c>
      <c r="I278" s="25">
        <f t="shared" si="93"/>
        <v>370</v>
      </c>
      <c r="J278" s="25">
        <f t="shared" si="89"/>
        <v>3075</v>
      </c>
    </row>
    <row r="279" spans="2:10" x14ac:dyDescent="0.2">
      <c r="B279" s="32">
        <f t="shared" si="80"/>
        <v>272</v>
      </c>
      <c r="C279" s="4"/>
      <c r="D279" s="4"/>
      <c r="E279" s="4">
        <v>212003</v>
      </c>
      <c r="F279" s="4"/>
      <c r="G279" s="4" t="s">
        <v>23</v>
      </c>
      <c r="H279" s="26">
        <v>2705</v>
      </c>
      <c r="I279" s="26">
        <v>370</v>
      </c>
      <c r="J279" s="26">
        <f t="shared" si="89"/>
        <v>3075</v>
      </c>
    </row>
    <row r="280" spans="2:10" x14ac:dyDescent="0.2">
      <c r="B280" s="32">
        <f t="shared" si="80"/>
        <v>273</v>
      </c>
      <c r="C280" s="10">
        <v>220</v>
      </c>
      <c r="D280" s="10"/>
      <c r="E280" s="10"/>
      <c r="F280" s="10"/>
      <c r="G280" s="10" t="s">
        <v>224</v>
      </c>
      <c r="H280" s="24">
        <f>H281</f>
        <v>12500</v>
      </c>
      <c r="I280" s="24">
        <f t="shared" ref="I280" si="94">I281</f>
        <v>3201</v>
      </c>
      <c r="J280" s="24">
        <f t="shared" si="89"/>
        <v>15701</v>
      </c>
    </row>
    <row r="281" spans="2:10" x14ac:dyDescent="0.2">
      <c r="B281" s="32">
        <f t="shared" si="80"/>
        <v>274</v>
      </c>
      <c r="C281" s="3"/>
      <c r="D281" s="3">
        <v>223</v>
      </c>
      <c r="E281" s="3"/>
      <c r="F281" s="3"/>
      <c r="G281" s="3" t="s">
        <v>25</v>
      </c>
      <c r="H281" s="25">
        <f>H285+H284+H283+H282</f>
        <v>12500</v>
      </c>
      <c r="I281" s="25">
        <f t="shared" ref="I281" si="95">I285+I284+I283+I282</f>
        <v>3201</v>
      </c>
      <c r="J281" s="25">
        <f t="shared" si="89"/>
        <v>15701</v>
      </c>
    </row>
    <row r="282" spans="2:10" x14ac:dyDescent="0.2">
      <c r="B282" s="32">
        <f t="shared" si="80"/>
        <v>275</v>
      </c>
      <c r="C282" s="3"/>
      <c r="D282" s="3"/>
      <c r="E282" s="4">
        <v>223001</v>
      </c>
      <c r="F282" s="3"/>
      <c r="G282" s="4" t="s">
        <v>275</v>
      </c>
      <c r="H282" s="26">
        <v>4000</v>
      </c>
      <c r="I282" s="26">
        <v>1800</v>
      </c>
      <c r="J282" s="26">
        <f t="shared" si="89"/>
        <v>5800</v>
      </c>
    </row>
    <row r="283" spans="2:10" x14ac:dyDescent="0.2">
      <c r="B283" s="32">
        <f t="shared" si="80"/>
        <v>276</v>
      </c>
      <c r="C283" s="3"/>
      <c r="D283" s="3"/>
      <c r="E283" s="4">
        <v>223001</v>
      </c>
      <c r="F283" s="3"/>
      <c r="G283" s="4" t="s">
        <v>276</v>
      </c>
      <c r="H283" s="26">
        <v>1000</v>
      </c>
      <c r="I283" s="26"/>
      <c r="J283" s="26">
        <f t="shared" si="89"/>
        <v>1000</v>
      </c>
    </row>
    <row r="284" spans="2:10" x14ac:dyDescent="0.2">
      <c r="B284" s="32">
        <f t="shared" si="80"/>
        <v>277</v>
      </c>
      <c r="C284" s="3"/>
      <c r="D284" s="3"/>
      <c r="E284" s="4">
        <v>223001</v>
      </c>
      <c r="F284" s="3"/>
      <c r="G284" s="4" t="s">
        <v>231</v>
      </c>
      <c r="H284" s="26">
        <v>1000</v>
      </c>
      <c r="I284" s="26"/>
      <c r="J284" s="26">
        <f t="shared" si="89"/>
        <v>1000</v>
      </c>
    </row>
    <row r="285" spans="2:10" x14ac:dyDescent="0.2">
      <c r="B285" s="32">
        <f t="shared" si="80"/>
        <v>278</v>
      </c>
      <c r="C285" s="4"/>
      <c r="D285" s="4"/>
      <c r="E285" s="4">
        <v>223002</v>
      </c>
      <c r="F285" s="4"/>
      <c r="G285" s="4" t="s">
        <v>68</v>
      </c>
      <c r="H285" s="26">
        <v>6500</v>
      </c>
      <c r="I285" s="26">
        <v>1401</v>
      </c>
      <c r="J285" s="26">
        <f t="shared" si="89"/>
        <v>7901</v>
      </c>
    </row>
    <row r="286" spans="2:10" x14ac:dyDescent="0.2">
      <c r="B286" s="32">
        <f t="shared" si="80"/>
        <v>279</v>
      </c>
      <c r="C286" s="10">
        <v>240</v>
      </c>
      <c r="D286" s="10"/>
      <c r="E286" s="10"/>
      <c r="F286" s="10"/>
      <c r="G286" s="10" t="s">
        <v>174</v>
      </c>
      <c r="H286" s="24">
        <f>H287</f>
        <v>5</v>
      </c>
      <c r="I286" s="24">
        <f t="shared" ref="I286:I287" si="96">I287</f>
        <v>0</v>
      </c>
      <c r="J286" s="24">
        <f t="shared" si="89"/>
        <v>5</v>
      </c>
    </row>
    <row r="287" spans="2:10" x14ac:dyDescent="0.2">
      <c r="B287" s="32">
        <f t="shared" si="80"/>
        <v>280</v>
      </c>
      <c r="C287" s="3"/>
      <c r="D287" s="3">
        <v>242</v>
      </c>
      <c r="E287" s="3"/>
      <c r="F287" s="3"/>
      <c r="G287" s="3" t="s">
        <v>173</v>
      </c>
      <c r="H287" s="25">
        <f>H288</f>
        <v>5</v>
      </c>
      <c r="I287" s="25">
        <f t="shared" si="96"/>
        <v>0</v>
      </c>
      <c r="J287" s="25">
        <f t="shared" si="89"/>
        <v>5</v>
      </c>
    </row>
    <row r="288" spans="2:10" x14ac:dyDescent="0.2">
      <c r="B288" s="32">
        <f t="shared" si="80"/>
        <v>281</v>
      </c>
      <c r="C288" s="4"/>
      <c r="D288" s="4"/>
      <c r="E288" s="4">
        <v>242</v>
      </c>
      <c r="F288" s="4"/>
      <c r="G288" s="4" t="s">
        <v>173</v>
      </c>
      <c r="H288" s="26">
        <v>5</v>
      </c>
      <c r="I288" s="26"/>
      <c r="J288" s="26">
        <f t="shared" si="89"/>
        <v>5</v>
      </c>
    </row>
    <row r="289" spans="2:10" x14ac:dyDescent="0.2">
      <c r="B289" s="32">
        <f t="shared" si="80"/>
        <v>282</v>
      </c>
      <c r="C289" s="10">
        <v>290</v>
      </c>
      <c r="D289" s="10"/>
      <c r="E289" s="10"/>
      <c r="F289" s="10"/>
      <c r="G289" s="10" t="s">
        <v>175</v>
      </c>
      <c r="H289" s="24">
        <f>H290</f>
        <v>700</v>
      </c>
      <c r="I289" s="24">
        <f t="shared" ref="I289:I290" si="97">I290</f>
        <v>0</v>
      </c>
      <c r="J289" s="24">
        <f t="shared" si="89"/>
        <v>700</v>
      </c>
    </row>
    <row r="290" spans="2:10" x14ac:dyDescent="0.2">
      <c r="B290" s="32">
        <f t="shared" si="80"/>
        <v>283</v>
      </c>
      <c r="C290" s="3"/>
      <c r="D290" s="3">
        <v>292</v>
      </c>
      <c r="E290" s="3"/>
      <c r="F290" s="3"/>
      <c r="G290" s="3" t="s">
        <v>176</v>
      </c>
      <c r="H290" s="25">
        <f>H291</f>
        <v>700</v>
      </c>
      <c r="I290" s="25">
        <f t="shared" si="97"/>
        <v>0</v>
      </c>
      <c r="J290" s="25">
        <f t="shared" si="89"/>
        <v>700</v>
      </c>
    </row>
    <row r="291" spans="2:10" ht="13.5" thickBot="1" x14ac:dyDescent="0.25">
      <c r="B291" s="32">
        <f t="shared" si="80"/>
        <v>284</v>
      </c>
      <c r="C291" s="4"/>
      <c r="D291" s="4"/>
      <c r="E291" s="4">
        <v>292012</v>
      </c>
      <c r="F291" s="4"/>
      <c r="G291" s="4" t="s">
        <v>7</v>
      </c>
      <c r="H291" s="26">
        <v>700</v>
      </c>
      <c r="I291" s="26"/>
      <c r="J291" s="26">
        <f t="shared" si="89"/>
        <v>700</v>
      </c>
    </row>
    <row r="292" spans="2:10" ht="15.75" thickBot="1" x14ac:dyDescent="0.3">
      <c r="B292" s="32">
        <f t="shared" si="80"/>
        <v>285</v>
      </c>
      <c r="C292" s="17">
        <v>10</v>
      </c>
      <c r="D292" s="17"/>
      <c r="E292" s="17"/>
      <c r="F292" s="17"/>
      <c r="G292" s="17" t="s">
        <v>256</v>
      </c>
      <c r="H292" s="23">
        <f>H303+H300+H296+H293</f>
        <v>21070</v>
      </c>
      <c r="I292" s="23">
        <f t="shared" ref="I292" si="98">I303+I300+I296+I293</f>
        <v>15550</v>
      </c>
      <c r="J292" s="23">
        <f t="shared" si="89"/>
        <v>36620</v>
      </c>
    </row>
    <row r="293" spans="2:10" x14ac:dyDescent="0.2">
      <c r="B293" s="32">
        <f t="shared" si="80"/>
        <v>286</v>
      </c>
      <c r="C293" s="10">
        <v>210</v>
      </c>
      <c r="D293" s="10"/>
      <c r="E293" s="10"/>
      <c r="F293" s="10"/>
      <c r="G293" s="10" t="s">
        <v>21</v>
      </c>
      <c r="H293" s="24">
        <f>H294</f>
        <v>5000</v>
      </c>
      <c r="I293" s="24">
        <f t="shared" ref="I293:I294" si="99">I294</f>
        <v>4145</v>
      </c>
      <c r="J293" s="24">
        <f t="shared" si="89"/>
        <v>9145</v>
      </c>
    </row>
    <row r="294" spans="2:10" x14ac:dyDescent="0.2">
      <c r="B294" s="32">
        <f t="shared" si="80"/>
        <v>287</v>
      </c>
      <c r="C294" s="3"/>
      <c r="D294" s="3">
        <v>212</v>
      </c>
      <c r="E294" s="3"/>
      <c r="F294" s="3"/>
      <c r="G294" s="3" t="s">
        <v>22</v>
      </c>
      <c r="H294" s="25">
        <f>H295</f>
        <v>5000</v>
      </c>
      <c r="I294" s="25">
        <f t="shared" si="99"/>
        <v>4145</v>
      </c>
      <c r="J294" s="25">
        <f t="shared" si="89"/>
        <v>9145</v>
      </c>
    </row>
    <row r="295" spans="2:10" x14ac:dyDescent="0.2">
      <c r="B295" s="32">
        <f t="shared" si="80"/>
        <v>288</v>
      </c>
      <c r="C295" s="4"/>
      <c r="D295" s="4"/>
      <c r="E295" s="4">
        <v>212003</v>
      </c>
      <c r="F295" s="4"/>
      <c r="G295" s="4" t="s">
        <v>23</v>
      </c>
      <c r="H295" s="26">
        <v>5000</v>
      </c>
      <c r="I295" s="26">
        <v>4145</v>
      </c>
      <c r="J295" s="26">
        <f t="shared" si="89"/>
        <v>9145</v>
      </c>
    </row>
    <row r="296" spans="2:10" x14ac:dyDescent="0.2">
      <c r="B296" s="32">
        <f t="shared" si="80"/>
        <v>289</v>
      </c>
      <c r="C296" s="10">
        <v>220</v>
      </c>
      <c r="D296" s="10"/>
      <c r="E296" s="10"/>
      <c r="F296" s="10"/>
      <c r="G296" s="10" t="s">
        <v>224</v>
      </c>
      <c r="H296" s="24">
        <f>H297</f>
        <v>15565</v>
      </c>
      <c r="I296" s="24">
        <f t="shared" ref="I296" si="100">I297</f>
        <v>10734</v>
      </c>
      <c r="J296" s="24">
        <f t="shared" si="89"/>
        <v>26299</v>
      </c>
    </row>
    <row r="297" spans="2:10" x14ac:dyDescent="0.2">
      <c r="B297" s="32">
        <f t="shared" si="80"/>
        <v>290</v>
      </c>
      <c r="C297" s="3"/>
      <c r="D297" s="3">
        <v>223</v>
      </c>
      <c r="E297" s="3"/>
      <c r="F297" s="3"/>
      <c r="G297" s="3" t="s">
        <v>25</v>
      </c>
      <c r="H297" s="25">
        <f>H299+H298</f>
        <v>15565</v>
      </c>
      <c r="I297" s="25">
        <f t="shared" ref="I297" si="101">I299+I298</f>
        <v>10734</v>
      </c>
      <c r="J297" s="25">
        <f t="shared" si="89"/>
        <v>26299</v>
      </c>
    </row>
    <row r="298" spans="2:10" x14ac:dyDescent="0.2">
      <c r="B298" s="32">
        <f t="shared" si="80"/>
        <v>291</v>
      </c>
      <c r="C298" s="3"/>
      <c r="D298" s="3"/>
      <c r="E298" s="4">
        <v>223001</v>
      </c>
      <c r="F298" s="4"/>
      <c r="G298" s="4" t="s">
        <v>230</v>
      </c>
      <c r="H298" s="26">
        <v>11000</v>
      </c>
      <c r="I298" s="26">
        <v>9383</v>
      </c>
      <c r="J298" s="26">
        <f t="shared" si="89"/>
        <v>20383</v>
      </c>
    </row>
    <row r="299" spans="2:10" x14ac:dyDescent="0.2">
      <c r="B299" s="32">
        <f t="shared" si="80"/>
        <v>292</v>
      </c>
      <c r="C299" s="4"/>
      <c r="D299" s="4"/>
      <c r="E299" s="4">
        <v>223002</v>
      </c>
      <c r="F299" s="4"/>
      <c r="G299" s="4" t="s">
        <v>68</v>
      </c>
      <c r="H299" s="26">
        <v>4565</v>
      </c>
      <c r="I299" s="26">
        <v>1351</v>
      </c>
      <c r="J299" s="26">
        <f t="shared" si="89"/>
        <v>5916</v>
      </c>
    </row>
    <row r="300" spans="2:10" x14ac:dyDescent="0.2">
      <c r="B300" s="32">
        <f t="shared" si="80"/>
        <v>293</v>
      </c>
      <c r="C300" s="10">
        <v>240</v>
      </c>
      <c r="D300" s="10"/>
      <c r="E300" s="10"/>
      <c r="F300" s="10"/>
      <c r="G300" s="10" t="s">
        <v>174</v>
      </c>
      <c r="H300" s="24">
        <f>H301</f>
        <v>5</v>
      </c>
      <c r="I300" s="24">
        <f t="shared" ref="I300:I301" si="102">I301</f>
        <v>0</v>
      </c>
      <c r="J300" s="24">
        <f t="shared" si="89"/>
        <v>5</v>
      </c>
    </row>
    <row r="301" spans="2:10" x14ac:dyDescent="0.2">
      <c r="B301" s="32">
        <f t="shared" si="80"/>
        <v>294</v>
      </c>
      <c r="C301" s="3"/>
      <c r="D301" s="3">
        <v>242</v>
      </c>
      <c r="E301" s="3"/>
      <c r="F301" s="3"/>
      <c r="G301" s="3" t="s">
        <v>173</v>
      </c>
      <c r="H301" s="25">
        <f>H302</f>
        <v>5</v>
      </c>
      <c r="I301" s="25">
        <f t="shared" si="102"/>
        <v>0</v>
      </c>
      <c r="J301" s="25">
        <f t="shared" si="89"/>
        <v>5</v>
      </c>
    </row>
    <row r="302" spans="2:10" x14ac:dyDescent="0.2">
      <c r="B302" s="32">
        <f t="shared" si="80"/>
        <v>295</v>
      </c>
      <c r="C302" s="4"/>
      <c r="D302" s="4"/>
      <c r="E302" s="4">
        <v>242</v>
      </c>
      <c r="F302" s="4"/>
      <c r="G302" s="4" t="s">
        <v>173</v>
      </c>
      <c r="H302" s="26">
        <v>5</v>
      </c>
      <c r="I302" s="26"/>
      <c r="J302" s="26">
        <f t="shared" si="89"/>
        <v>5</v>
      </c>
    </row>
    <row r="303" spans="2:10" x14ac:dyDescent="0.2">
      <c r="B303" s="32">
        <f t="shared" si="80"/>
        <v>296</v>
      </c>
      <c r="C303" s="10">
        <v>290</v>
      </c>
      <c r="D303" s="10"/>
      <c r="E303" s="10"/>
      <c r="F303" s="10"/>
      <c r="G303" s="10" t="s">
        <v>175</v>
      </c>
      <c r="H303" s="24">
        <f>H304</f>
        <v>500</v>
      </c>
      <c r="I303" s="24">
        <f t="shared" ref="I303" si="103">I304</f>
        <v>671</v>
      </c>
      <c r="J303" s="24">
        <f t="shared" si="89"/>
        <v>1171</v>
      </c>
    </row>
    <row r="304" spans="2:10" x14ac:dyDescent="0.2">
      <c r="B304" s="32">
        <f t="shared" si="80"/>
        <v>297</v>
      </c>
      <c r="C304" s="3"/>
      <c r="D304" s="3">
        <v>292</v>
      </c>
      <c r="E304" s="3"/>
      <c r="F304" s="3"/>
      <c r="G304" s="3" t="s">
        <v>176</v>
      </c>
      <c r="H304" s="25">
        <f>H305</f>
        <v>500</v>
      </c>
      <c r="I304" s="25">
        <f>I305+I306</f>
        <v>671</v>
      </c>
      <c r="J304" s="25">
        <f t="shared" si="89"/>
        <v>1171</v>
      </c>
    </row>
    <row r="305" spans="2:10" x14ac:dyDescent="0.2">
      <c r="B305" s="32">
        <f t="shared" si="80"/>
        <v>298</v>
      </c>
      <c r="C305" s="4"/>
      <c r="D305" s="4"/>
      <c r="E305" s="4">
        <v>292012</v>
      </c>
      <c r="F305" s="4"/>
      <c r="G305" s="4" t="s">
        <v>7</v>
      </c>
      <c r="H305" s="26">
        <v>500</v>
      </c>
      <c r="I305" s="26"/>
      <c r="J305" s="26">
        <f t="shared" si="89"/>
        <v>500</v>
      </c>
    </row>
    <row r="306" spans="2:10" ht="13.5" thickBot="1" x14ac:dyDescent="0.25">
      <c r="B306" s="32">
        <f t="shared" si="80"/>
        <v>299</v>
      </c>
      <c r="C306" s="216"/>
      <c r="D306" s="169"/>
      <c r="E306" s="169">
        <v>292017</v>
      </c>
      <c r="F306" s="169"/>
      <c r="G306" s="169" t="s">
        <v>547</v>
      </c>
      <c r="H306" s="170">
        <v>0</v>
      </c>
      <c r="I306" s="170">
        <v>671</v>
      </c>
      <c r="J306" s="170">
        <f>I306</f>
        <v>671</v>
      </c>
    </row>
    <row r="307" spans="2:10" ht="15.75" thickBot="1" x14ac:dyDescent="0.3">
      <c r="B307" s="32">
        <f t="shared" si="80"/>
        <v>300</v>
      </c>
      <c r="C307" s="17">
        <v>11</v>
      </c>
      <c r="D307" s="17"/>
      <c r="E307" s="17"/>
      <c r="F307" s="17"/>
      <c r="G307" s="17" t="s">
        <v>273</v>
      </c>
      <c r="H307" s="23">
        <f>H319+H316+H311+H308</f>
        <v>62255</v>
      </c>
      <c r="I307" s="23">
        <f>I319+I316+I311+I308</f>
        <v>14206</v>
      </c>
      <c r="J307" s="23">
        <f t="shared" si="89"/>
        <v>76461</v>
      </c>
    </row>
    <row r="308" spans="2:10" x14ac:dyDescent="0.2">
      <c r="B308" s="32">
        <f t="shared" si="80"/>
        <v>301</v>
      </c>
      <c r="C308" s="10">
        <v>210</v>
      </c>
      <c r="D308" s="10"/>
      <c r="E308" s="10"/>
      <c r="F308" s="10"/>
      <c r="G308" s="10" t="s">
        <v>21</v>
      </c>
      <c r="H308" s="24">
        <f>H309</f>
        <v>37000</v>
      </c>
      <c r="I308" s="24">
        <f t="shared" ref="I308:I309" si="104">I309</f>
        <v>3900</v>
      </c>
      <c r="J308" s="24">
        <f t="shared" si="89"/>
        <v>40900</v>
      </c>
    </row>
    <row r="309" spans="2:10" x14ac:dyDescent="0.2">
      <c r="B309" s="32">
        <f t="shared" ref="B309:B310" si="105">B308+1</f>
        <v>302</v>
      </c>
      <c r="C309" s="3"/>
      <c r="D309" s="3">
        <v>212</v>
      </c>
      <c r="E309" s="3"/>
      <c r="F309" s="3"/>
      <c r="G309" s="3" t="s">
        <v>22</v>
      </c>
      <c r="H309" s="25">
        <f>H310</f>
        <v>37000</v>
      </c>
      <c r="I309" s="25">
        <f t="shared" si="104"/>
        <v>3900</v>
      </c>
      <c r="J309" s="25">
        <f t="shared" si="89"/>
        <v>40900</v>
      </c>
    </row>
    <row r="310" spans="2:10" x14ac:dyDescent="0.2">
      <c r="B310" s="32">
        <f t="shared" si="105"/>
        <v>303</v>
      </c>
      <c r="C310" s="4"/>
      <c r="D310" s="4"/>
      <c r="E310" s="4">
        <v>212003</v>
      </c>
      <c r="F310" s="4"/>
      <c r="G310" s="4" t="s">
        <v>23</v>
      </c>
      <c r="H310" s="26">
        <v>37000</v>
      </c>
      <c r="I310" s="26">
        <v>3900</v>
      </c>
      <c r="J310" s="26">
        <f t="shared" si="89"/>
        <v>40900</v>
      </c>
    </row>
    <row r="311" spans="2:10" x14ac:dyDescent="0.2">
      <c r="B311" s="32">
        <f t="shared" ref="B311:B370" si="106">B310+1</f>
        <v>304</v>
      </c>
      <c r="C311" s="10">
        <v>220</v>
      </c>
      <c r="D311" s="10"/>
      <c r="E311" s="10"/>
      <c r="F311" s="10"/>
      <c r="G311" s="10" t="s">
        <v>224</v>
      </c>
      <c r="H311" s="24">
        <f>H312</f>
        <v>24950</v>
      </c>
      <c r="I311" s="24">
        <f t="shared" ref="I311" si="107">I312</f>
        <v>8600</v>
      </c>
      <c r="J311" s="24">
        <f t="shared" si="89"/>
        <v>33550</v>
      </c>
    </row>
    <row r="312" spans="2:10" x14ac:dyDescent="0.2">
      <c r="B312" s="32">
        <f t="shared" si="106"/>
        <v>305</v>
      </c>
      <c r="C312" s="3"/>
      <c r="D312" s="3">
        <v>223</v>
      </c>
      <c r="E312" s="3"/>
      <c r="F312" s="3"/>
      <c r="G312" s="3" t="s">
        <v>25</v>
      </c>
      <c r="H312" s="25">
        <f>H315+H314+H313</f>
        <v>24950</v>
      </c>
      <c r="I312" s="25">
        <f t="shared" ref="I312" si="108">I315+I314+I313</f>
        <v>8600</v>
      </c>
      <c r="J312" s="25">
        <f t="shared" si="89"/>
        <v>33550</v>
      </c>
    </row>
    <row r="313" spans="2:10" x14ac:dyDescent="0.2">
      <c r="B313" s="32">
        <f t="shared" si="106"/>
        <v>306</v>
      </c>
      <c r="C313" s="3"/>
      <c r="D313" s="3"/>
      <c r="E313" s="4">
        <v>223001</v>
      </c>
      <c r="F313" s="4"/>
      <c r="G313" s="4" t="s">
        <v>654</v>
      </c>
      <c r="H313" s="26">
        <v>12000</v>
      </c>
      <c r="I313" s="26">
        <v>5345</v>
      </c>
      <c r="J313" s="26">
        <f t="shared" si="89"/>
        <v>17345</v>
      </c>
    </row>
    <row r="314" spans="2:10" x14ac:dyDescent="0.2">
      <c r="B314" s="32">
        <f t="shared" si="106"/>
        <v>307</v>
      </c>
      <c r="C314" s="3"/>
      <c r="D314" s="3"/>
      <c r="E314" s="4">
        <v>223001</v>
      </c>
      <c r="F314" s="4"/>
      <c r="G314" s="4" t="s">
        <v>655</v>
      </c>
      <c r="H314" s="26">
        <v>2645</v>
      </c>
      <c r="I314" s="26">
        <v>-2645</v>
      </c>
      <c r="J314" s="26">
        <f t="shared" si="89"/>
        <v>0</v>
      </c>
    </row>
    <row r="315" spans="2:10" x14ac:dyDescent="0.2">
      <c r="B315" s="32">
        <f t="shared" si="106"/>
        <v>308</v>
      </c>
      <c r="C315" s="4"/>
      <c r="D315" s="4"/>
      <c r="E315" s="4">
        <v>223002</v>
      </c>
      <c r="F315" s="4"/>
      <c r="G315" s="4" t="s">
        <v>68</v>
      </c>
      <c r="H315" s="26">
        <v>10305</v>
      </c>
      <c r="I315" s="26">
        <v>5900</v>
      </c>
      <c r="J315" s="26">
        <f t="shared" si="89"/>
        <v>16205</v>
      </c>
    </row>
    <row r="316" spans="2:10" x14ac:dyDescent="0.2">
      <c r="B316" s="32">
        <f t="shared" si="106"/>
        <v>309</v>
      </c>
      <c r="C316" s="10">
        <v>240</v>
      </c>
      <c r="D316" s="10"/>
      <c r="E316" s="10"/>
      <c r="F316" s="10"/>
      <c r="G316" s="10" t="s">
        <v>174</v>
      </c>
      <c r="H316" s="24">
        <f>H317</f>
        <v>5</v>
      </c>
      <c r="I316" s="24">
        <f t="shared" ref="I316:I317" si="109">I317</f>
        <v>0</v>
      </c>
      <c r="J316" s="24">
        <f t="shared" si="89"/>
        <v>5</v>
      </c>
    </row>
    <row r="317" spans="2:10" x14ac:dyDescent="0.2">
      <c r="B317" s="32">
        <f t="shared" si="106"/>
        <v>310</v>
      </c>
      <c r="C317" s="3"/>
      <c r="D317" s="3">
        <v>242</v>
      </c>
      <c r="E317" s="3"/>
      <c r="F317" s="3"/>
      <c r="G317" s="3" t="s">
        <v>173</v>
      </c>
      <c r="H317" s="25">
        <f>H318</f>
        <v>5</v>
      </c>
      <c r="I317" s="25">
        <f t="shared" si="109"/>
        <v>0</v>
      </c>
      <c r="J317" s="25">
        <f t="shared" si="89"/>
        <v>5</v>
      </c>
    </row>
    <row r="318" spans="2:10" x14ac:dyDescent="0.2">
      <c r="B318" s="32">
        <f t="shared" si="106"/>
        <v>311</v>
      </c>
      <c r="C318" s="4"/>
      <c r="D318" s="4"/>
      <c r="E318" s="4">
        <v>242</v>
      </c>
      <c r="F318" s="4"/>
      <c r="G318" s="4" t="s">
        <v>173</v>
      </c>
      <c r="H318" s="26">
        <v>5</v>
      </c>
      <c r="I318" s="26"/>
      <c r="J318" s="26">
        <f t="shared" si="89"/>
        <v>5</v>
      </c>
    </row>
    <row r="319" spans="2:10" x14ac:dyDescent="0.2">
      <c r="B319" s="32">
        <f t="shared" si="106"/>
        <v>312</v>
      </c>
      <c r="C319" s="10">
        <v>290</v>
      </c>
      <c r="D319" s="10"/>
      <c r="E319" s="10"/>
      <c r="F319" s="10"/>
      <c r="G319" s="10" t="s">
        <v>175</v>
      </c>
      <c r="H319" s="24">
        <f>H320</f>
        <v>300</v>
      </c>
      <c r="I319" s="24">
        <f t="shared" ref="I319" si="110">I320</f>
        <v>1706</v>
      </c>
      <c r="J319" s="24">
        <f t="shared" si="89"/>
        <v>2006</v>
      </c>
    </row>
    <row r="320" spans="2:10" x14ac:dyDescent="0.2">
      <c r="B320" s="32">
        <f t="shared" si="106"/>
        <v>313</v>
      </c>
      <c r="C320" s="3"/>
      <c r="D320" s="3">
        <v>292</v>
      </c>
      <c r="E320" s="3"/>
      <c r="F320" s="3"/>
      <c r="G320" s="3" t="s">
        <v>176</v>
      </c>
      <c r="H320" s="25">
        <f>H321</f>
        <v>300</v>
      </c>
      <c r="I320" s="25">
        <f>I321+I322</f>
        <v>1706</v>
      </c>
      <c r="J320" s="25">
        <f t="shared" si="89"/>
        <v>2006</v>
      </c>
    </row>
    <row r="321" spans="2:10" x14ac:dyDescent="0.2">
      <c r="B321" s="32">
        <f t="shared" si="106"/>
        <v>314</v>
      </c>
      <c r="C321" s="4"/>
      <c r="D321" s="4"/>
      <c r="E321" s="4">
        <v>292012</v>
      </c>
      <c r="F321" s="4"/>
      <c r="G321" s="4" t="s">
        <v>7</v>
      </c>
      <c r="H321" s="26">
        <v>300</v>
      </c>
      <c r="I321" s="26"/>
      <c r="J321" s="26">
        <f t="shared" si="89"/>
        <v>300</v>
      </c>
    </row>
    <row r="322" spans="2:10" ht="13.5" thickBot="1" x14ac:dyDescent="0.25">
      <c r="B322" s="32"/>
      <c r="C322" s="169"/>
      <c r="D322" s="169"/>
      <c r="E322" s="169">
        <v>292017</v>
      </c>
      <c r="F322" s="169"/>
      <c r="G322" s="169" t="s">
        <v>547</v>
      </c>
      <c r="H322" s="170">
        <v>0</v>
      </c>
      <c r="I322" s="170">
        <v>1706</v>
      </c>
      <c r="J322" s="170">
        <f t="shared" si="89"/>
        <v>1706</v>
      </c>
    </row>
    <row r="323" spans="2:10" ht="15.75" thickBot="1" x14ac:dyDescent="0.3">
      <c r="B323" s="32">
        <f>B321+1</f>
        <v>315</v>
      </c>
      <c r="C323" s="17">
        <v>12</v>
      </c>
      <c r="D323" s="17"/>
      <c r="E323" s="17"/>
      <c r="F323" s="17"/>
      <c r="G323" s="17" t="s">
        <v>272</v>
      </c>
      <c r="H323" s="23">
        <f>H334+H331+H327+H324</f>
        <v>19910</v>
      </c>
      <c r="I323" s="23">
        <f t="shared" ref="I323" si="111">I334+I331+I327+I324</f>
        <v>4456</v>
      </c>
      <c r="J323" s="23">
        <f t="shared" si="89"/>
        <v>24366</v>
      </c>
    </row>
    <row r="324" spans="2:10" x14ac:dyDescent="0.2">
      <c r="B324" s="32">
        <f t="shared" si="106"/>
        <v>316</v>
      </c>
      <c r="C324" s="10">
        <v>210</v>
      </c>
      <c r="D324" s="10"/>
      <c r="E324" s="10"/>
      <c r="F324" s="10"/>
      <c r="G324" s="10" t="s">
        <v>21</v>
      </c>
      <c r="H324" s="24">
        <f>H325</f>
        <v>3000</v>
      </c>
      <c r="I324" s="24">
        <f t="shared" ref="I324:I325" si="112">I325</f>
        <v>3000</v>
      </c>
      <c r="J324" s="24">
        <f t="shared" si="89"/>
        <v>6000</v>
      </c>
    </row>
    <row r="325" spans="2:10" x14ac:dyDescent="0.2">
      <c r="B325" s="32">
        <f t="shared" si="106"/>
        <v>317</v>
      </c>
      <c r="C325" s="3"/>
      <c r="D325" s="3">
        <v>212</v>
      </c>
      <c r="E325" s="3"/>
      <c r="F325" s="3"/>
      <c r="G325" s="3" t="s">
        <v>22</v>
      </c>
      <c r="H325" s="25">
        <f>H326</f>
        <v>3000</v>
      </c>
      <c r="I325" s="25">
        <f t="shared" si="112"/>
        <v>3000</v>
      </c>
      <c r="J325" s="25">
        <f t="shared" si="89"/>
        <v>6000</v>
      </c>
    </row>
    <row r="326" spans="2:10" x14ac:dyDescent="0.2">
      <c r="B326" s="32">
        <f t="shared" si="106"/>
        <v>318</v>
      </c>
      <c r="C326" s="4"/>
      <c r="D326" s="4"/>
      <c r="E326" s="4">
        <v>212003</v>
      </c>
      <c r="F326" s="4"/>
      <c r="G326" s="4" t="s">
        <v>23</v>
      </c>
      <c r="H326" s="26">
        <v>3000</v>
      </c>
      <c r="I326" s="26">
        <v>3000</v>
      </c>
      <c r="J326" s="26">
        <f t="shared" si="89"/>
        <v>6000</v>
      </c>
    </row>
    <row r="327" spans="2:10" x14ac:dyDescent="0.2">
      <c r="B327" s="32">
        <f t="shared" si="106"/>
        <v>319</v>
      </c>
      <c r="C327" s="10">
        <v>220</v>
      </c>
      <c r="D327" s="10"/>
      <c r="E327" s="10"/>
      <c r="F327" s="10"/>
      <c r="G327" s="10" t="s">
        <v>224</v>
      </c>
      <c r="H327" s="24">
        <f>H328</f>
        <v>16405</v>
      </c>
      <c r="I327" s="24">
        <f t="shared" ref="I327" si="113">I328</f>
        <v>0</v>
      </c>
      <c r="J327" s="24">
        <f t="shared" si="89"/>
        <v>16405</v>
      </c>
    </row>
    <row r="328" spans="2:10" x14ac:dyDescent="0.2">
      <c r="B328" s="32">
        <f t="shared" si="106"/>
        <v>320</v>
      </c>
      <c r="C328" s="3"/>
      <c r="D328" s="3">
        <v>223</v>
      </c>
      <c r="E328" s="3"/>
      <c r="F328" s="3"/>
      <c r="G328" s="3" t="s">
        <v>25</v>
      </c>
      <c r="H328" s="25">
        <f>H330+H329</f>
        <v>16405</v>
      </c>
      <c r="I328" s="25">
        <f t="shared" ref="I328" si="114">I330+I329</f>
        <v>0</v>
      </c>
      <c r="J328" s="25">
        <f t="shared" si="89"/>
        <v>16405</v>
      </c>
    </row>
    <row r="329" spans="2:10" x14ac:dyDescent="0.2">
      <c r="B329" s="32">
        <f t="shared" si="106"/>
        <v>321</v>
      </c>
      <c r="C329" s="3"/>
      <c r="D329" s="3"/>
      <c r="E329" s="4">
        <v>223001</v>
      </c>
      <c r="F329" s="4"/>
      <c r="G329" s="4" t="s">
        <v>230</v>
      </c>
      <c r="H329" s="26">
        <v>8200</v>
      </c>
      <c r="I329" s="26"/>
      <c r="J329" s="26">
        <f t="shared" si="89"/>
        <v>8200</v>
      </c>
    </row>
    <row r="330" spans="2:10" x14ac:dyDescent="0.2">
      <c r="B330" s="32">
        <f t="shared" si="106"/>
        <v>322</v>
      </c>
      <c r="C330" s="4"/>
      <c r="D330" s="4"/>
      <c r="E330" s="4">
        <v>223002</v>
      </c>
      <c r="F330" s="4"/>
      <c r="G330" s="4" t="s">
        <v>68</v>
      </c>
      <c r="H330" s="26">
        <v>8205</v>
      </c>
      <c r="I330" s="26"/>
      <c r="J330" s="26">
        <f t="shared" si="89"/>
        <v>8205</v>
      </c>
    </row>
    <row r="331" spans="2:10" x14ac:dyDescent="0.2">
      <c r="B331" s="32">
        <f t="shared" si="106"/>
        <v>323</v>
      </c>
      <c r="C331" s="10">
        <v>240</v>
      </c>
      <c r="D331" s="10"/>
      <c r="E331" s="10"/>
      <c r="F331" s="10"/>
      <c r="G331" s="10" t="s">
        <v>174</v>
      </c>
      <c r="H331" s="24">
        <f>H332</f>
        <v>5</v>
      </c>
      <c r="I331" s="24">
        <f t="shared" ref="I331:I332" si="115">I332</f>
        <v>0</v>
      </c>
      <c r="J331" s="24">
        <f t="shared" si="89"/>
        <v>5</v>
      </c>
    </row>
    <row r="332" spans="2:10" x14ac:dyDescent="0.2">
      <c r="B332" s="32">
        <f t="shared" si="106"/>
        <v>324</v>
      </c>
      <c r="C332" s="3"/>
      <c r="D332" s="3">
        <v>242</v>
      </c>
      <c r="E332" s="3"/>
      <c r="F332" s="3"/>
      <c r="G332" s="3" t="s">
        <v>173</v>
      </c>
      <c r="H332" s="25">
        <f>H333</f>
        <v>5</v>
      </c>
      <c r="I332" s="25">
        <f t="shared" si="115"/>
        <v>0</v>
      </c>
      <c r="J332" s="25">
        <f t="shared" si="89"/>
        <v>5</v>
      </c>
    </row>
    <row r="333" spans="2:10" x14ac:dyDescent="0.2">
      <c r="B333" s="32">
        <f t="shared" si="106"/>
        <v>325</v>
      </c>
      <c r="C333" s="4"/>
      <c r="D333" s="4"/>
      <c r="E333" s="4">
        <v>242</v>
      </c>
      <c r="F333" s="4"/>
      <c r="G333" s="4" t="s">
        <v>173</v>
      </c>
      <c r="H333" s="26">
        <v>5</v>
      </c>
      <c r="I333" s="26"/>
      <c r="J333" s="26">
        <f t="shared" si="89"/>
        <v>5</v>
      </c>
    </row>
    <row r="334" spans="2:10" x14ac:dyDescent="0.2">
      <c r="B334" s="32">
        <f t="shared" si="106"/>
        <v>326</v>
      </c>
      <c r="C334" s="10">
        <v>290</v>
      </c>
      <c r="D334" s="10"/>
      <c r="E334" s="10"/>
      <c r="F334" s="10"/>
      <c r="G334" s="10" t="s">
        <v>175</v>
      </c>
      <c r="H334" s="24">
        <f>H335</f>
        <v>500</v>
      </c>
      <c r="I334" s="24">
        <f t="shared" ref="I334" si="116">I335</f>
        <v>1456</v>
      </c>
      <c r="J334" s="24">
        <f t="shared" ref="J334:J400" si="117">H334+I334</f>
        <v>1956</v>
      </c>
    </row>
    <row r="335" spans="2:10" x14ac:dyDescent="0.2">
      <c r="B335" s="32">
        <f t="shared" si="106"/>
        <v>327</v>
      </c>
      <c r="C335" s="3"/>
      <c r="D335" s="3">
        <v>292</v>
      </c>
      <c r="E335" s="3"/>
      <c r="F335" s="3"/>
      <c r="G335" s="3" t="s">
        <v>176</v>
      </c>
      <c r="H335" s="25">
        <f>H336</f>
        <v>500</v>
      </c>
      <c r="I335" s="25">
        <f>I336+I337</f>
        <v>1456</v>
      </c>
      <c r="J335" s="25">
        <f t="shared" si="117"/>
        <v>1956</v>
      </c>
    </row>
    <row r="336" spans="2:10" x14ac:dyDescent="0.2">
      <c r="B336" s="32">
        <f t="shared" si="106"/>
        <v>328</v>
      </c>
      <c r="C336" s="4"/>
      <c r="D336" s="4"/>
      <c r="E336" s="4">
        <v>292012</v>
      </c>
      <c r="F336" s="4"/>
      <c r="G336" s="4" t="s">
        <v>7</v>
      </c>
      <c r="H336" s="26">
        <v>500</v>
      </c>
      <c r="I336" s="26"/>
      <c r="J336" s="26">
        <f t="shared" si="117"/>
        <v>500</v>
      </c>
    </row>
    <row r="337" spans="2:10" ht="13.5" thickBot="1" x14ac:dyDescent="0.25">
      <c r="B337" s="32">
        <f t="shared" si="106"/>
        <v>329</v>
      </c>
      <c r="C337" s="169"/>
      <c r="D337" s="169"/>
      <c r="E337" s="169">
        <v>292017</v>
      </c>
      <c r="F337" s="169"/>
      <c r="G337" s="169" t="s">
        <v>547</v>
      </c>
      <c r="H337" s="170">
        <v>0</v>
      </c>
      <c r="I337" s="170">
        <v>1456</v>
      </c>
      <c r="J337" s="170">
        <f>I337</f>
        <v>1456</v>
      </c>
    </row>
    <row r="338" spans="2:10" ht="15.75" thickBot="1" x14ac:dyDescent="0.3">
      <c r="B338" s="32">
        <f t="shared" si="106"/>
        <v>330</v>
      </c>
      <c r="C338" s="17">
        <v>13</v>
      </c>
      <c r="D338" s="17"/>
      <c r="E338" s="17"/>
      <c r="F338" s="17"/>
      <c r="G338" s="17" t="s">
        <v>255</v>
      </c>
      <c r="H338" s="23">
        <f>H349+H346+H342+H339</f>
        <v>19010</v>
      </c>
      <c r="I338" s="23">
        <f t="shared" ref="I338" si="118">I349+I346+I342+I339</f>
        <v>555</v>
      </c>
      <c r="J338" s="23">
        <f t="shared" si="117"/>
        <v>19565</v>
      </c>
    </row>
    <row r="339" spans="2:10" x14ac:dyDescent="0.2">
      <c r="B339" s="32">
        <f t="shared" si="106"/>
        <v>331</v>
      </c>
      <c r="C339" s="10">
        <v>210</v>
      </c>
      <c r="D339" s="10"/>
      <c r="E339" s="10"/>
      <c r="F339" s="10"/>
      <c r="G339" s="10" t="s">
        <v>21</v>
      </c>
      <c r="H339" s="24">
        <f>H340</f>
        <v>6000</v>
      </c>
      <c r="I339" s="24">
        <f t="shared" ref="I339:I340" si="119">I340</f>
        <v>555</v>
      </c>
      <c r="J339" s="24">
        <f t="shared" si="117"/>
        <v>6555</v>
      </c>
    </row>
    <row r="340" spans="2:10" x14ac:dyDescent="0.2">
      <c r="B340" s="32">
        <f t="shared" si="106"/>
        <v>332</v>
      </c>
      <c r="C340" s="3"/>
      <c r="D340" s="3">
        <v>212</v>
      </c>
      <c r="E340" s="3"/>
      <c r="F340" s="3"/>
      <c r="G340" s="3" t="s">
        <v>22</v>
      </c>
      <c r="H340" s="25">
        <f>H341</f>
        <v>6000</v>
      </c>
      <c r="I340" s="25">
        <f t="shared" si="119"/>
        <v>555</v>
      </c>
      <c r="J340" s="25">
        <f t="shared" si="117"/>
        <v>6555</v>
      </c>
    </row>
    <row r="341" spans="2:10" x14ac:dyDescent="0.2">
      <c r="B341" s="32">
        <f t="shared" si="106"/>
        <v>333</v>
      </c>
      <c r="C341" s="4"/>
      <c r="D341" s="4"/>
      <c r="E341" s="4">
        <v>212003</v>
      </c>
      <c r="F341" s="4"/>
      <c r="G341" s="4" t="s">
        <v>23</v>
      </c>
      <c r="H341" s="26">
        <v>6000</v>
      </c>
      <c r="I341" s="26">
        <v>555</v>
      </c>
      <c r="J341" s="26">
        <f t="shared" si="117"/>
        <v>6555</v>
      </c>
    </row>
    <row r="342" spans="2:10" x14ac:dyDescent="0.2">
      <c r="B342" s="32">
        <f t="shared" si="106"/>
        <v>334</v>
      </c>
      <c r="C342" s="10">
        <v>220</v>
      </c>
      <c r="D342" s="10"/>
      <c r="E342" s="10"/>
      <c r="F342" s="10"/>
      <c r="G342" s="10" t="s">
        <v>224</v>
      </c>
      <c r="H342" s="24">
        <f>H343</f>
        <v>12705</v>
      </c>
      <c r="I342" s="24">
        <f t="shared" ref="I342" si="120">I343</f>
        <v>0</v>
      </c>
      <c r="J342" s="24">
        <f t="shared" si="117"/>
        <v>12705</v>
      </c>
    </row>
    <row r="343" spans="2:10" x14ac:dyDescent="0.2">
      <c r="B343" s="32">
        <f t="shared" si="106"/>
        <v>335</v>
      </c>
      <c r="C343" s="3"/>
      <c r="D343" s="3">
        <v>223</v>
      </c>
      <c r="E343" s="3"/>
      <c r="F343" s="3"/>
      <c r="G343" s="3" t="s">
        <v>25</v>
      </c>
      <c r="H343" s="25">
        <f>H345+H344</f>
        <v>12705</v>
      </c>
      <c r="I343" s="25">
        <f t="shared" ref="I343" si="121">I345+I344</f>
        <v>0</v>
      </c>
      <c r="J343" s="25">
        <f t="shared" si="117"/>
        <v>12705</v>
      </c>
    </row>
    <row r="344" spans="2:10" x14ac:dyDescent="0.2">
      <c r="B344" s="32">
        <f t="shared" si="106"/>
        <v>336</v>
      </c>
      <c r="C344" s="3"/>
      <c r="D344" s="3"/>
      <c r="E344" s="4">
        <v>223001</v>
      </c>
      <c r="F344" s="4"/>
      <c r="G344" s="4" t="s">
        <v>230</v>
      </c>
      <c r="H344" s="26">
        <v>8300</v>
      </c>
      <c r="I344" s="26"/>
      <c r="J344" s="26">
        <f t="shared" si="117"/>
        <v>8300</v>
      </c>
    </row>
    <row r="345" spans="2:10" x14ac:dyDescent="0.2">
      <c r="B345" s="32">
        <f t="shared" si="106"/>
        <v>337</v>
      </c>
      <c r="C345" s="4"/>
      <c r="D345" s="4"/>
      <c r="E345" s="4">
        <v>223002</v>
      </c>
      <c r="F345" s="4"/>
      <c r="G345" s="4" t="s">
        <v>68</v>
      </c>
      <c r="H345" s="26">
        <v>4405</v>
      </c>
      <c r="I345" s="26"/>
      <c r="J345" s="26">
        <f t="shared" si="117"/>
        <v>4405</v>
      </c>
    </row>
    <row r="346" spans="2:10" x14ac:dyDescent="0.2">
      <c r="B346" s="32">
        <f t="shared" si="106"/>
        <v>338</v>
      </c>
      <c r="C346" s="10">
        <v>240</v>
      </c>
      <c r="D346" s="10"/>
      <c r="E346" s="10"/>
      <c r="F346" s="10"/>
      <c r="G346" s="10" t="s">
        <v>174</v>
      </c>
      <c r="H346" s="24">
        <f>H347</f>
        <v>5</v>
      </c>
      <c r="I346" s="24">
        <f t="shared" ref="I346:I347" si="122">I347</f>
        <v>0</v>
      </c>
      <c r="J346" s="24">
        <f t="shared" si="117"/>
        <v>5</v>
      </c>
    </row>
    <row r="347" spans="2:10" x14ac:dyDescent="0.2">
      <c r="B347" s="32">
        <f t="shared" si="106"/>
        <v>339</v>
      </c>
      <c r="C347" s="3"/>
      <c r="D347" s="3">
        <v>242</v>
      </c>
      <c r="E347" s="3"/>
      <c r="F347" s="3"/>
      <c r="G347" s="3" t="s">
        <v>173</v>
      </c>
      <c r="H347" s="25">
        <f>H348</f>
        <v>5</v>
      </c>
      <c r="I347" s="25">
        <f t="shared" si="122"/>
        <v>0</v>
      </c>
      <c r="J347" s="25">
        <f t="shared" si="117"/>
        <v>5</v>
      </c>
    </row>
    <row r="348" spans="2:10" x14ac:dyDescent="0.2">
      <c r="B348" s="32">
        <f t="shared" si="106"/>
        <v>340</v>
      </c>
      <c r="C348" s="4"/>
      <c r="D348" s="4"/>
      <c r="E348" s="4">
        <v>242</v>
      </c>
      <c r="F348" s="4"/>
      <c r="G348" s="4" t="s">
        <v>173</v>
      </c>
      <c r="H348" s="26">
        <v>5</v>
      </c>
      <c r="I348" s="26"/>
      <c r="J348" s="26">
        <f t="shared" si="117"/>
        <v>5</v>
      </c>
    </row>
    <row r="349" spans="2:10" x14ac:dyDescent="0.2">
      <c r="B349" s="32">
        <f t="shared" si="106"/>
        <v>341</v>
      </c>
      <c r="C349" s="10">
        <v>290</v>
      </c>
      <c r="D349" s="10"/>
      <c r="E349" s="10"/>
      <c r="F349" s="10"/>
      <c r="G349" s="10" t="s">
        <v>175</v>
      </c>
      <c r="H349" s="24">
        <f>H350</f>
        <v>300</v>
      </c>
      <c r="I349" s="24">
        <f t="shared" ref="I349:I350" si="123">I350</f>
        <v>0</v>
      </c>
      <c r="J349" s="24">
        <f t="shared" si="117"/>
        <v>300</v>
      </c>
    </row>
    <row r="350" spans="2:10" x14ac:dyDescent="0.2">
      <c r="B350" s="32">
        <f t="shared" si="106"/>
        <v>342</v>
      </c>
      <c r="C350" s="3"/>
      <c r="D350" s="3">
        <v>292</v>
      </c>
      <c r="E350" s="3"/>
      <c r="F350" s="3"/>
      <c r="G350" s="3" t="s">
        <v>176</v>
      </c>
      <c r="H350" s="25">
        <f>H351</f>
        <v>300</v>
      </c>
      <c r="I350" s="25">
        <f t="shared" si="123"/>
        <v>0</v>
      </c>
      <c r="J350" s="25">
        <f t="shared" si="117"/>
        <v>300</v>
      </c>
    </row>
    <row r="351" spans="2:10" ht="13.5" thickBot="1" x14ac:dyDescent="0.25">
      <c r="B351" s="32">
        <f t="shared" si="106"/>
        <v>343</v>
      </c>
      <c r="C351" s="4"/>
      <c r="D351" s="4"/>
      <c r="E351" s="4">
        <v>292012</v>
      </c>
      <c r="F351" s="4"/>
      <c r="G351" s="4" t="s">
        <v>7</v>
      </c>
      <c r="H351" s="26">
        <v>300</v>
      </c>
      <c r="I351" s="26"/>
      <c r="J351" s="26">
        <f t="shared" si="117"/>
        <v>300</v>
      </c>
    </row>
    <row r="352" spans="2:10" ht="15.75" thickBot="1" x14ac:dyDescent="0.3">
      <c r="B352" s="32">
        <f t="shared" si="106"/>
        <v>344</v>
      </c>
      <c r="C352" s="17">
        <v>14</v>
      </c>
      <c r="D352" s="17"/>
      <c r="E352" s="17"/>
      <c r="F352" s="17"/>
      <c r="G352" s="17" t="s">
        <v>265</v>
      </c>
      <c r="H352" s="23">
        <f>H356+H353</f>
        <v>91010</v>
      </c>
      <c r="I352" s="23">
        <f>I356+I353+I359</f>
        <v>2910</v>
      </c>
      <c r="J352" s="23">
        <f t="shared" si="117"/>
        <v>93920</v>
      </c>
    </row>
    <row r="353" spans="2:10" x14ac:dyDescent="0.2">
      <c r="B353" s="32">
        <f t="shared" si="106"/>
        <v>345</v>
      </c>
      <c r="C353" s="10">
        <v>220</v>
      </c>
      <c r="D353" s="10"/>
      <c r="E353" s="10"/>
      <c r="F353" s="10"/>
      <c r="G353" s="10" t="s">
        <v>224</v>
      </c>
      <c r="H353" s="24">
        <f>H354</f>
        <v>91005</v>
      </c>
      <c r="I353" s="24">
        <f t="shared" ref="I353:I354" si="124">I354</f>
        <v>0</v>
      </c>
      <c r="J353" s="24">
        <f t="shared" si="117"/>
        <v>91005</v>
      </c>
    </row>
    <row r="354" spans="2:10" x14ac:dyDescent="0.2">
      <c r="B354" s="32">
        <f t="shared" si="106"/>
        <v>346</v>
      </c>
      <c r="C354" s="3"/>
      <c r="D354" s="3">
        <v>223</v>
      </c>
      <c r="E354" s="3"/>
      <c r="F354" s="3"/>
      <c r="G354" s="3" t="s">
        <v>25</v>
      </c>
      <c r="H354" s="25">
        <f>H355</f>
        <v>91005</v>
      </c>
      <c r="I354" s="25">
        <f t="shared" si="124"/>
        <v>0</v>
      </c>
      <c r="J354" s="25">
        <f t="shared" si="117"/>
        <v>91005</v>
      </c>
    </row>
    <row r="355" spans="2:10" x14ac:dyDescent="0.2">
      <c r="B355" s="32">
        <f t="shared" si="106"/>
        <v>347</v>
      </c>
      <c r="C355" s="4"/>
      <c r="D355" s="4"/>
      <c r="E355" s="4">
        <v>223001</v>
      </c>
      <c r="F355" s="4"/>
      <c r="G355" s="4" t="s">
        <v>26</v>
      </c>
      <c r="H355" s="26">
        <v>91005</v>
      </c>
      <c r="I355" s="26"/>
      <c r="J355" s="26">
        <f t="shared" si="117"/>
        <v>91005</v>
      </c>
    </row>
    <row r="356" spans="2:10" x14ac:dyDescent="0.2">
      <c r="B356" s="32">
        <f t="shared" si="106"/>
        <v>348</v>
      </c>
      <c r="C356" s="10">
        <v>240</v>
      </c>
      <c r="D356" s="10"/>
      <c r="E356" s="10"/>
      <c r="F356" s="10"/>
      <c r="G356" s="10" t="s">
        <v>174</v>
      </c>
      <c r="H356" s="24">
        <f>H357</f>
        <v>5</v>
      </c>
      <c r="I356" s="24">
        <f t="shared" ref="I356:I357" si="125">I357</f>
        <v>0</v>
      </c>
      <c r="J356" s="24">
        <f t="shared" si="117"/>
        <v>5</v>
      </c>
    </row>
    <row r="357" spans="2:10" x14ac:dyDescent="0.2">
      <c r="B357" s="32">
        <f t="shared" si="106"/>
        <v>349</v>
      </c>
      <c r="C357" s="3"/>
      <c r="D357" s="3">
        <v>242</v>
      </c>
      <c r="E357" s="3"/>
      <c r="F357" s="3"/>
      <c r="G357" s="3" t="s">
        <v>173</v>
      </c>
      <c r="H357" s="25">
        <f>H358</f>
        <v>5</v>
      </c>
      <c r="I357" s="25">
        <f t="shared" si="125"/>
        <v>0</v>
      </c>
      <c r="J357" s="25">
        <f t="shared" si="117"/>
        <v>5</v>
      </c>
    </row>
    <row r="358" spans="2:10" x14ac:dyDescent="0.2">
      <c r="B358" s="32">
        <f t="shared" si="106"/>
        <v>350</v>
      </c>
      <c r="C358" s="4"/>
      <c r="D358" s="4"/>
      <c r="E358" s="4">
        <v>242</v>
      </c>
      <c r="F358" s="4"/>
      <c r="G358" s="4" t="s">
        <v>173</v>
      </c>
      <c r="H358" s="26">
        <v>5</v>
      </c>
      <c r="I358" s="26"/>
      <c r="J358" s="26">
        <f t="shared" si="117"/>
        <v>5</v>
      </c>
    </row>
    <row r="359" spans="2:10" x14ac:dyDescent="0.2">
      <c r="B359" s="32">
        <f t="shared" si="106"/>
        <v>351</v>
      </c>
      <c r="C359" s="10">
        <v>290</v>
      </c>
      <c r="D359" s="10"/>
      <c r="E359" s="10"/>
      <c r="F359" s="10"/>
      <c r="G359" s="10" t="s">
        <v>175</v>
      </c>
      <c r="H359" s="24">
        <f>H360</f>
        <v>0</v>
      </c>
      <c r="I359" s="24">
        <f t="shared" ref="I359" si="126">I360</f>
        <v>2910</v>
      </c>
      <c r="J359" s="24">
        <f t="shared" ref="J359:J360" si="127">H359+I359</f>
        <v>2910</v>
      </c>
    </row>
    <row r="360" spans="2:10" x14ac:dyDescent="0.2">
      <c r="B360" s="32">
        <f t="shared" si="106"/>
        <v>352</v>
      </c>
      <c r="C360" s="3"/>
      <c r="D360" s="3">
        <v>292</v>
      </c>
      <c r="E360" s="3"/>
      <c r="F360" s="3"/>
      <c r="G360" s="3" t="s">
        <v>176</v>
      </c>
      <c r="H360" s="25">
        <f>H361</f>
        <v>0</v>
      </c>
      <c r="I360" s="25">
        <f>I361</f>
        <v>2910</v>
      </c>
      <c r="J360" s="25">
        <f t="shared" si="127"/>
        <v>2910</v>
      </c>
    </row>
    <row r="361" spans="2:10" ht="13.5" thickBot="1" x14ac:dyDescent="0.25">
      <c r="B361" s="32">
        <f t="shared" si="106"/>
        <v>353</v>
      </c>
      <c r="C361" s="169"/>
      <c r="D361" s="169"/>
      <c r="E361" s="169">
        <v>292017</v>
      </c>
      <c r="F361" s="169"/>
      <c r="G361" s="169" t="s">
        <v>547</v>
      </c>
      <c r="H361" s="170">
        <v>0</v>
      </c>
      <c r="I361" s="170">
        <v>2910</v>
      </c>
      <c r="J361" s="170">
        <f>I361</f>
        <v>2910</v>
      </c>
    </row>
    <row r="362" spans="2:10" ht="16.5" thickBot="1" x14ac:dyDescent="0.3">
      <c r="B362" s="32">
        <f t="shared" si="106"/>
        <v>354</v>
      </c>
      <c r="C362" s="16">
        <v>300</v>
      </c>
      <c r="D362" s="16"/>
      <c r="E362" s="16"/>
      <c r="F362" s="16"/>
      <c r="G362" s="16" t="s">
        <v>228</v>
      </c>
      <c r="H362" s="22">
        <f>H417+H409+H401+H397+H363+H386+H392</f>
        <v>8081777</v>
      </c>
      <c r="I362" s="22">
        <f>I417+I409+I401+I397+I363+I386+I392+I413+I405</f>
        <v>154700</v>
      </c>
      <c r="J362" s="22">
        <f t="shared" si="117"/>
        <v>8236477</v>
      </c>
    </row>
    <row r="363" spans="2:10" ht="15.75" thickBot="1" x14ac:dyDescent="0.3">
      <c r="B363" s="32">
        <f t="shared" si="106"/>
        <v>355</v>
      </c>
      <c r="C363" s="17"/>
      <c r="D363" s="17"/>
      <c r="E363" s="17"/>
      <c r="F363" s="17"/>
      <c r="G363" s="17" t="s">
        <v>282</v>
      </c>
      <c r="H363" s="23">
        <f>H364</f>
        <v>7787772</v>
      </c>
      <c r="I363" s="23">
        <f t="shared" ref="I363" si="128">I364</f>
        <v>144988</v>
      </c>
      <c r="J363" s="23">
        <f t="shared" si="117"/>
        <v>7932760</v>
      </c>
    </row>
    <row r="364" spans="2:10" x14ac:dyDescent="0.2">
      <c r="B364" s="32">
        <f t="shared" si="106"/>
        <v>356</v>
      </c>
      <c r="C364" s="10">
        <v>310</v>
      </c>
      <c r="D364" s="10"/>
      <c r="E364" s="10"/>
      <c r="F364" s="10"/>
      <c r="G364" s="10" t="s">
        <v>229</v>
      </c>
      <c r="H364" s="24">
        <f>H366+H365</f>
        <v>7787772</v>
      </c>
      <c r="I364" s="24">
        <f t="shared" ref="I364" si="129">I366+I365</f>
        <v>144988</v>
      </c>
      <c r="J364" s="24">
        <f t="shared" si="117"/>
        <v>7932760</v>
      </c>
    </row>
    <row r="365" spans="2:10" x14ac:dyDescent="0.2">
      <c r="B365" s="32">
        <f t="shared" si="106"/>
        <v>357</v>
      </c>
      <c r="C365" s="3"/>
      <c r="D365" s="3">
        <v>311</v>
      </c>
      <c r="E365" s="3"/>
      <c r="F365" s="3"/>
      <c r="G365" s="3" t="s">
        <v>595</v>
      </c>
      <c r="H365" s="25">
        <f>2000+700</f>
        <v>2700</v>
      </c>
      <c r="I365" s="25"/>
      <c r="J365" s="25">
        <f t="shared" si="117"/>
        <v>2700</v>
      </c>
    </row>
    <row r="366" spans="2:10" x14ac:dyDescent="0.2">
      <c r="B366" s="32">
        <f t="shared" si="106"/>
        <v>358</v>
      </c>
      <c r="C366" s="3"/>
      <c r="D366" s="3">
        <v>312</v>
      </c>
      <c r="E366" s="3"/>
      <c r="F366" s="3"/>
      <c r="G366" s="3" t="s">
        <v>191</v>
      </c>
      <c r="H366" s="25">
        <f>H367+H376</f>
        <v>7785072</v>
      </c>
      <c r="I366" s="25">
        <f t="shared" ref="I366" si="130">I367+I376</f>
        <v>144988</v>
      </c>
      <c r="J366" s="25">
        <f t="shared" si="117"/>
        <v>7930060</v>
      </c>
    </row>
    <row r="367" spans="2:10" x14ac:dyDescent="0.2">
      <c r="B367" s="32">
        <f t="shared" si="106"/>
        <v>359</v>
      </c>
      <c r="C367" s="4"/>
      <c r="D367" s="4"/>
      <c r="E367" s="4">
        <v>312001</v>
      </c>
      <c r="F367" s="4"/>
      <c r="G367" s="4" t="s">
        <v>8</v>
      </c>
      <c r="H367" s="26">
        <f>SUM(H368:H375)</f>
        <v>928100</v>
      </c>
      <c r="I367" s="26">
        <f t="shared" ref="I367" si="131">SUM(I368:I375)</f>
        <v>3342</v>
      </c>
      <c r="J367" s="26">
        <f t="shared" si="117"/>
        <v>931442</v>
      </c>
    </row>
    <row r="368" spans="2:10" x14ac:dyDescent="0.2">
      <c r="B368" s="32">
        <f t="shared" si="106"/>
        <v>360</v>
      </c>
      <c r="C368" s="5"/>
      <c r="D368" s="5"/>
      <c r="E368" s="5"/>
      <c r="F368" s="5"/>
      <c r="G368" s="5" t="s">
        <v>406</v>
      </c>
      <c r="H368" s="27">
        <f>833090+13438</f>
        <v>846528</v>
      </c>
      <c r="I368" s="27"/>
      <c r="J368" s="27">
        <f t="shared" si="117"/>
        <v>846528</v>
      </c>
    </row>
    <row r="369" spans="2:13" x14ac:dyDescent="0.2">
      <c r="B369" s="32">
        <f t="shared" si="106"/>
        <v>361</v>
      </c>
      <c r="C369" s="5"/>
      <c r="D369" s="5"/>
      <c r="E369" s="5"/>
      <c r="F369" s="5"/>
      <c r="G369" s="5" t="s">
        <v>181</v>
      </c>
      <c r="H369" s="27">
        <f>12000+3000</f>
        <v>15000</v>
      </c>
      <c r="I369" s="27"/>
      <c r="J369" s="27">
        <f t="shared" si="117"/>
        <v>15000</v>
      </c>
    </row>
    <row r="370" spans="2:13" x14ac:dyDescent="0.2">
      <c r="B370" s="32">
        <f t="shared" si="106"/>
        <v>362</v>
      </c>
      <c r="C370" s="5"/>
      <c r="D370" s="5"/>
      <c r="E370" s="5"/>
      <c r="F370" s="5"/>
      <c r="G370" s="5" t="s">
        <v>548</v>
      </c>
      <c r="H370" s="27">
        <f>3300+3099</f>
        <v>6399</v>
      </c>
      <c r="I370" s="27">
        <f>2366+976</f>
        <v>3342</v>
      </c>
      <c r="J370" s="27">
        <f t="shared" si="117"/>
        <v>9741</v>
      </c>
    </row>
    <row r="371" spans="2:13" x14ac:dyDescent="0.2">
      <c r="B371" s="32">
        <f t="shared" ref="B371:B420" si="132">B370+1</f>
        <v>363</v>
      </c>
      <c r="C371" s="5"/>
      <c r="D371" s="5"/>
      <c r="E371" s="5"/>
      <c r="F371" s="5"/>
      <c r="G371" s="5" t="s">
        <v>549</v>
      </c>
      <c r="H371" s="27">
        <v>44273</v>
      </c>
      <c r="I371" s="27"/>
      <c r="J371" s="27">
        <f t="shared" si="117"/>
        <v>44273</v>
      </c>
    </row>
    <row r="372" spans="2:13" x14ac:dyDescent="0.2">
      <c r="B372" s="32">
        <f t="shared" si="132"/>
        <v>364</v>
      </c>
      <c r="C372" s="5"/>
      <c r="D372" s="5"/>
      <c r="E372" s="5"/>
      <c r="F372" s="5"/>
      <c r="G372" s="5" t="s">
        <v>644</v>
      </c>
      <c r="H372" s="27">
        <v>2200</v>
      </c>
      <c r="I372" s="27"/>
      <c r="J372" s="27">
        <f t="shared" si="117"/>
        <v>2200</v>
      </c>
    </row>
    <row r="373" spans="2:13" x14ac:dyDescent="0.2">
      <c r="B373" s="32">
        <f t="shared" si="132"/>
        <v>365</v>
      </c>
      <c r="C373" s="5"/>
      <c r="D373" s="5"/>
      <c r="E373" s="5"/>
      <c r="F373" s="5"/>
      <c r="G373" s="5" t="s">
        <v>714</v>
      </c>
      <c r="H373" s="27">
        <v>3200</v>
      </c>
      <c r="I373" s="27"/>
      <c r="J373" s="27">
        <f t="shared" si="117"/>
        <v>3200</v>
      </c>
    </row>
    <row r="374" spans="2:13" x14ac:dyDescent="0.2">
      <c r="B374" s="32">
        <f t="shared" si="132"/>
        <v>366</v>
      </c>
      <c r="C374" s="5"/>
      <c r="D374" s="5"/>
      <c r="E374" s="5"/>
      <c r="F374" s="5"/>
      <c r="G374" s="5" t="s">
        <v>738</v>
      </c>
      <c r="H374" s="27">
        <v>6500</v>
      </c>
      <c r="I374" s="27"/>
      <c r="J374" s="27">
        <f t="shared" si="117"/>
        <v>6500</v>
      </c>
    </row>
    <row r="375" spans="2:13" x14ac:dyDescent="0.2">
      <c r="B375" s="32">
        <f t="shared" si="132"/>
        <v>367</v>
      </c>
      <c r="C375" s="5"/>
      <c r="D375" s="5"/>
      <c r="E375" s="5"/>
      <c r="F375" s="5"/>
      <c r="G375" s="5" t="s">
        <v>739</v>
      </c>
      <c r="H375" s="27">
        <v>4000</v>
      </c>
      <c r="I375" s="27"/>
      <c r="J375" s="27">
        <f t="shared" si="117"/>
        <v>4000</v>
      </c>
    </row>
    <row r="376" spans="2:13" x14ac:dyDescent="0.2">
      <c r="B376" s="32">
        <f t="shared" si="132"/>
        <v>368</v>
      </c>
      <c r="C376" s="4"/>
      <c r="D376" s="4"/>
      <c r="E376" s="4">
        <v>312012</v>
      </c>
      <c r="F376" s="4"/>
      <c r="G376" s="4" t="s">
        <v>9</v>
      </c>
      <c r="H376" s="26">
        <f>SUM(H377:H385)</f>
        <v>6856972</v>
      </c>
      <c r="I376" s="26">
        <f t="shared" ref="I376" si="133">SUM(I377:I385)</f>
        <v>141646</v>
      </c>
      <c r="J376" s="26">
        <f t="shared" si="117"/>
        <v>6998618</v>
      </c>
    </row>
    <row r="377" spans="2:13" x14ac:dyDescent="0.2">
      <c r="B377" s="32">
        <f t="shared" si="132"/>
        <v>369</v>
      </c>
      <c r="C377" s="5"/>
      <c r="D377" s="5"/>
      <c r="E377" s="5"/>
      <c r="F377" s="5"/>
      <c r="G377" s="195" t="s">
        <v>407</v>
      </c>
      <c r="H377" s="196">
        <f>6479800+48130</f>
        <v>6527930</v>
      </c>
      <c r="I377" s="196">
        <f>95297+55310-9977</f>
        <v>140630</v>
      </c>
      <c r="J377" s="196">
        <f t="shared" si="117"/>
        <v>6668560</v>
      </c>
      <c r="L377" s="21"/>
      <c r="M377" s="21"/>
    </row>
    <row r="378" spans="2:13" x14ac:dyDescent="0.2">
      <c r="B378" s="32">
        <f t="shared" si="132"/>
        <v>370</v>
      </c>
      <c r="C378" s="5"/>
      <c r="D378" s="5"/>
      <c r="E378" s="5"/>
      <c r="F378" s="5"/>
      <c r="G378" s="195" t="s">
        <v>408</v>
      </c>
      <c r="H378" s="196">
        <v>81340</v>
      </c>
      <c r="I378" s="196">
        <f>3+1013</f>
        <v>1016</v>
      </c>
      <c r="J378" s="196">
        <f t="shared" si="117"/>
        <v>82356</v>
      </c>
    </row>
    <row r="379" spans="2:13" x14ac:dyDescent="0.2">
      <c r="B379" s="32">
        <f t="shared" si="132"/>
        <v>371</v>
      </c>
      <c r="C379" s="5"/>
      <c r="D379" s="5"/>
      <c r="E379" s="5"/>
      <c r="F379" s="5"/>
      <c r="G379" s="195" t="s">
        <v>409</v>
      </c>
      <c r="H379" s="196">
        <f>87000+8772+3562</f>
        <v>99334</v>
      </c>
      <c r="I379" s="196"/>
      <c r="J379" s="196">
        <f t="shared" si="117"/>
        <v>99334</v>
      </c>
    </row>
    <row r="380" spans="2:13" x14ac:dyDescent="0.2">
      <c r="B380" s="32">
        <f t="shared" si="132"/>
        <v>372</v>
      </c>
      <c r="C380" s="5"/>
      <c r="D380" s="5"/>
      <c r="E380" s="5"/>
      <c r="F380" s="5"/>
      <c r="G380" s="195" t="s">
        <v>410</v>
      </c>
      <c r="H380" s="196">
        <v>52000</v>
      </c>
      <c r="I380" s="196"/>
      <c r="J380" s="196">
        <f t="shared" si="117"/>
        <v>52000</v>
      </c>
    </row>
    <row r="381" spans="2:13" x14ac:dyDescent="0.2">
      <c r="B381" s="32">
        <f t="shared" si="132"/>
        <v>373</v>
      </c>
      <c r="C381" s="5"/>
      <c r="D381" s="5"/>
      <c r="E381" s="5"/>
      <c r="F381" s="5"/>
      <c r="G381" s="195" t="s">
        <v>411</v>
      </c>
      <c r="H381" s="196">
        <f>38805+2203</f>
        <v>41008</v>
      </c>
      <c r="I381" s="196"/>
      <c r="J381" s="196">
        <f t="shared" si="117"/>
        <v>41008</v>
      </c>
    </row>
    <row r="382" spans="2:13" x14ac:dyDescent="0.2">
      <c r="B382" s="32">
        <f t="shared" si="132"/>
        <v>374</v>
      </c>
      <c r="C382" s="5"/>
      <c r="D382" s="5"/>
      <c r="E382" s="5"/>
      <c r="F382" s="5"/>
      <c r="G382" s="195" t="s">
        <v>412</v>
      </c>
      <c r="H382" s="196">
        <v>18500</v>
      </c>
      <c r="I382" s="196"/>
      <c r="J382" s="196">
        <f t="shared" si="117"/>
        <v>18500</v>
      </c>
      <c r="L382" s="21"/>
      <c r="M382" s="21"/>
    </row>
    <row r="383" spans="2:13" x14ac:dyDescent="0.2">
      <c r="B383" s="32">
        <f t="shared" si="132"/>
        <v>375</v>
      </c>
      <c r="C383" s="5"/>
      <c r="D383" s="5"/>
      <c r="E383" s="5"/>
      <c r="F383" s="5"/>
      <c r="G383" s="195" t="s">
        <v>413</v>
      </c>
      <c r="H383" s="196">
        <v>24500</v>
      </c>
      <c r="I383" s="196"/>
      <c r="J383" s="196">
        <f t="shared" si="117"/>
        <v>24500</v>
      </c>
    </row>
    <row r="384" spans="2:13" x14ac:dyDescent="0.2">
      <c r="B384" s="32">
        <f t="shared" si="132"/>
        <v>376</v>
      </c>
      <c r="C384" s="5"/>
      <c r="D384" s="5"/>
      <c r="E384" s="5"/>
      <c r="F384" s="5"/>
      <c r="G384" s="195" t="s">
        <v>520</v>
      </c>
      <c r="H384" s="196">
        <v>7135</v>
      </c>
      <c r="I384" s="196"/>
      <c r="J384" s="196">
        <f t="shared" si="117"/>
        <v>7135</v>
      </c>
    </row>
    <row r="385" spans="2:10" ht="13.5" thickBot="1" x14ac:dyDescent="0.25">
      <c r="B385" s="32">
        <f t="shared" si="132"/>
        <v>377</v>
      </c>
      <c r="C385" s="5"/>
      <c r="D385" s="5"/>
      <c r="E385" s="5"/>
      <c r="F385" s="5"/>
      <c r="G385" s="195" t="s">
        <v>634</v>
      </c>
      <c r="H385" s="196">
        <v>5225</v>
      </c>
      <c r="I385" s="196"/>
      <c r="J385" s="196">
        <f t="shared" si="117"/>
        <v>5225</v>
      </c>
    </row>
    <row r="386" spans="2:10" ht="15.75" thickBot="1" x14ac:dyDescent="0.3">
      <c r="B386" s="32">
        <f t="shared" si="132"/>
        <v>378</v>
      </c>
      <c r="C386" s="17">
        <v>1</v>
      </c>
      <c r="D386" s="17"/>
      <c r="E386" s="17"/>
      <c r="F386" s="17"/>
      <c r="G386" s="17" t="s">
        <v>314</v>
      </c>
      <c r="H386" s="23">
        <f>H387</f>
        <v>5400</v>
      </c>
      <c r="I386" s="23">
        <f t="shared" ref="I386:I390" si="134">I387</f>
        <v>3400</v>
      </c>
      <c r="J386" s="23">
        <f t="shared" si="117"/>
        <v>8800</v>
      </c>
    </row>
    <row r="387" spans="2:10" x14ac:dyDescent="0.2">
      <c r="B387" s="32">
        <f t="shared" si="132"/>
        <v>379</v>
      </c>
      <c r="C387" s="10">
        <v>310</v>
      </c>
      <c r="D387" s="10"/>
      <c r="E387" s="10"/>
      <c r="F387" s="10"/>
      <c r="G387" s="10" t="s">
        <v>229</v>
      </c>
      <c r="H387" s="24">
        <f>H390</f>
        <v>5400</v>
      </c>
      <c r="I387" s="24">
        <f>I390+I388</f>
        <v>3400</v>
      </c>
      <c r="J387" s="24">
        <f t="shared" si="117"/>
        <v>8800</v>
      </c>
    </row>
    <row r="388" spans="2:10" x14ac:dyDescent="0.2">
      <c r="B388" s="32">
        <f t="shared" si="132"/>
        <v>380</v>
      </c>
      <c r="C388" s="3"/>
      <c r="D388" s="3">
        <v>311</v>
      </c>
      <c r="E388" s="3"/>
      <c r="F388" s="3"/>
      <c r="G388" s="3" t="s">
        <v>227</v>
      </c>
      <c r="H388" s="25">
        <f>H389</f>
        <v>0</v>
      </c>
      <c r="I388" s="25">
        <f t="shared" ref="I388" si="135">I389</f>
        <v>400</v>
      </c>
      <c r="J388" s="25">
        <f t="shared" ref="J388:J389" si="136">H388+I388</f>
        <v>400</v>
      </c>
    </row>
    <row r="389" spans="2:10" x14ac:dyDescent="0.2">
      <c r="B389" s="32">
        <f t="shared" si="132"/>
        <v>381</v>
      </c>
      <c r="C389" s="5"/>
      <c r="D389" s="5"/>
      <c r="E389" s="5"/>
      <c r="F389" s="5"/>
      <c r="G389" s="214" t="s">
        <v>781</v>
      </c>
      <c r="H389" s="27">
        <v>0</v>
      </c>
      <c r="I389" s="215">
        <v>400</v>
      </c>
      <c r="J389" s="215">
        <f t="shared" si="136"/>
        <v>400</v>
      </c>
    </row>
    <row r="390" spans="2:10" x14ac:dyDescent="0.2">
      <c r="B390" s="32">
        <f t="shared" si="132"/>
        <v>382</v>
      </c>
      <c r="C390" s="3"/>
      <c r="D390" s="3">
        <v>312</v>
      </c>
      <c r="E390" s="3"/>
      <c r="F390" s="3"/>
      <c r="G390" s="3" t="s">
        <v>191</v>
      </c>
      <c r="H390" s="25">
        <f>H391</f>
        <v>5400</v>
      </c>
      <c r="I390" s="25">
        <f t="shared" si="134"/>
        <v>3000</v>
      </c>
      <c r="J390" s="25">
        <f t="shared" si="117"/>
        <v>8400</v>
      </c>
    </row>
    <row r="391" spans="2:10" ht="13.5" thickBot="1" x14ac:dyDescent="0.25">
      <c r="B391" s="32">
        <f t="shared" si="132"/>
        <v>383</v>
      </c>
      <c r="C391" s="4"/>
      <c r="D391" s="4"/>
      <c r="E391" s="4"/>
      <c r="F391" s="4"/>
      <c r="G391" s="214" t="s">
        <v>656</v>
      </c>
      <c r="H391" s="26">
        <f>2500+2900</f>
        <v>5400</v>
      </c>
      <c r="I391" s="26">
        <v>3000</v>
      </c>
      <c r="J391" s="26">
        <f t="shared" si="117"/>
        <v>8400</v>
      </c>
    </row>
    <row r="392" spans="2:10" ht="15.75" thickBot="1" x14ac:dyDescent="0.3">
      <c r="B392" s="32">
        <f t="shared" si="132"/>
        <v>384</v>
      </c>
      <c r="C392" s="17">
        <v>5</v>
      </c>
      <c r="D392" s="17"/>
      <c r="E392" s="17"/>
      <c r="F392" s="17"/>
      <c r="G392" s="17" t="s">
        <v>266</v>
      </c>
      <c r="H392" s="23">
        <f t="shared" ref="H392:I394" si="137">H393</f>
        <v>284427</v>
      </c>
      <c r="I392" s="23">
        <f t="shared" si="137"/>
        <v>0</v>
      </c>
      <c r="J392" s="23">
        <f t="shared" si="117"/>
        <v>284427</v>
      </c>
    </row>
    <row r="393" spans="2:10" x14ac:dyDescent="0.2">
      <c r="B393" s="32">
        <f t="shared" si="132"/>
        <v>385</v>
      </c>
      <c r="C393" s="10">
        <v>310</v>
      </c>
      <c r="D393" s="10"/>
      <c r="E393" s="10"/>
      <c r="F393" s="10"/>
      <c r="G393" s="10" t="s">
        <v>229</v>
      </c>
      <c r="H393" s="24">
        <f t="shared" si="137"/>
        <v>284427</v>
      </c>
      <c r="I393" s="24">
        <f t="shared" si="137"/>
        <v>0</v>
      </c>
      <c r="J393" s="24">
        <f t="shared" si="117"/>
        <v>284427</v>
      </c>
    </row>
    <row r="394" spans="2:10" x14ac:dyDescent="0.2">
      <c r="B394" s="32">
        <f t="shared" si="132"/>
        <v>386</v>
      </c>
      <c r="C394" s="3"/>
      <c r="D394" s="3">
        <v>312</v>
      </c>
      <c r="E394" s="3"/>
      <c r="F394" s="3"/>
      <c r="G394" s="3" t="s">
        <v>191</v>
      </c>
      <c r="H394" s="25">
        <f>H395</f>
        <v>284427</v>
      </c>
      <c r="I394" s="25">
        <f t="shared" si="137"/>
        <v>0</v>
      </c>
      <c r="J394" s="25">
        <f t="shared" si="117"/>
        <v>284427</v>
      </c>
    </row>
    <row r="395" spans="2:10" x14ac:dyDescent="0.2">
      <c r="B395" s="32">
        <f t="shared" si="132"/>
        <v>387</v>
      </c>
      <c r="C395" s="4"/>
      <c r="D395" s="4"/>
      <c r="E395" s="4">
        <v>312001</v>
      </c>
      <c r="F395" s="4"/>
      <c r="G395" s="4" t="s">
        <v>8</v>
      </c>
      <c r="H395" s="26">
        <f>H396</f>
        <v>284427</v>
      </c>
      <c r="I395" s="26">
        <f>I396</f>
        <v>0</v>
      </c>
      <c r="J395" s="26">
        <f t="shared" si="117"/>
        <v>284427</v>
      </c>
    </row>
    <row r="396" spans="2:10" ht="13.5" thickBot="1" x14ac:dyDescent="0.25">
      <c r="B396" s="32">
        <f t="shared" si="132"/>
        <v>388</v>
      </c>
      <c r="C396" s="169"/>
      <c r="D396" s="169"/>
      <c r="E396" s="169"/>
      <c r="F396" s="169"/>
      <c r="G396" s="169" t="s">
        <v>657</v>
      </c>
      <c r="H396" s="170">
        <v>284427</v>
      </c>
      <c r="I396" s="170"/>
      <c r="J396" s="170">
        <f t="shared" si="117"/>
        <v>284427</v>
      </c>
    </row>
    <row r="397" spans="2:10" ht="15.75" thickBot="1" x14ac:dyDescent="0.3">
      <c r="B397" s="32">
        <f t="shared" si="132"/>
        <v>389</v>
      </c>
      <c r="C397" s="17">
        <v>6</v>
      </c>
      <c r="D397" s="17"/>
      <c r="E397" s="17"/>
      <c r="F397" s="17"/>
      <c r="G397" s="17" t="s">
        <v>82</v>
      </c>
      <c r="H397" s="23">
        <f>H398</f>
        <v>895</v>
      </c>
      <c r="I397" s="23">
        <f t="shared" ref="I397" si="138">I398</f>
        <v>0</v>
      </c>
      <c r="J397" s="23">
        <f t="shared" si="117"/>
        <v>895</v>
      </c>
    </row>
    <row r="398" spans="2:10" x14ac:dyDescent="0.2">
      <c r="B398" s="32">
        <f t="shared" si="132"/>
        <v>390</v>
      </c>
      <c r="C398" s="10">
        <v>310</v>
      </c>
      <c r="D398" s="10"/>
      <c r="E398" s="10"/>
      <c r="F398" s="10"/>
      <c r="G398" s="10" t="s">
        <v>229</v>
      </c>
      <c r="H398" s="24">
        <f>H399</f>
        <v>895</v>
      </c>
      <c r="I398" s="24">
        <f>I399</f>
        <v>0</v>
      </c>
      <c r="J398" s="24">
        <f t="shared" si="117"/>
        <v>895</v>
      </c>
    </row>
    <row r="399" spans="2:10" x14ac:dyDescent="0.2">
      <c r="B399" s="32">
        <f t="shared" si="132"/>
        <v>391</v>
      </c>
      <c r="C399" s="3"/>
      <c r="D399" s="3">
        <v>311</v>
      </c>
      <c r="E399" s="3"/>
      <c r="F399" s="3"/>
      <c r="G399" s="3" t="s">
        <v>227</v>
      </c>
      <c r="H399" s="25">
        <f>H400</f>
        <v>895</v>
      </c>
      <c r="I399" s="25">
        <f t="shared" ref="I399" si="139">I400</f>
        <v>0</v>
      </c>
      <c r="J399" s="25">
        <f t="shared" si="117"/>
        <v>895</v>
      </c>
    </row>
    <row r="400" spans="2:10" ht="13.5" thickBot="1" x14ac:dyDescent="0.25">
      <c r="B400" s="32">
        <f t="shared" si="132"/>
        <v>392</v>
      </c>
      <c r="C400" s="5"/>
      <c r="D400" s="5"/>
      <c r="E400" s="5"/>
      <c r="F400" s="5"/>
      <c r="G400" s="5" t="s">
        <v>658</v>
      </c>
      <c r="H400" s="27">
        <v>895</v>
      </c>
      <c r="I400" s="27"/>
      <c r="J400" s="27">
        <f t="shared" si="117"/>
        <v>895</v>
      </c>
    </row>
    <row r="401" spans="2:10" ht="15.75" thickBot="1" x14ac:dyDescent="0.3">
      <c r="B401" s="32">
        <f t="shared" si="132"/>
        <v>393</v>
      </c>
      <c r="C401" s="17">
        <v>7</v>
      </c>
      <c r="D401" s="17"/>
      <c r="E401" s="17"/>
      <c r="F401" s="17"/>
      <c r="G401" s="17" t="s">
        <v>317</v>
      </c>
      <c r="H401" s="23">
        <f>H402</f>
        <v>945</v>
      </c>
      <c r="I401" s="23">
        <f t="shared" ref="I401" si="140">I402</f>
        <v>334</v>
      </c>
      <c r="J401" s="23">
        <f t="shared" ref="J401:J421" si="141">H401+I401</f>
        <v>1279</v>
      </c>
    </row>
    <row r="402" spans="2:10" x14ac:dyDescent="0.2">
      <c r="B402" s="32">
        <f t="shared" si="132"/>
        <v>394</v>
      </c>
      <c r="C402" s="10">
        <v>310</v>
      </c>
      <c r="D402" s="10"/>
      <c r="E402" s="10"/>
      <c r="F402" s="10"/>
      <c r="G402" s="10" t="s">
        <v>229</v>
      </c>
      <c r="H402" s="24">
        <f>H403</f>
        <v>945</v>
      </c>
      <c r="I402" s="24">
        <f>I403</f>
        <v>334</v>
      </c>
      <c r="J402" s="24">
        <f t="shared" si="141"/>
        <v>1279</v>
      </c>
    </row>
    <row r="403" spans="2:10" x14ac:dyDescent="0.2">
      <c r="B403" s="32">
        <f t="shared" si="132"/>
        <v>395</v>
      </c>
      <c r="C403" s="3"/>
      <c r="D403" s="3">
        <v>311</v>
      </c>
      <c r="E403" s="3"/>
      <c r="F403" s="3"/>
      <c r="G403" s="3" t="s">
        <v>227</v>
      </c>
      <c r="H403" s="25">
        <f>H404</f>
        <v>945</v>
      </c>
      <c r="I403" s="25">
        <f t="shared" ref="I403" si="142">I404</f>
        <v>334</v>
      </c>
      <c r="J403" s="25">
        <f t="shared" si="141"/>
        <v>1279</v>
      </c>
    </row>
    <row r="404" spans="2:10" ht="13.5" thickBot="1" x14ac:dyDescent="0.25">
      <c r="B404" s="32">
        <f t="shared" si="132"/>
        <v>396</v>
      </c>
      <c r="C404" s="4"/>
      <c r="D404" s="4"/>
      <c r="E404" s="4"/>
      <c r="F404" s="4"/>
      <c r="G404" s="4" t="s">
        <v>658</v>
      </c>
      <c r="H404" s="26">
        <v>945</v>
      </c>
      <c r="I404" s="26">
        <f>82+252</f>
        <v>334</v>
      </c>
      <c r="J404" s="26">
        <f t="shared" si="141"/>
        <v>1279</v>
      </c>
    </row>
    <row r="405" spans="2:10" ht="15.75" thickBot="1" x14ac:dyDescent="0.3">
      <c r="B405" s="32">
        <f t="shared" si="132"/>
        <v>397</v>
      </c>
      <c r="C405" s="17">
        <v>8</v>
      </c>
      <c r="D405" s="17"/>
      <c r="E405" s="17"/>
      <c r="F405" s="17"/>
      <c r="G405" s="17" t="s">
        <v>315</v>
      </c>
      <c r="H405" s="23">
        <f>H406</f>
        <v>0</v>
      </c>
      <c r="I405" s="23">
        <f t="shared" ref="I405" si="143">I406</f>
        <v>671</v>
      </c>
      <c r="J405" s="23">
        <f t="shared" ref="J405:J408" si="144">H405+I405</f>
        <v>671</v>
      </c>
    </row>
    <row r="406" spans="2:10" x14ac:dyDescent="0.2">
      <c r="B406" s="32">
        <f t="shared" si="132"/>
        <v>398</v>
      </c>
      <c r="C406" s="10">
        <v>310</v>
      </c>
      <c r="D406" s="10"/>
      <c r="E406" s="10"/>
      <c r="F406" s="10"/>
      <c r="G406" s="10" t="s">
        <v>229</v>
      </c>
      <c r="H406" s="24">
        <f>H407</f>
        <v>0</v>
      </c>
      <c r="I406" s="24">
        <f>I407</f>
        <v>671</v>
      </c>
      <c r="J406" s="24">
        <f t="shared" si="144"/>
        <v>671</v>
      </c>
    </row>
    <row r="407" spans="2:10" x14ac:dyDescent="0.2">
      <c r="B407" s="32">
        <f t="shared" si="132"/>
        <v>399</v>
      </c>
      <c r="C407" s="3"/>
      <c r="D407" s="3">
        <v>311</v>
      </c>
      <c r="E407" s="3"/>
      <c r="F407" s="3"/>
      <c r="G407" s="3" t="s">
        <v>227</v>
      </c>
      <c r="H407" s="25">
        <f>H408</f>
        <v>0</v>
      </c>
      <c r="I407" s="25">
        <f t="shared" ref="I407" si="145">I408</f>
        <v>671</v>
      </c>
      <c r="J407" s="25">
        <f t="shared" si="144"/>
        <v>671</v>
      </c>
    </row>
    <row r="408" spans="2:10" ht="13.5" thickBot="1" x14ac:dyDescent="0.25">
      <c r="B408" s="32">
        <f t="shared" si="132"/>
        <v>400</v>
      </c>
      <c r="C408" s="4"/>
      <c r="D408" s="4"/>
      <c r="E408" s="4"/>
      <c r="F408" s="4"/>
      <c r="G408" s="4" t="s">
        <v>658</v>
      </c>
      <c r="H408" s="26">
        <v>0</v>
      </c>
      <c r="I408" s="26">
        <v>671</v>
      </c>
      <c r="J408" s="26">
        <f t="shared" si="144"/>
        <v>671</v>
      </c>
    </row>
    <row r="409" spans="2:10" ht="15.75" thickBot="1" x14ac:dyDescent="0.3">
      <c r="B409" s="32">
        <f t="shared" si="132"/>
        <v>401</v>
      </c>
      <c r="C409" s="17">
        <v>9</v>
      </c>
      <c r="D409" s="17"/>
      <c r="E409" s="17"/>
      <c r="F409" s="17"/>
      <c r="G409" s="17" t="s">
        <v>274</v>
      </c>
      <c r="H409" s="23">
        <f>H410</f>
        <v>1500</v>
      </c>
      <c r="I409" s="23">
        <f t="shared" ref="I409" si="146">I410</f>
        <v>4177</v>
      </c>
      <c r="J409" s="23">
        <f t="shared" si="141"/>
        <v>5677</v>
      </c>
    </row>
    <row r="410" spans="2:10" x14ac:dyDescent="0.2">
      <c r="B410" s="32">
        <f t="shared" si="132"/>
        <v>402</v>
      </c>
      <c r="C410" s="10">
        <v>310</v>
      </c>
      <c r="D410" s="10"/>
      <c r="E410" s="10"/>
      <c r="F410" s="10"/>
      <c r="G410" s="10" t="s">
        <v>229</v>
      </c>
      <c r="H410" s="24">
        <f>H411</f>
        <v>1500</v>
      </c>
      <c r="I410" s="24">
        <f>I411</f>
        <v>4177</v>
      </c>
      <c r="J410" s="24">
        <f t="shared" si="141"/>
        <v>5677</v>
      </c>
    </row>
    <row r="411" spans="2:10" x14ac:dyDescent="0.2">
      <c r="B411" s="32">
        <f t="shared" si="132"/>
        <v>403</v>
      </c>
      <c r="C411" s="3"/>
      <c r="D411" s="3">
        <v>311</v>
      </c>
      <c r="E411" s="3"/>
      <c r="F411" s="3"/>
      <c r="G411" s="3" t="s">
        <v>227</v>
      </c>
      <c r="H411" s="25">
        <f>H412</f>
        <v>1500</v>
      </c>
      <c r="I411" s="25">
        <f t="shared" ref="I411" si="147">I412</f>
        <v>4177</v>
      </c>
      <c r="J411" s="25">
        <f t="shared" si="141"/>
        <v>5677</v>
      </c>
    </row>
    <row r="412" spans="2:10" ht="13.5" thickBot="1" x14ac:dyDescent="0.25">
      <c r="B412" s="32">
        <f t="shared" si="132"/>
        <v>404</v>
      </c>
      <c r="C412" s="4"/>
      <c r="D412" s="4"/>
      <c r="E412" s="4"/>
      <c r="F412" s="4"/>
      <c r="G412" s="4" t="s">
        <v>658</v>
      </c>
      <c r="H412" s="26">
        <v>1500</v>
      </c>
      <c r="I412" s="26">
        <f>1427+2750</f>
        <v>4177</v>
      </c>
      <c r="J412" s="26">
        <f t="shared" si="141"/>
        <v>5677</v>
      </c>
    </row>
    <row r="413" spans="2:10" ht="15.75" thickBot="1" x14ac:dyDescent="0.3">
      <c r="B413" s="32">
        <f t="shared" si="132"/>
        <v>405</v>
      </c>
      <c r="C413" s="17">
        <v>12</v>
      </c>
      <c r="D413" s="17"/>
      <c r="E413" s="17"/>
      <c r="F413" s="17"/>
      <c r="G413" s="17" t="s">
        <v>272</v>
      </c>
      <c r="H413" s="23">
        <f t="shared" ref="H413:I415" si="148">H414</f>
        <v>0</v>
      </c>
      <c r="I413" s="23">
        <f t="shared" si="148"/>
        <v>500</v>
      </c>
      <c r="J413" s="23">
        <f t="shared" si="141"/>
        <v>500</v>
      </c>
    </row>
    <row r="414" spans="2:10" x14ac:dyDescent="0.2">
      <c r="B414" s="32">
        <f t="shared" si="132"/>
        <v>406</v>
      </c>
      <c r="C414" s="10">
        <v>310</v>
      </c>
      <c r="D414" s="10"/>
      <c r="E414" s="10"/>
      <c r="F414" s="10"/>
      <c r="G414" s="10" t="s">
        <v>229</v>
      </c>
      <c r="H414" s="24">
        <f t="shared" si="148"/>
        <v>0</v>
      </c>
      <c r="I414" s="24">
        <f t="shared" si="148"/>
        <v>500</v>
      </c>
      <c r="J414" s="24">
        <f t="shared" si="141"/>
        <v>500</v>
      </c>
    </row>
    <row r="415" spans="2:10" x14ac:dyDescent="0.2">
      <c r="B415" s="32">
        <f t="shared" si="132"/>
        <v>407</v>
      </c>
      <c r="C415" s="3"/>
      <c r="D415" s="3">
        <v>312</v>
      </c>
      <c r="E415" s="3"/>
      <c r="F415" s="3"/>
      <c r="G415" s="3" t="s">
        <v>191</v>
      </c>
      <c r="H415" s="25">
        <f>H416</f>
        <v>0</v>
      </c>
      <c r="I415" s="25">
        <f t="shared" si="148"/>
        <v>500</v>
      </c>
      <c r="J415" s="25">
        <f t="shared" si="141"/>
        <v>500</v>
      </c>
    </row>
    <row r="416" spans="2:10" ht="13.5" thickBot="1" x14ac:dyDescent="0.25">
      <c r="B416" s="32">
        <f t="shared" si="132"/>
        <v>408</v>
      </c>
      <c r="C416" s="4"/>
      <c r="D416" s="4"/>
      <c r="E416" s="4">
        <v>312011</v>
      </c>
      <c r="F416" s="4"/>
      <c r="G416" s="4" t="s">
        <v>780</v>
      </c>
      <c r="H416" s="26">
        <v>0</v>
      </c>
      <c r="I416" s="26">
        <v>500</v>
      </c>
      <c r="J416" s="26">
        <f t="shared" si="141"/>
        <v>500</v>
      </c>
    </row>
    <row r="417" spans="2:10" ht="15.75" thickBot="1" x14ac:dyDescent="0.3">
      <c r="B417" s="32">
        <f t="shared" si="132"/>
        <v>409</v>
      </c>
      <c r="C417" s="17">
        <v>13</v>
      </c>
      <c r="D417" s="17"/>
      <c r="E417" s="17"/>
      <c r="F417" s="17"/>
      <c r="G417" s="17" t="s">
        <v>255</v>
      </c>
      <c r="H417" s="23">
        <f>H418</f>
        <v>838</v>
      </c>
      <c r="I417" s="23">
        <f t="shared" ref="I417" si="149">I418</f>
        <v>630</v>
      </c>
      <c r="J417" s="23">
        <f t="shared" si="141"/>
        <v>1468</v>
      </c>
    </row>
    <row r="418" spans="2:10" x14ac:dyDescent="0.2">
      <c r="B418" s="32">
        <f t="shared" si="132"/>
        <v>410</v>
      </c>
      <c r="C418" s="10">
        <v>310</v>
      </c>
      <c r="D418" s="10"/>
      <c r="E418" s="10"/>
      <c r="F418" s="10"/>
      <c r="G418" s="10" t="s">
        <v>229</v>
      </c>
      <c r="H418" s="24">
        <f>H419</f>
        <v>838</v>
      </c>
      <c r="I418" s="24">
        <f>I419</f>
        <v>630</v>
      </c>
      <c r="J418" s="24">
        <f t="shared" si="141"/>
        <v>1468</v>
      </c>
    </row>
    <row r="419" spans="2:10" x14ac:dyDescent="0.2">
      <c r="B419" s="32">
        <f t="shared" si="132"/>
        <v>411</v>
      </c>
      <c r="C419" s="3"/>
      <c r="D419" s="3">
        <v>311</v>
      </c>
      <c r="E419" s="3"/>
      <c r="F419" s="3"/>
      <c r="G419" s="3" t="s">
        <v>227</v>
      </c>
      <c r="H419" s="25">
        <f>H420</f>
        <v>838</v>
      </c>
      <c r="I419" s="25">
        <f t="shared" ref="I419" si="150">I420</f>
        <v>630</v>
      </c>
      <c r="J419" s="25">
        <f t="shared" si="141"/>
        <v>1468</v>
      </c>
    </row>
    <row r="420" spans="2:10" x14ac:dyDescent="0.2">
      <c r="B420" s="32">
        <f t="shared" si="132"/>
        <v>412</v>
      </c>
      <c r="C420" s="4"/>
      <c r="D420" s="4"/>
      <c r="E420" s="4"/>
      <c r="F420" s="4"/>
      <c r="G420" s="4" t="s">
        <v>658</v>
      </c>
      <c r="H420" s="26">
        <v>838</v>
      </c>
      <c r="I420" s="26">
        <f>32+598</f>
        <v>630</v>
      </c>
      <c r="J420" s="26">
        <f t="shared" si="141"/>
        <v>1468</v>
      </c>
    </row>
    <row r="421" spans="2:10" ht="15" x14ac:dyDescent="0.2">
      <c r="B421" s="32">
        <f t="shared" ref="B421" si="151">B420+1</f>
        <v>413</v>
      </c>
      <c r="C421" s="1"/>
      <c r="D421" s="1"/>
      <c r="E421" s="1"/>
      <c r="F421" s="1"/>
      <c r="G421" s="1" t="s">
        <v>119</v>
      </c>
      <c r="H421" s="28">
        <f>H362+H24+H8</f>
        <v>34783503</v>
      </c>
      <c r="I421" s="28">
        <f>I362+I24+I8</f>
        <v>198045</v>
      </c>
      <c r="J421" s="28">
        <f t="shared" si="141"/>
        <v>34981548</v>
      </c>
    </row>
    <row r="423" spans="2:10" ht="15" customHeight="1" x14ac:dyDescent="0.2">
      <c r="B423" s="223" t="s">
        <v>170</v>
      </c>
      <c r="C423" s="224"/>
      <c r="D423" s="224"/>
      <c r="E423" s="224"/>
      <c r="F423" s="224"/>
      <c r="G423" s="225"/>
      <c r="H423" s="241" t="s">
        <v>772</v>
      </c>
      <c r="I423" s="241" t="s">
        <v>773</v>
      </c>
      <c r="J423" s="241" t="s">
        <v>774</v>
      </c>
    </row>
    <row r="424" spans="2:10" ht="18" customHeight="1" x14ac:dyDescent="0.2">
      <c r="B424" s="226"/>
      <c r="C424" s="227"/>
      <c r="D424" s="227"/>
      <c r="E424" s="227"/>
      <c r="F424" s="227"/>
      <c r="G424" s="228"/>
      <c r="H424" s="242"/>
      <c r="I424" s="242"/>
      <c r="J424" s="242"/>
    </row>
    <row r="425" spans="2:10" ht="12.75" customHeight="1" x14ac:dyDescent="0.2">
      <c r="B425" s="229" t="s">
        <v>112</v>
      </c>
      <c r="C425" s="231" t="s">
        <v>114</v>
      </c>
      <c r="D425" s="233" t="s">
        <v>115</v>
      </c>
      <c r="E425" s="233" t="s">
        <v>117</v>
      </c>
      <c r="F425" s="233" t="s">
        <v>118</v>
      </c>
      <c r="G425" s="238" t="s">
        <v>116</v>
      </c>
      <c r="H425" s="242"/>
      <c r="I425" s="242"/>
      <c r="J425" s="242"/>
    </row>
    <row r="426" spans="2:10" ht="13.5" customHeight="1" thickBot="1" x14ac:dyDescent="0.25">
      <c r="B426" s="230"/>
      <c r="C426" s="232"/>
      <c r="D426" s="234"/>
      <c r="E426" s="234"/>
      <c r="F426" s="234"/>
      <c r="G426" s="239"/>
      <c r="H426" s="243"/>
      <c r="I426" s="243"/>
      <c r="J426" s="243"/>
    </row>
    <row r="427" spans="2:10" ht="17.25" thickTop="1" thickBot="1" x14ac:dyDescent="0.3">
      <c r="B427" s="32">
        <v>1</v>
      </c>
      <c r="C427" s="16">
        <v>200</v>
      </c>
      <c r="D427" s="16"/>
      <c r="E427" s="16"/>
      <c r="F427" s="16"/>
      <c r="G427" s="16" t="s">
        <v>169</v>
      </c>
      <c r="H427" s="22">
        <f>H428</f>
        <v>738837</v>
      </c>
      <c r="I427" s="22">
        <f>I428</f>
        <v>54955</v>
      </c>
      <c r="J427" s="22">
        <f>H427+I427</f>
        <v>793792</v>
      </c>
    </row>
    <row r="428" spans="2:10" ht="15.75" thickBot="1" x14ac:dyDescent="0.3">
      <c r="B428" s="32">
        <f>B427+1</f>
        <v>2</v>
      </c>
      <c r="C428" s="17"/>
      <c r="D428" s="17"/>
      <c r="E428" s="17"/>
      <c r="F428" s="17"/>
      <c r="G428" s="17" t="s">
        <v>282</v>
      </c>
      <c r="H428" s="23">
        <f>H429</f>
        <v>738837</v>
      </c>
      <c r="I428" s="23">
        <f>I429</f>
        <v>54955</v>
      </c>
      <c r="J428" s="23">
        <f t="shared" ref="J428:J444" si="152">H428+I428</f>
        <v>793792</v>
      </c>
    </row>
    <row r="429" spans="2:10" x14ac:dyDescent="0.2">
      <c r="B429" s="32">
        <f>B428+1</f>
        <v>3</v>
      </c>
      <c r="C429" s="10">
        <v>230</v>
      </c>
      <c r="D429" s="10"/>
      <c r="E429" s="10"/>
      <c r="F429" s="10"/>
      <c r="G429" s="10" t="s">
        <v>170</v>
      </c>
      <c r="H429" s="24">
        <f>H432+H430</f>
        <v>738837</v>
      </c>
      <c r="I429" s="24">
        <f>I432+I430</f>
        <v>54955</v>
      </c>
      <c r="J429" s="24">
        <f t="shared" si="152"/>
        <v>793792</v>
      </c>
    </row>
    <row r="430" spans="2:10" x14ac:dyDescent="0.2">
      <c r="B430" s="32">
        <f>B429+1</f>
        <v>4</v>
      </c>
      <c r="C430" s="3"/>
      <c r="D430" s="3">
        <v>231</v>
      </c>
      <c r="E430" s="3"/>
      <c r="F430" s="3"/>
      <c r="G430" s="3" t="s">
        <v>41</v>
      </c>
      <c r="H430" s="25">
        <f>H431</f>
        <v>10920</v>
      </c>
      <c r="I430" s="25">
        <f>I431</f>
        <v>0</v>
      </c>
      <c r="J430" s="25">
        <f t="shared" si="152"/>
        <v>10920</v>
      </c>
    </row>
    <row r="431" spans="2:10" x14ac:dyDescent="0.2">
      <c r="B431" s="32">
        <f t="shared" ref="B431:B444" si="153">B430+1</f>
        <v>5</v>
      </c>
      <c r="C431" s="4"/>
      <c r="D431" s="4"/>
      <c r="E431" s="4">
        <v>231</v>
      </c>
      <c r="F431" s="4"/>
      <c r="G431" s="4" t="s">
        <v>41</v>
      </c>
      <c r="H431" s="26">
        <v>10920</v>
      </c>
      <c r="I431" s="26"/>
      <c r="J431" s="26">
        <f t="shared" si="152"/>
        <v>10920</v>
      </c>
    </row>
    <row r="432" spans="2:10" x14ac:dyDescent="0.2">
      <c r="B432" s="32">
        <f t="shared" si="153"/>
        <v>6</v>
      </c>
      <c r="C432" s="3"/>
      <c r="D432" s="3">
        <v>233</v>
      </c>
      <c r="E432" s="3"/>
      <c r="F432" s="3"/>
      <c r="G432" s="3" t="s">
        <v>171</v>
      </c>
      <c r="H432" s="25">
        <f>H433</f>
        <v>727917</v>
      </c>
      <c r="I432" s="25">
        <f>I433</f>
        <v>54955</v>
      </c>
      <c r="J432" s="25">
        <f t="shared" si="152"/>
        <v>782872</v>
      </c>
    </row>
    <row r="433" spans="2:10" x14ac:dyDescent="0.2">
      <c r="B433" s="32">
        <f t="shared" si="153"/>
        <v>7</v>
      </c>
      <c r="C433" s="4"/>
      <c r="D433" s="4"/>
      <c r="E433" s="4">
        <v>233001</v>
      </c>
      <c r="F433" s="4"/>
      <c r="G433" s="4" t="s">
        <v>172</v>
      </c>
      <c r="H433" s="26">
        <f>300000+260000+90000+50735+27182</f>
        <v>727917</v>
      </c>
      <c r="I433" s="26">
        <f>38000+16955</f>
        <v>54955</v>
      </c>
      <c r="J433" s="26">
        <f t="shared" si="152"/>
        <v>782872</v>
      </c>
    </row>
    <row r="434" spans="2:10" ht="16.5" thickBot="1" x14ac:dyDescent="0.3">
      <c r="B434" s="32">
        <f t="shared" si="153"/>
        <v>8</v>
      </c>
      <c r="C434" s="16">
        <v>300</v>
      </c>
      <c r="D434" s="16"/>
      <c r="E434" s="16"/>
      <c r="F434" s="16"/>
      <c r="G434" s="16" t="s">
        <v>228</v>
      </c>
      <c r="H434" s="22">
        <f>H435</f>
        <v>367205</v>
      </c>
      <c r="I434" s="22">
        <f>I435</f>
        <v>0</v>
      </c>
      <c r="J434" s="22">
        <f t="shared" si="152"/>
        <v>367205</v>
      </c>
    </row>
    <row r="435" spans="2:10" ht="15.75" thickBot="1" x14ac:dyDescent="0.3">
      <c r="B435" s="32">
        <f t="shared" si="153"/>
        <v>9</v>
      </c>
      <c r="C435" s="17"/>
      <c r="D435" s="17"/>
      <c r="E435" s="17"/>
      <c r="F435" s="17"/>
      <c r="G435" s="17" t="s">
        <v>282</v>
      </c>
      <c r="H435" s="23">
        <f>H436</f>
        <v>367205</v>
      </c>
      <c r="I435" s="23">
        <f>I436</f>
        <v>0</v>
      </c>
      <c r="J435" s="23">
        <f t="shared" si="152"/>
        <v>367205</v>
      </c>
    </row>
    <row r="436" spans="2:10" x14ac:dyDescent="0.2">
      <c r="B436" s="32">
        <f t="shared" si="153"/>
        <v>10</v>
      </c>
      <c r="C436" s="10">
        <v>320</v>
      </c>
      <c r="D436" s="10"/>
      <c r="E436" s="10"/>
      <c r="F436" s="10"/>
      <c r="G436" s="10" t="s">
        <v>60</v>
      </c>
      <c r="H436" s="24">
        <f>H439+H437</f>
        <v>367205</v>
      </c>
      <c r="I436" s="24">
        <f>I439+I437</f>
        <v>0</v>
      </c>
      <c r="J436" s="24">
        <f t="shared" si="152"/>
        <v>367205</v>
      </c>
    </row>
    <row r="437" spans="2:10" x14ac:dyDescent="0.2">
      <c r="B437" s="32">
        <f t="shared" si="153"/>
        <v>11</v>
      </c>
      <c r="C437" s="3"/>
      <c r="D437" s="3">
        <v>321</v>
      </c>
      <c r="E437" s="3"/>
      <c r="F437" s="3"/>
      <c r="G437" s="3" t="s">
        <v>227</v>
      </c>
      <c r="H437" s="25">
        <f>H438</f>
        <v>10000</v>
      </c>
      <c r="I437" s="25">
        <f>I438</f>
        <v>0</v>
      </c>
      <c r="J437" s="25">
        <f t="shared" si="152"/>
        <v>10000</v>
      </c>
    </row>
    <row r="438" spans="2:10" x14ac:dyDescent="0.2">
      <c r="B438" s="32">
        <f t="shared" si="153"/>
        <v>12</v>
      </c>
      <c r="C438" s="4"/>
      <c r="D438" s="4"/>
      <c r="E438" s="4">
        <v>321</v>
      </c>
      <c r="F438" s="4"/>
      <c r="G438" s="4" t="s">
        <v>724</v>
      </c>
      <c r="H438" s="26">
        <v>10000</v>
      </c>
      <c r="I438" s="26"/>
      <c r="J438" s="26">
        <f t="shared" si="152"/>
        <v>10000</v>
      </c>
    </row>
    <row r="439" spans="2:10" x14ac:dyDescent="0.2">
      <c r="B439" s="32">
        <f t="shared" si="153"/>
        <v>13</v>
      </c>
      <c r="C439" s="3"/>
      <c r="D439" s="3">
        <v>322</v>
      </c>
      <c r="E439" s="3"/>
      <c r="F439" s="3"/>
      <c r="G439" s="3" t="s">
        <v>191</v>
      </c>
      <c r="H439" s="25">
        <f>H440</f>
        <v>357205</v>
      </c>
      <c r="I439" s="25">
        <f>I440</f>
        <v>0</v>
      </c>
      <c r="J439" s="25">
        <f t="shared" si="152"/>
        <v>357205</v>
      </c>
    </row>
    <row r="440" spans="2:10" x14ac:dyDescent="0.2">
      <c r="B440" s="32">
        <f t="shared" si="153"/>
        <v>14</v>
      </c>
      <c r="C440" s="4"/>
      <c r="D440" s="4"/>
      <c r="E440" s="4">
        <v>322001</v>
      </c>
      <c r="F440" s="4"/>
      <c r="G440" s="4" t="s">
        <v>61</v>
      </c>
      <c r="H440" s="26">
        <f>SUM(H441:H443)</f>
        <v>357205</v>
      </c>
      <c r="I440" s="26">
        <f>SUM(I441:I443)</f>
        <v>0</v>
      </c>
      <c r="J440" s="26">
        <f t="shared" si="152"/>
        <v>357205</v>
      </c>
    </row>
    <row r="441" spans="2:10" x14ac:dyDescent="0.2">
      <c r="B441" s="32">
        <f t="shared" si="153"/>
        <v>15</v>
      </c>
      <c r="C441" s="5"/>
      <c r="D441" s="5"/>
      <c r="E441" s="5"/>
      <c r="F441" s="5" t="s">
        <v>72</v>
      </c>
      <c r="G441" s="5" t="s">
        <v>647</v>
      </c>
      <c r="H441" s="27">
        <v>34000</v>
      </c>
      <c r="I441" s="27"/>
      <c r="J441" s="27">
        <f t="shared" si="152"/>
        <v>34000</v>
      </c>
    </row>
    <row r="442" spans="2:10" x14ac:dyDescent="0.2">
      <c r="B442" s="32">
        <f t="shared" si="153"/>
        <v>16</v>
      </c>
      <c r="C442" s="171"/>
      <c r="D442" s="171"/>
      <c r="E442" s="171"/>
      <c r="F442" s="171"/>
      <c r="G442" s="5" t="s">
        <v>670</v>
      </c>
      <c r="H442" s="27">
        <v>100000</v>
      </c>
      <c r="I442" s="27"/>
      <c r="J442" s="27">
        <f t="shared" si="152"/>
        <v>100000</v>
      </c>
    </row>
    <row r="443" spans="2:10" x14ac:dyDescent="0.2">
      <c r="B443" s="32">
        <f t="shared" si="153"/>
        <v>17</v>
      </c>
      <c r="C443" s="171"/>
      <c r="D443" s="171"/>
      <c r="E443" s="171"/>
      <c r="F443" s="171"/>
      <c r="G443" s="171" t="s">
        <v>725</v>
      </c>
      <c r="H443" s="186">
        <f>155600+67605</f>
        <v>223205</v>
      </c>
      <c r="I443" s="186"/>
      <c r="J443" s="186">
        <f t="shared" si="152"/>
        <v>223205</v>
      </c>
    </row>
    <row r="444" spans="2:10" ht="15" x14ac:dyDescent="0.2">
      <c r="B444" s="32">
        <f t="shared" si="153"/>
        <v>18</v>
      </c>
      <c r="C444" s="1"/>
      <c r="D444" s="1"/>
      <c r="E444" s="1"/>
      <c r="F444" s="1"/>
      <c r="G444" s="1" t="s">
        <v>286</v>
      </c>
      <c r="H444" s="28">
        <f>H434+H427</f>
        <v>1106042</v>
      </c>
      <c r="I444" s="28">
        <f>I434+I427</f>
        <v>54955</v>
      </c>
      <c r="J444" s="28">
        <f t="shared" si="152"/>
        <v>1160997</v>
      </c>
    </row>
    <row r="446" spans="2:10" ht="15" customHeight="1" x14ac:dyDescent="0.2">
      <c r="B446" s="223" t="s">
        <v>287</v>
      </c>
      <c r="C446" s="224"/>
      <c r="D446" s="224"/>
      <c r="E446" s="224"/>
      <c r="F446" s="224"/>
      <c r="G446" s="225"/>
      <c r="H446" s="241" t="s">
        <v>772</v>
      </c>
      <c r="I446" s="241" t="s">
        <v>773</v>
      </c>
      <c r="J446" s="241" t="s">
        <v>774</v>
      </c>
    </row>
    <row r="447" spans="2:10" ht="21" customHeight="1" x14ac:dyDescent="0.2">
      <c r="B447" s="226"/>
      <c r="C447" s="227"/>
      <c r="D447" s="227"/>
      <c r="E447" s="227"/>
      <c r="F447" s="227"/>
      <c r="G447" s="228"/>
      <c r="H447" s="242"/>
      <c r="I447" s="242"/>
      <c r="J447" s="242"/>
    </row>
    <row r="448" spans="2:10" ht="16.5" customHeight="1" x14ac:dyDescent="0.2">
      <c r="B448" s="229" t="s">
        <v>112</v>
      </c>
      <c r="C448" s="231" t="s">
        <v>114</v>
      </c>
      <c r="D448" s="233" t="s">
        <v>115</v>
      </c>
      <c r="E448" s="233" t="s">
        <v>117</v>
      </c>
      <c r="F448" s="233" t="s">
        <v>118</v>
      </c>
      <c r="G448" s="238" t="s">
        <v>116</v>
      </c>
      <c r="H448" s="242"/>
      <c r="I448" s="242"/>
      <c r="J448" s="242"/>
    </row>
    <row r="449" spans="2:10" ht="22.5" customHeight="1" thickBot="1" x14ac:dyDescent="0.25">
      <c r="B449" s="230"/>
      <c r="C449" s="232"/>
      <c r="D449" s="234"/>
      <c r="E449" s="234"/>
      <c r="F449" s="234"/>
      <c r="G449" s="239"/>
      <c r="H449" s="243"/>
      <c r="I449" s="243"/>
      <c r="J449" s="243"/>
    </row>
    <row r="450" spans="2:10" ht="15.75" thickTop="1" x14ac:dyDescent="0.2">
      <c r="B450" s="33">
        <v>1</v>
      </c>
      <c r="C450" s="1"/>
      <c r="D450" s="1"/>
      <c r="E450" s="1"/>
      <c r="F450" s="1"/>
      <c r="G450" s="1" t="s">
        <v>119</v>
      </c>
      <c r="H450" s="28">
        <f>H421</f>
        <v>34783503</v>
      </c>
      <c r="I450" s="28">
        <f>I421</f>
        <v>198045</v>
      </c>
      <c r="J450" s="28">
        <f>H450+I450</f>
        <v>34981548</v>
      </c>
    </row>
    <row r="451" spans="2:10" ht="15.75" thickBot="1" x14ac:dyDescent="0.25">
      <c r="B451" s="33">
        <v>2</v>
      </c>
      <c r="C451" s="1"/>
      <c r="D451" s="1"/>
      <c r="E451" s="1"/>
      <c r="F451" s="1"/>
      <c r="G451" s="1" t="s">
        <v>286</v>
      </c>
      <c r="H451" s="28">
        <f>H444</f>
        <v>1106042</v>
      </c>
      <c r="I451" s="28">
        <f>I444</f>
        <v>54955</v>
      </c>
      <c r="J451" s="28">
        <f t="shared" ref="J451:J452" si="154">H451+I451</f>
        <v>1160997</v>
      </c>
    </row>
    <row r="452" spans="2:10" ht="15.75" thickTop="1" x14ac:dyDescent="0.2">
      <c r="B452" s="34">
        <v>3</v>
      </c>
      <c r="C452" s="12"/>
      <c r="D452" s="12"/>
      <c r="E452" s="12"/>
      <c r="F452" s="12"/>
      <c r="G452" s="12" t="s">
        <v>287</v>
      </c>
      <c r="H452" s="29">
        <f>H421+H444</f>
        <v>35889545</v>
      </c>
      <c r="I452" s="29">
        <f>I421+I444</f>
        <v>253000</v>
      </c>
      <c r="J452" s="29">
        <f t="shared" si="154"/>
        <v>36142545</v>
      </c>
    </row>
  </sheetData>
  <mergeCells count="34">
    <mergeCell ref="J446:J449"/>
    <mergeCell ref="A49:A50"/>
    <mergeCell ref="B423:G424"/>
    <mergeCell ref="B425:B426"/>
    <mergeCell ref="C425:C426"/>
    <mergeCell ref="D425:D426"/>
    <mergeCell ref="B3:J3"/>
    <mergeCell ref="I4:I7"/>
    <mergeCell ref="J4:J7"/>
    <mergeCell ref="I423:I426"/>
    <mergeCell ref="H446:H449"/>
    <mergeCell ref="H4:H7"/>
    <mergeCell ref="H423:H426"/>
    <mergeCell ref="B4:G5"/>
    <mergeCell ref="F6:F7"/>
    <mergeCell ref="G6:G7"/>
    <mergeCell ref="B6:B7"/>
    <mergeCell ref="C6:C7"/>
    <mergeCell ref="D6:D7"/>
    <mergeCell ref="E6:E7"/>
    <mergeCell ref="J423:J426"/>
    <mergeCell ref="I446:I449"/>
    <mergeCell ref="A7:A15"/>
    <mergeCell ref="B446:G447"/>
    <mergeCell ref="B448:B449"/>
    <mergeCell ref="C448:C449"/>
    <mergeCell ref="D448:D449"/>
    <mergeCell ref="E448:E449"/>
    <mergeCell ref="F78:F88"/>
    <mergeCell ref="F448:F449"/>
    <mergeCell ref="G448:G449"/>
    <mergeCell ref="E425:E426"/>
    <mergeCell ref="F425:F426"/>
    <mergeCell ref="G425:G426"/>
  </mergeCells>
  <phoneticPr fontId="1" type="noConversion"/>
  <pageMargins left="0.55118110236220474" right="0.15748031496062992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T2338"/>
  <sheetViews>
    <sheetView zoomScale="90" zoomScaleNormal="90" workbookViewId="0"/>
  </sheetViews>
  <sheetFormatPr defaultRowHeight="12.75" x14ac:dyDescent="0.2"/>
  <cols>
    <col min="1" max="1" width="2.42578125" style="20" customWidth="1"/>
    <col min="2" max="2" width="4.85546875" style="77" customWidth="1"/>
    <col min="3" max="3" width="5" customWidth="1"/>
    <col min="4" max="4" width="2.7109375" customWidth="1"/>
    <col min="5" max="5" width="6.28515625" customWidth="1"/>
    <col min="6" max="6" width="7.140625" style="19" customWidth="1"/>
    <col min="7" max="7" width="4.42578125" customWidth="1"/>
    <col min="8" max="8" width="44" customWidth="1"/>
    <col min="9" max="11" width="14.42578125" style="21" customWidth="1"/>
    <col min="12" max="12" width="1.85546875" style="204" customWidth="1"/>
    <col min="13" max="15" width="13.28515625" style="21" customWidth="1"/>
    <col min="16" max="16" width="1.42578125" style="204" customWidth="1"/>
    <col min="17" max="17" width="14.28515625" style="21" customWidth="1"/>
    <col min="18" max="18" width="12.42578125" customWidth="1"/>
    <col min="19" max="19" width="13.42578125" customWidth="1"/>
  </cols>
  <sheetData>
    <row r="1" spans="2:19" ht="36" customHeight="1" x14ac:dyDescent="0.35">
      <c r="B1" s="248" t="s">
        <v>280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2:19" ht="12.75" customHeight="1" x14ac:dyDescent="0.2">
      <c r="B2" s="260" t="s">
        <v>281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  <c r="P2" s="208"/>
      <c r="Q2" s="250" t="s">
        <v>779</v>
      </c>
      <c r="R2" s="250" t="s">
        <v>773</v>
      </c>
      <c r="S2" s="250" t="s">
        <v>774</v>
      </c>
    </row>
    <row r="3" spans="2:19" ht="12.75" customHeight="1" x14ac:dyDescent="0.2">
      <c r="B3" s="253" t="s">
        <v>112</v>
      </c>
      <c r="C3" s="255" t="s">
        <v>120</v>
      </c>
      <c r="D3" s="255" t="s">
        <v>121</v>
      </c>
      <c r="E3" s="257" t="s">
        <v>125</v>
      </c>
      <c r="F3" s="255" t="s">
        <v>122</v>
      </c>
      <c r="G3" s="255" t="s">
        <v>123</v>
      </c>
      <c r="H3" s="263" t="s">
        <v>124</v>
      </c>
      <c r="I3" s="250" t="s">
        <v>777</v>
      </c>
      <c r="J3" s="251" t="s">
        <v>773</v>
      </c>
      <c r="K3" s="251" t="s">
        <v>775</v>
      </c>
      <c r="L3" s="197"/>
      <c r="M3" s="250" t="s">
        <v>778</v>
      </c>
      <c r="N3" s="251" t="s">
        <v>773</v>
      </c>
      <c r="O3" s="251" t="s">
        <v>776</v>
      </c>
      <c r="P3" s="198"/>
      <c r="Q3" s="251"/>
      <c r="R3" s="251"/>
      <c r="S3" s="251"/>
    </row>
    <row r="4" spans="2:19" x14ac:dyDescent="0.2">
      <c r="B4" s="253"/>
      <c r="C4" s="255"/>
      <c r="D4" s="255"/>
      <c r="E4" s="258"/>
      <c r="F4" s="255"/>
      <c r="G4" s="255"/>
      <c r="H4" s="263"/>
      <c r="I4" s="251"/>
      <c r="J4" s="251"/>
      <c r="K4" s="251"/>
      <c r="L4" s="198"/>
      <c r="M4" s="251"/>
      <c r="N4" s="251"/>
      <c r="O4" s="251"/>
      <c r="P4" s="198"/>
      <c r="Q4" s="251"/>
      <c r="R4" s="251"/>
      <c r="S4" s="251"/>
    </row>
    <row r="5" spans="2:19" x14ac:dyDescent="0.2">
      <c r="B5" s="253"/>
      <c r="C5" s="255"/>
      <c r="D5" s="255"/>
      <c r="E5" s="258"/>
      <c r="F5" s="255"/>
      <c r="G5" s="255"/>
      <c r="H5" s="263"/>
      <c r="I5" s="251"/>
      <c r="J5" s="251"/>
      <c r="K5" s="251"/>
      <c r="L5" s="198"/>
      <c r="M5" s="251"/>
      <c r="N5" s="251"/>
      <c r="O5" s="251"/>
      <c r="P5" s="198"/>
      <c r="Q5" s="251"/>
      <c r="R5" s="251"/>
      <c r="S5" s="251"/>
    </row>
    <row r="6" spans="2:19" ht="23.25" customHeight="1" thickBot="1" x14ac:dyDescent="0.25">
      <c r="B6" s="254"/>
      <c r="C6" s="256"/>
      <c r="D6" s="256"/>
      <c r="E6" s="259"/>
      <c r="F6" s="256"/>
      <c r="G6" s="256"/>
      <c r="H6" s="264"/>
      <c r="I6" s="252"/>
      <c r="J6" s="252"/>
      <c r="K6" s="252"/>
      <c r="L6" s="199"/>
      <c r="M6" s="252"/>
      <c r="N6" s="252"/>
      <c r="O6" s="252"/>
      <c r="P6" s="199"/>
      <c r="Q6" s="252"/>
      <c r="R6" s="252"/>
      <c r="S6" s="252"/>
    </row>
    <row r="7" spans="2:19" ht="16.5" thickTop="1" x14ac:dyDescent="0.2">
      <c r="B7" s="78">
        <v>1</v>
      </c>
      <c r="C7" s="265" t="s">
        <v>280</v>
      </c>
      <c r="D7" s="266"/>
      <c r="E7" s="266"/>
      <c r="F7" s="266"/>
      <c r="G7" s="266"/>
      <c r="H7" s="267"/>
      <c r="I7" s="110">
        <f>I76+I74+I68+I47+I32+I8</f>
        <v>499833</v>
      </c>
      <c r="J7" s="110">
        <f>J76+J74+J68+J47+J32+J8</f>
        <v>0</v>
      </c>
      <c r="K7" s="110">
        <f>I7+J7</f>
        <v>499833</v>
      </c>
      <c r="L7" s="200"/>
      <c r="M7" s="110">
        <f>M76+M74+M68+M47+M32+M8</f>
        <v>92470</v>
      </c>
      <c r="N7" s="110">
        <f>N76+N74+N68+N47+N32+N8</f>
        <v>0</v>
      </c>
      <c r="O7" s="110">
        <f>M7+N7</f>
        <v>92470</v>
      </c>
      <c r="P7" s="200"/>
      <c r="Q7" s="47">
        <f t="shared" ref="Q7:Q39" si="0">M7+I7</f>
        <v>592303</v>
      </c>
      <c r="R7" s="47">
        <f t="shared" ref="R7:R70" si="1">N7+J7</f>
        <v>0</v>
      </c>
      <c r="S7" s="47">
        <f t="shared" ref="S7:S70" si="2">O7+K7</f>
        <v>592303</v>
      </c>
    </row>
    <row r="8" spans="2:19" ht="15" x14ac:dyDescent="0.2">
      <c r="B8" s="79">
        <f t="shared" ref="B8:B49" si="3">B7+1</f>
        <v>2</v>
      </c>
      <c r="C8" s="11">
        <v>1</v>
      </c>
      <c r="D8" s="245" t="s">
        <v>202</v>
      </c>
      <c r="E8" s="246"/>
      <c r="F8" s="246"/>
      <c r="G8" s="246"/>
      <c r="H8" s="247"/>
      <c r="I8" s="48">
        <f>I27+I22+I19+I16+I9</f>
        <v>177300</v>
      </c>
      <c r="J8" s="48">
        <f>J27+J22+J19+J16+J9</f>
        <v>0</v>
      </c>
      <c r="K8" s="48">
        <f t="shared" ref="K8:K71" si="4">I8+J8</f>
        <v>177300</v>
      </c>
      <c r="L8" s="201"/>
      <c r="M8" s="48">
        <f>M27+M22+M19+M16+M9</f>
        <v>0</v>
      </c>
      <c r="N8" s="48">
        <f>N27+N22+N19+N16+N9</f>
        <v>0</v>
      </c>
      <c r="O8" s="48">
        <f t="shared" ref="O8:O71" si="5">M8+N8</f>
        <v>0</v>
      </c>
      <c r="P8" s="201"/>
      <c r="Q8" s="48">
        <f t="shared" si="0"/>
        <v>177300</v>
      </c>
      <c r="R8" s="48">
        <f t="shared" si="1"/>
        <v>0</v>
      </c>
      <c r="S8" s="48">
        <f t="shared" si="2"/>
        <v>177300</v>
      </c>
    </row>
    <row r="9" spans="2:19" ht="15" x14ac:dyDescent="0.25">
      <c r="B9" s="79">
        <f t="shared" si="3"/>
        <v>3</v>
      </c>
      <c r="C9" s="2"/>
      <c r="D9" s="2">
        <v>1</v>
      </c>
      <c r="E9" s="268" t="s">
        <v>217</v>
      </c>
      <c r="F9" s="246"/>
      <c r="G9" s="246"/>
      <c r="H9" s="247"/>
      <c r="I9" s="49">
        <f>I10</f>
        <v>15500</v>
      </c>
      <c r="J9" s="49">
        <f>J10</f>
        <v>0</v>
      </c>
      <c r="K9" s="49">
        <f t="shared" si="4"/>
        <v>15500</v>
      </c>
      <c r="L9" s="202"/>
      <c r="M9" s="49">
        <f>M10</f>
        <v>0</v>
      </c>
      <c r="N9" s="49">
        <f>N10</f>
        <v>0</v>
      </c>
      <c r="O9" s="49">
        <f t="shared" si="5"/>
        <v>0</v>
      </c>
      <c r="P9" s="202"/>
      <c r="Q9" s="49">
        <f t="shared" si="0"/>
        <v>15500</v>
      </c>
      <c r="R9" s="49">
        <f t="shared" si="1"/>
        <v>0</v>
      </c>
      <c r="S9" s="49">
        <f t="shared" si="2"/>
        <v>15500</v>
      </c>
    </row>
    <row r="10" spans="2:19" x14ac:dyDescent="0.2">
      <c r="B10" s="79">
        <f t="shared" si="3"/>
        <v>4</v>
      </c>
      <c r="C10" s="15"/>
      <c r="D10" s="15"/>
      <c r="E10" s="15"/>
      <c r="F10" s="55" t="s">
        <v>74</v>
      </c>
      <c r="G10" s="15">
        <v>630</v>
      </c>
      <c r="H10" s="15" t="s">
        <v>128</v>
      </c>
      <c r="I10" s="52">
        <f>I15+I14+I13+I12+I11</f>
        <v>15500</v>
      </c>
      <c r="J10" s="52">
        <f>J15+J14+J13+J12+J11</f>
        <v>0</v>
      </c>
      <c r="K10" s="52">
        <f t="shared" si="4"/>
        <v>15500</v>
      </c>
      <c r="L10" s="126"/>
      <c r="M10" s="52">
        <f>M15+M14+M13+M12+M11</f>
        <v>0</v>
      </c>
      <c r="N10" s="52">
        <f>N15+N14+N13+N12+N11</f>
        <v>0</v>
      </c>
      <c r="O10" s="52">
        <f t="shared" si="5"/>
        <v>0</v>
      </c>
      <c r="P10" s="126"/>
      <c r="Q10" s="52">
        <f t="shared" si="0"/>
        <v>15500</v>
      </c>
      <c r="R10" s="52">
        <f t="shared" si="1"/>
        <v>0</v>
      </c>
      <c r="S10" s="52">
        <f t="shared" si="2"/>
        <v>15500</v>
      </c>
    </row>
    <row r="11" spans="2:19" x14ac:dyDescent="0.2">
      <c r="B11" s="79">
        <f t="shared" si="3"/>
        <v>5</v>
      </c>
      <c r="C11" s="4"/>
      <c r="D11" s="4"/>
      <c r="E11" s="4"/>
      <c r="F11" s="56" t="s">
        <v>74</v>
      </c>
      <c r="G11" s="4">
        <v>631</v>
      </c>
      <c r="H11" s="4" t="s">
        <v>134</v>
      </c>
      <c r="I11" s="26">
        <v>2000</v>
      </c>
      <c r="J11" s="26"/>
      <c r="K11" s="26">
        <f t="shared" si="4"/>
        <v>2000</v>
      </c>
      <c r="L11" s="80"/>
      <c r="M11" s="26"/>
      <c r="N11" s="26"/>
      <c r="O11" s="26">
        <f t="shared" si="5"/>
        <v>0</v>
      </c>
      <c r="P11" s="80"/>
      <c r="Q11" s="26">
        <f t="shared" si="0"/>
        <v>2000</v>
      </c>
      <c r="R11" s="26">
        <f t="shared" si="1"/>
        <v>0</v>
      </c>
      <c r="S11" s="26">
        <f t="shared" si="2"/>
        <v>2000</v>
      </c>
    </row>
    <row r="12" spans="2:19" x14ac:dyDescent="0.2">
      <c r="B12" s="79">
        <f t="shared" si="3"/>
        <v>6</v>
      </c>
      <c r="C12" s="4"/>
      <c r="D12" s="4"/>
      <c r="E12" s="4"/>
      <c r="F12" s="56" t="s">
        <v>74</v>
      </c>
      <c r="G12" s="4">
        <v>633</v>
      </c>
      <c r="H12" s="4" t="s">
        <v>132</v>
      </c>
      <c r="I12" s="26">
        <v>8000</v>
      </c>
      <c r="J12" s="26"/>
      <c r="K12" s="26">
        <f t="shared" si="4"/>
        <v>8000</v>
      </c>
      <c r="L12" s="80"/>
      <c r="M12" s="26"/>
      <c r="N12" s="26"/>
      <c r="O12" s="26">
        <f t="shared" si="5"/>
        <v>0</v>
      </c>
      <c r="P12" s="80"/>
      <c r="Q12" s="26">
        <f t="shared" si="0"/>
        <v>8000</v>
      </c>
      <c r="R12" s="26">
        <f t="shared" si="1"/>
        <v>0</v>
      </c>
      <c r="S12" s="26">
        <f t="shared" si="2"/>
        <v>8000</v>
      </c>
    </row>
    <row r="13" spans="2:19" x14ac:dyDescent="0.2">
      <c r="B13" s="79">
        <f t="shared" si="3"/>
        <v>7</v>
      </c>
      <c r="C13" s="4"/>
      <c r="D13" s="4"/>
      <c r="E13" s="4"/>
      <c r="F13" s="56" t="s">
        <v>74</v>
      </c>
      <c r="G13" s="4">
        <v>634</v>
      </c>
      <c r="H13" s="4" t="s">
        <v>137</v>
      </c>
      <c r="I13" s="26">
        <v>500</v>
      </c>
      <c r="J13" s="26"/>
      <c r="K13" s="26">
        <f t="shared" si="4"/>
        <v>500</v>
      </c>
      <c r="L13" s="80"/>
      <c r="M13" s="26"/>
      <c r="N13" s="26"/>
      <c r="O13" s="26">
        <f t="shared" si="5"/>
        <v>0</v>
      </c>
      <c r="P13" s="80"/>
      <c r="Q13" s="26">
        <f t="shared" si="0"/>
        <v>500</v>
      </c>
      <c r="R13" s="26">
        <f t="shared" si="1"/>
        <v>0</v>
      </c>
      <c r="S13" s="26">
        <f t="shared" si="2"/>
        <v>500</v>
      </c>
    </row>
    <row r="14" spans="2:19" x14ac:dyDescent="0.2">
      <c r="B14" s="79">
        <f t="shared" si="3"/>
        <v>8</v>
      </c>
      <c r="C14" s="4"/>
      <c r="D14" s="4"/>
      <c r="E14" s="4"/>
      <c r="F14" s="56" t="s">
        <v>74</v>
      </c>
      <c r="G14" s="4">
        <v>636</v>
      </c>
      <c r="H14" s="4" t="s">
        <v>133</v>
      </c>
      <c r="I14" s="26">
        <v>500</v>
      </c>
      <c r="J14" s="26"/>
      <c r="K14" s="26">
        <f t="shared" si="4"/>
        <v>500</v>
      </c>
      <c r="L14" s="80"/>
      <c r="M14" s="26"/>
      <c r="N14" s="26"/>
      <c r="O14" s="26">
        <f t="shared" si="5"/>
        <v>0</v>
      </c>
      <c r="P14" s="80"/>
      <c r="Q14" s="26">
        <f t="shared" si="0"/>
        <v>500</v>
      </c>
      <c r="R14" s="26">
        <f t="shared" si="1"/>
        <v>0</v>
      </c>
      <c r="S14" s="26">
        <f t="shared" si="2"/>
        <v>500</v>
      </c>
    </row>
    <row r="15" spans="2:19" x14ac:dyDescent="0.2">
      <c r="B15" s="79">
        <f t="shared" si="3"/>
        <v>9</v>
      </c>
      <c r="C15" s="4"/>
      <c r="D15" s="4"/>
      <c r="E15" s="4"/>
      <c r="F15" s="56" t="s">
        <v>74</v>
      </c>
      <c r="G15" s="4">
        <v>637</v>
      </c>
      <c r="H15" s="4" t="s">
        <v>129</v>
      </c>
      <c r="I15" s="26">
        <v>4500</v>
      </c>
      <c r="J15" s="26"/>
      <c r="K15" s="26">
        <f t="shared" si="4"/>
        <v>4500</v>
      </c>
      <c r="L15" s="80"/>
      <c r="M15" s="26"/>
      <c r="N15" s="26"/>
      <c r="O15" s="26">
        <f t="shared" si="5"/>
        <v>0</v>
      </c>
      <c r="P15" s="80"/>
      <c r="Q15" s="26">
        <f t="shared" si="0"/>
        <v>4500</v>
      </c>
      <c r="R15" s="26">
        <f t="shared" si="1"/>
        <v>0</v>
      </c>
      <c r="S15" s="26">
        <f t="shared" si="2"/>
        <v>4500</v>
      </c>
    </row>
    <row r="16" spans="2:19" ht="14.25" customHeight="1" x14ac:dyDescent="0.25">
      <c r="B16" s="79">
        <f t="shared" si="3"/>
        <v>10</v>
      </c>
      <c r="C16" s="2"/>
      <c r="D16" s="2">
        <v>2</v>
      </c>
      <c r="E16" s="268" t="s">
        <v>16</v>
      </c>
      <c r="F16" s="246"/>
      <c r="G16" s="246"/>
      <c r="H16" s="247"/>
      <c r="I16" s="49">
        <f>I17</f>
        <v>500</v>
      </c>
      <c r="J16" s="49">
        <f>J17</f>
        <v>0</v>
      </c>
      <c r="K16" s="49">
        <f t="shared" si="4"/>
        <v>500</v>
      </c>
      <c r="L16" s="202"/>
      <c r="M16" s="49">
        <f>M17</f>
        <v>0</v>
      </c>
      <c r="N16" s="49">
        <f>N17</f>
        <v>0</v>
      </c>
      <c r="O16" s="49">
        <f t="shared" si="5"/>
        <v>0</v>
      </c>
      <c r="P16" s="202"/>
      <c r="Q16" s="49">
        <f t="shared" si="0"/>
        <v>500</v>
      </c>
      <c r="R16" s="49">
        <f t="shared" si="1"/>
        <v>0</v>
      </c>
      <c r="S16" s="49">
        <f t="shared" si="2"/>
        <v>500</v>
      </c>
    </row>
    <row r="17" spans="1:19" x14ac:dyDescent="0.2">
      <c r="B17" s="79">
        <f t="shared" si="3"/>
        <v>11</v>
      </c>
      <c r="C17" s="15"/>
      <c r="D17" s="15"/>
      <c r="E17" s="15"/>
      <c r="F17" s="55" t="s">
        <v>74</v>
      </c>
      <c r="G17" s="15">
        <v>630</v>
      </c>
      <c r="H17" s="15" t="s">
        <v>128</v>
      </c>
      <c r="I17" s="52">
        <f>I18</f>
        <v>500</v>
      </c>
      <c r="J17" s="52">
        <f>J18</f>
        <v>0</v>
      </c>
      <c r="K17" s="52">
        <f t="shared" si="4"/>
        <v>500</v>
      </c>
      <c r="L17" s="126"/>
      <c r="M17" s="52">
        <f>M18</f>
        <v>0</v>
      </c>
      <c r="N17" s="52">
        <f>N18</f>
        <v>0</v>
      </c>
      <c r="O17" s="52">
        <f t="shared" si="5"/>
        <v>0</v>
      </c>
      <c r="P17" s="126"/>
      <c r="Q17" s="52">
        <f t="shared" si="0"/>
        <v>500</v>
      </c>
      <c r="R17" s="52">
        <f t="shared" si="1"/>
        <v>0</v>
      </c>
      <c r="S17" s="52">
        <f t="shared" si="2"/>
        <v>500</v>
      </c>
    </row>
    <row r="18" spans="1:19" x14ac:dyDescent="0.2">
      <c r="B18" s="79">
        <f t="shared" si="3"/>
        <v>12</v>
      </c>
      <c r="C18" s="4"/>
      <c r="D18" s="4"/>
      <c r="E18" s="4"/>
      <c r="F18" s="56" t="s">
        <v>74</v>
      </c>
      <c r="G18" s="4">
        <v>633</v>
      </c>
      <c r="H18" s="4" t="s">
        <v>132</v>
      </c>
      <c r="I18" s="26">
        <v>500</v>
      </c>
      <c r="J18" s="26"/>
      <c r="K18" s="26">
        <f t="shared" si="4"/>
        <v>500</v>
      </c>
      <c r="L18" s="80"/>
      <c r="M18" s="26"/>
      <c r="N18" s="26"/>
      <c r="O18" s="26">
        <f t="shared" si="5"/>
        <v>0</v>
      </c>
      <c r="P18" s="80"/>
      <c r="Q18" s="26">
        <f t="shared" si="0"/>
        <v>500</v>
      </c>
      <c r="R18" s="26">
        <f t="shared" si="1"/>
        <v>0</v>
      </c>
      <c r="S18" s="26">
        <f t="shared" si="2"/>
        <v>500</v>
      </c>
    </row>
    <row r="19" spans="1:19" ht="15" x14ac:dyDescent="0.25">
      <c r="B19" s="79">
        <f t="shared" si="3"/>
        <v>13</v>
      </c>
      <c r="C19" s="2"/>
      <c r="D19" s="2">
        <v>3</v>
      </c>
      <c r="E19" s="268" t="s">
        <v>17</v>
      </c>
      <c r="F19" s="246"/>
      <c r="G19" s="246"/>
      <c r="H19" s="247"/>
      <c r="I19" s="49">
        <f>I20</f>
        <v>500</v>
      </c>
      <c r="J19" s="49">
        <f>J20</f>
        <v>0</v>
      </c>
      <c r="K19" s="49">
        <f t="shared" si="4"/>
        <v>500</v>
      </c>
      <c r="L19" s="202"/>
      <c r="M19" s="49">
        <f>M20</f>
        <v>0</v>
      </c>
      <c r="N19" s="49">
        <f>N20</f>
        <v>0</v>
      </c>
      <c r="O19" s="49">
        <f t="shared" si="5"/>
        <v>0</v>
      </c>
      <c r="P19" s="202"/>
      <c r="Q19" s="49">
        <f t="shared" si="0"/>
        <v>500</v>
      </c>
      <c r="R19" s="49">
        <f t="shared" si="1"/>
        <v>0</v>
      </c>
      <c r="S19" s="49">
        <f t="shared" si="2"/>
        <v>500</v>
      </c>
    </row>
    <row r="20" spans="1:19" x14ac:dyDescent="0.2">
      <c r="B20" s="79">
        <f t="shared" si="3"/>
        <v>14</v>
      </c>
      <c r="C20" s="15"/>
      <c r="D20" s="15"/>
      <c r="E20" s="15"/>
      <c r="F20" s="55" t="s">
        <v>74</v>
      </c>
      <c r="G20" s="15">
        <v>630</v>
      </c>
      <c r="H20" s="15" t="s">
        <v>128</v>
      </c>
      <c r="I20" s="52">
        <f>I21</f>
        <v>500</v>
      </c>
      <c r="J20" s="52">
        <f>J21</f>
        <v>0</v>
      </c>
      <c r="K20" s="52">
        <f t="shared" si="4"/>
        <v>500</v>
      </c>
      <c r="L20" s="126"/>
      <c r="M20" s="52">
        <f>M21</f>
        <v>0</v>
      </c>
      <c r="N20" s="52">
        <f>N21</f>
        <v>0</v>
      </c>
      <c r="O20" s="52">
        <f t="shared" si="5"/>
        <v>0</v>
      </c>
      <c r="P20" s="126"/>
      <c r="Q20" s="52">
        <f t="shared" si="0"/>
        <v>500</v>
      </c>
      <c r="R20" s="52">
        <f t="shared" si="1"/>
        <v>0</v>
      </c>
      <c r="S20" s="52">
        <f t="shared" si="2"/>
        <v>500</v>
      </c>
    </row>
    <row r="21" spans="1:19" x14ac:dyDescent="0.2">
      <c r="B21" s="79">
        <f t="shared" si="3"/>
        <v>15</v>
      </c>
      <c r="C21" s="4"/>
      <c r="D21" s="4"/>
      <c r="E21" s="4"/>
      <c r="F21" s="56" t="s">
        <v>74</v>
      </c>
      <c r="G21" s="4">
        <v>633</v>
      </c>
      <c r="H21" s="4" t="s">
        <v>132</v>
      </c>
      <c r="I21" s="26">
        <v>500</v>
      </c>
      <c r="J21" s="26"/>
      <c r="K21" s="26">
        <f t="shared" si="4"/>
        <v>500</v>
      </c>
      <c r="L21" s="80"/>
      <c r="M21" s="26"/>
      <c r="N21" s="26"/>
      <c r="O21" s="26">
        <f t="shared" si="5"/>
        <v>0</v>
      </c>
      <c r="P21" s="80"/>
      <c r="Q21" s="26">
        <f t="shared" si="0"/>
        <v>500</v>
      </c>
      <c r="R21" s="26">
        <f t="shared" si="1"/>
        <v>0</v>
      </c>
      <c r="S21" s="26">
        <f t="shared" si="2"/>
        <v>500</v>
      </c>
    </row>
    <row r="22" spans="1:19" ht="15" x14ac:dyDescent="0.25">
      <c r="B22" s="79">
        <f t="shared" si="3"/>
        <v>16</v>
      </c>
      <c r="C22" s="2"/>
      <c r="D22" s="2">
        <v>4</v>
      </c>
      <c r="E22" s="268" t="s">
        <v>28</v>
      </c>
      <c r="F22" s="246"/>
      <c r="G22" s="246"/>
      <c r="H22" s="247"/>
      <c r="I22" s="49">
        <f t="shared" ref="I22:N25" si="6">I23</f>
        <v>800</v>
      </c>
      <c r="J22" s="49">
        <f t="shared" si="6"/>
        <v>0</v>
      </c>
      <c r="K22" s="49">
        <f t="shared" si="4"/>
        <v>800</v>
      </c>
      <c r="L22" s="202"/>
      <c r="M22" s="49">
        <f t="shared" si="6"/>
        <v>0</v>
      </c>
      <c r="N22" s="49">
        <f t="shared" si="6"/>
        <v>0</v>
      </c>
      <c r="O22" s="49">
        <f t="shared" si="5"/>
        <v>0</v>
      </c>
      <c r="P22" s="202"/>
      <c r="Q22" s="49">
        <f t="shared" si="0"/>
        <v>800</v>
      </c>
      <c r="R22" s="49">
        <f t="shared" si="1"/>
        <v>0</v>
      </c>
      <c r="S22" s="49">
        <f t="shared" si="2"/>
        <v>800</v>
      </c>
    </row>
    <row r="23" spans="1:19" ht="15" hidden="1" x14ac:dyDescent="0.25">
      <c r="B23" s="79">
        <f t="shared" si="3"/>
        <v>17</v>
      </c>
      <c r="C23" s="18"/>
      <c r="D23" s="18"/>
      <c r="E23" s="18"/>
      <c r="F23" s="53"/>
      <c r="G23" s="18"/>
      <c r="H23" s="18" t="s">
        <v>282</v>
      </c>
      <c r="I23" s="50">
        <f t="shared" si="6"/>
        <v>800</v>
      </c>
      <c r="J23" s="50">
        <f t="shared" si="6"/>
        <v>0</v>
      </c>
      <c r="K23" s="50">
        <f t="shared" si="4"/>
        <v>800</v>
      </c>
      <c r="L23" s="203"/>
      <c r="M23" s="50">
        <f t="shared" si="6"/>
        <v>0</v>
      </c>
      <c r="N23" s="50">
        <f t="shared" si="6"/>
        <v>0</v>
      </c>
      <c r="O23" s="50">
        <f t="shared" si="5"/>
        <v>0</v>
      </c>
      <c r="P23" s="203"/>
      <c r="Q23" s="50">
        <f t="shared" si="0"/>
        <v>800</v>
      </c>
      <c r="R23" s="50">
        <f t="shared" si="1"/>
        <v>0</v>
      </c>
      <c r="S23" s="50">
        <f t="shared" si="2"/>
        <v>800</v>
      </c>
    </row>
    <row r="24" spans="1:19" hidden="1" x14ac:dyDescent="0.2">
      <c r="B24" s="79">
        <f t="shared" si="3"/>
        <v>18</v>
      </c>
      <c r="C24" s="14"/>
      <c r="D24" s="14"/>
      <c r="E24" s="14" t="s">
        <v>72</v>
      </c>
      <c r="F24" s="54"/>
      <c r="G24" s="14"/>
      <c r="H24" s="14"/>
      <c r="I24" s="51">
        <f t="shared" si="6"/>
        <v>800</v>
      </c>
      <c r="J24" s="51">
        <f t="shared" si="6"/>
        <v>0</v>
      </c>
      <c r="K24" s="51">
        <f t="shared" si="4"/>
        <v>800</v>
      </c>
      <c r="L24" s="126"/>
      <c r="M24" s="51">
        <f t="shared" si="6"/>
        <v>0</v>
      </c>
      <c r="N24" s="51">
        <f t="shared" si="6"/>
        <v>0</v>
      </c>
      <c r="O24" s="51">
        <f t="shared" si="5"/>
        <v>0</v>
      </c>
      <c r="P24" s="126"/>
      <c r="Q24" s="51">
        <f t="shared" si="0"/>
        <v>800</v>
      </c>
      <c r="R24" s="51">
        <f t="shared" si="1"/>
        <v>0</v>
      </c>
      <c r="S24" s="51">
        <f t="shared" si="2"/>
        <v>800</v>
      </c>
    </row>
    <row r="25" spans="1:19" x14ac:dyDescent="0.2">
      <c r="B25" s="79">
        <f t="shared" si="3"/>
        <v>19</v>
      </c>
      <c r="C25" s="15"/>
      <c r="D25" s="15"/>
      <c r="E25" s="15"/>
      <c r="F25" s="55" t="s">
        <v>74</v>
      </c>
      <c r="G25" s="15">
        <v>630</v>
      </c>
      <c r="H25" s="15" t="s">
        <v>128</v>
      </c>
      <c r="I25" s="52">
        <f t="shared" si="6"/>
        <v>800</v>
      </c>
      <c r="J25" s="52">
        <f t="shared" si="6"/>
        <v>0</v>
      </c>
      <c r="K25" s="52">
        <f t="shared" si="4"/>
        <v>800</v>
      </c>
      <c r="L25" s="126"/>
      <c r="M25" s="52">
        <f t="shared" si="6"/>
        <v>0</v>
      </c>
      <c r="N25" s="52">
        <f t="shared" si="6"/>
        <v>0</v>
      </c>
      <c r="O25" s="52">
        <f t="shared" si="5"/>
        <v>0</v>
      </c>
      <c r="P25" s="126"/>
      <c r="Q25" s="52">
        <f t="shared" si="0"/>
        <v>800</v>
      </c>
      <c r="R25" s="52">
        <f t="shared" si="1"/>
        <v>0</v>
      </c>
      <c r="S25" s="52">
        <f t="shared" si="2"/>
        <v>800</v>
      </c>
    </row>
    <row r="26" spans="1:19" x14ac:dyDescent="0.2">
      <c r="B26" s="79">
        <f t="shared" si="3"/>
        <v>20</v>
      </c>
      <c r="C26" s="4"/>
      <c r="D26" s="4"/>
      <c r="E26" s="4"/>
      <c r="F26" s="56" t="s">
        <v>74</v>
      </c>
      <c r="G26" s="4">
        <v>637</v>
      </c>
      <c r="H26" s="4" t="s">
        <v>129</v>
      </c>
      <c r="I26" s="26">
        <v>800</v>
      </c>
      <c r="J26" s="26"/>
      <c r="K26" s="26">
        <f t="shared" si="4"/>
        <v>800</v>
      </c>
      <c r="L26" s="80"/>
      <c r="M26" s="26"/>
      <c r="N26" s="26"/>
      <c r="O26" s="26">
        <f t="shared" si="5"/>
        <v>0</v>
      </c>
      <c r="P26" s="80"/>
      <c r="Q26" s="26">
        <f t="shared" si="0"/>
        <v>800</v>
      </c>
      <c r="R26" s="26">
        <f t="shared" si="1"/>
        <v>0</v>
      </c>
      <c r="S26" s="26">
        <f t="shared" si="2"/>
        <v>800</v>
      </c>
    </row>
    <row r="27" spans="1:19" ht="15" x14ac:dyDescent="0.25">
      <c r="B27" s="79">
        <f t="shared" si="3"/>
        <v>21</v>
      </c>
      <c r="C27" s="2"/>
      <c r="D27" s="2">
        <v>5</v>
      </c>
      <c r="E27" s="268" t="s">
        <v>201</v>
      </c>
      <c r="F27" s="246"/>
      <c r="G27" s="246"/>
      <c r="H27" s="247"/>
      <c r="I27" s="49">
        <f>I28+I29</f>
        <v>160000</v>
      </c>
      <c r="J27" s="49">
        <f>J28+J29</f>
        <v>0</v>
      </c>
      <c r="K27" s="49">
        <f t="shared" si="4"/>
        <v>160000</v>
      </c>
      <c r="L27" s="202"/>
      <c r="M27" s="49">
        <f>M28+M29</f>
        <v>0</v>
      </c>
      <c r="N27" s="49">
        <f>N28+N29</f>
        <v>0</v>
      </c>
      <c r="O27" s="49">
        <f t="shared" si="5"/>
        <v>0</v>
      </c>
      <c r="P27" s="202"/>
      <c r="Q27" s="49">
        <f t="shared" si="0"/>
        <v>160000</v>
      </c>
      <c r="R27" s="49">
        <f t="shared" si="1"/>
        <v>0</v>
      </c>
      <c r="S27" s="49">
        <f t="shared" si="2"/>
        <v>160000</v>
      </c>
    </row>
    <row r="28" spans="1:19" x14ac:dyDescent="0.2">
      <c r="A28" s="70"/>
      <c r="B28" s="79">
        <f t="shared" si="3"/>
        <v>22</v>
      </c>
      <c r="C28" s="15"/>
      <c r="D28" s="15"/>
      <c r="E28" s="15"/>
      <c r="F28" s="55" t="s">
        <v>74</v>
      </c>
      <c r="G28" s="15">
        <v>620</v>
      </c>
      <c r="H28" s="15" t="s">
        <v>131</v>
      </c>
      <c r="I28" s="52">
        <v>38450</v>
      </c>
      <c r="J28" s="52"/>
      <c r="K28" s="52">
        <f t="shared" si="4"/>
        <v>38450</v>
      </c>
      <c r="L28" s="126"/>
      <c r="M28" s="52"/>
      <c r="N28" s="52"/>
      <c r="O28" s="52">
        <f t="shared" si="5"/>
        <v>0</v>
      </c>
      <c r="P28" s="126"/>
      <c r="Q28" s="52">
        <f t="shared" si="0"/>
        <v>38450</v>
      </c>
      <c r="R28" s="52">
        <f t="shared" si="1"/>
        <v>0</v>
      </c>
      <c r="S28" s="52">
        <f t="shared" si="2"/>
        <v>38450</v>
      </c>
    </row>
    <row r="29" spans="1:19" x14ac:dyDescent="0.2">
      <c r="A29" s="70"/>
      <c r="B29" s="79">
        <f t="shared" si="3"/>
        <v>23</v>
      </c>
      <c r="C29" s="15"/>
      <c r="D29" s="15"/>
      <c r="E29" s="15"/>
      <c r="F29" s="55" t="s">
        <v>74</v>
      </c>
      <c r="G29" s="15">
        <v>630</v>
      </c>
      <c r="H29" s="15" t="s">
        <v>128</v>
      </c>
      <c r="I29" s="52">
        <f>I31+I30</f>
        <v>121550</v>
      </c>
      <c r="J29" s="52">
        <f>J31+J30</f>
        <v>0</v>
      </c>
      <c r="K29" s="52">
        <f t="shared" si="4"/>
        <v>121550</v>
      </c>
      <c r="L29" s="126"/>
      <c r="M29" s="52">
        <f>M31+M30</f>
        <v>0</v>
      </c>
      <c r="N29" s="52">
        <f>N31+N30</f>
        <v>0</v>
      </c>
      <c r="O29" s="52">
        <f t="shared" si="5"/>
        <v>0</v>
      </c>
      <c r="P29" s="126"/>
      <c r="Q29" s="52">
        <f t="shared" si="0"/>
        <v>121550</v>
      </c>
      <c r="R29" s="52">
        <f t="shared" si="1"/>
        <v>0</v>
      </c>
      <c r="S29" s="52">
        <f t="shared" si="2"/>
        <v>121550</v>
      </c>
    </row>
    <row r="30" spans="1:19" x14ac:dyDescent="0.2">
      <c r="A30" s="70"/>
      <c r="B30" s="79">
        <f t="shared" si="3"/>
        <v>24</v>
      </c>
      <c r="C30" s="4"/>
      <c r="D30" s="4"/>
      <c r="E30" s="4"/>
      <c r="F30" s="56" t="s">
        <v>74</v>
      </c>
      <c r="G30" s="4">
        <v>632</v>
      </c>
      <c r="H30" s="4" t="s">
        <v>139</v>
      </c>
      <c r="I30" s="62">
        <v>11550</v>
      </c>
      <c r="J30" s="62"/>
      <c r="K30" s="62">
        <f t="shared" si="4"/>
        <v>11550</v>
      </c>
      <c r="L30" s="80"/>
      <c r="M30" s="26"/>
      <c r="N30" s="26"/>
      <c r="O30" s="26">
        <f t="shared" si="5"/>
        <v>0</v>
      </c>
      <c r="P30" s="80"/>
      <c r="Q30" s="26">
        <f t="shared" si="0"/>
        <v>11550</v>
      </c>
      <c r="R30" s="26">
        <f t="shared" si="1"/>
        <v>0</v>
      </c>
      <c r="S30" s="26">
        <f t="shared" si="2"/>
        <v>11550</v>
      </c>
    </row>
    <row r="31" spans="1:19" x14ac:dyDescent="0.2">
      <c r="A31" s="70"/>
      <c r="B31" s="79">
        <f t="shared" si="3"/>
        <v>25</v>
      </c>
      <c r="C31" s="4"/>
      <c r="D31" s="4"/>
      <c r="E31" s="4"/>
      <c r="F31" s="56" t="s">
        <v>74</v>
      </c>
      <c r="G31" s="4">
        <v>637</v>
      </c>
      <c r="H31" s="4" t="s">
        <v>129</v>
      </c>
      <c r="I31" s="26">
        <v>110000</v>
      </c>
      <c r="J31" s="26"/>
      <c r="K31" s="26">
        <f t="shared" si="4"/>
        <v>110000</v>
      </c>
      <c r="L31" s="80"/>
      <c r="M31" s="26"/>
      <c r="N31" s="26"/>
      <c r="O31" s="26">
        <f t="shared" si="5"/>
        <v>0</v>
      </c>
      <c r="P31" s="80"/>
      <c r="Q31" s="26">
        <f t="shared" si="0"/>
        <v>110000</v>
      </c>
      <c r="R31" s="26">
        <f t="shared" si="1"/>
        <v>0</v>
      </c>
      <c r="S31" s="26">
        <f t="shared" si="2"/>
        <v>110000</v>
      </c>
    </row>
    <row r="32" spans="1:19" ht="15" x14ac:dyDescent="0.2">
      <c r="A32" s="70"/>
      <c r="B32" s="79">
        <f t="shared" si="3"/>
        <v>26</v>
      </c>
      <c r="C32" s="11">
        <v>2</v>
      </c>
      <c r="D32" s="245" t="s">
        <v>216</v>
      </c>
      <c r="E32" s="246"/>
      <c r="F32" s="246"/>
      <c r="G32" s="246"/>
      <c r="H32" s="247"/>
      <c r="I32" s="48">
        <f>I33+I34</f>
        <v>150200</v>
      </c>
      <c r="J32" s="48">
        <f>J33+J34</f>
        <v>0</v>
      </c>
      <c r="K32" s="48">
        <f t="shared" si="4"/>
        <v>150200</v>
      </c>
      <c r="L32" s="201"/>
      <c r="M32" s="48">
        <f>M41</f>
        <v>35000</v>
      </c>
      <c r="N32" s="48">
        <f>N41</f>
        <v>0</v>
      </c>
      <c r="O32" s="48">
        <f t="shared" si="5"/>
        <v>35000</v>
      </c>
      <c r="P32" s="201"/>
      <c r="Q32" s="48">
        <f t="shared" si="0"/>
        <v>185200</v>
      </c>
      <c r="R32" s="48">
        <f t="shared" si="1"/>
        <v>0</v>
      </c>
      <c r="S32" s="48">
        <f t="shared" si="2"/>
        <v>185200</v>
      </c>
    </row>
    <row r="33" spans="1:19" x14ac:dyDescent="0.2">
      <c r="A33" s="70"/>
      <c r="B33" s="79">
        <f t="shared" si="3"/>
        <v>27</v>
      </c>
      <c r="C33" s="15"/>
      <c r="D33" s="15"/>
      <c r="E33" s="15"/>
      <c r="F33" s="55" t="s">
        <v>215</v>
      </c>
      <c r="G33" s="15">
        <v>620</v>
      </c>
      <c r="H33" s="15" t="s">
        <v>131</v>
      </c>
      <c r="I33" s="52">
        <f>9000+1200</f>
        <v>10200</v>
      </c>
      <c r="J33" s="52"/>
      <c r="K33" s="52">
        <f t="shared" si="4"/>
        <v>10200</v>
      </c>
      <c r="L33" s="126"/>
      <c r="M33" s="52"/>
      <c r="N33" s="52"/>
      <c r="O33" s="52">
        <f t="shared" si="5"/>
        <v>0</v>
      </c>
      <c r="P33" s="126"/>
      <c r="Q33" s="52">
        <f t="shared" si="0"/>
        <v>10200</v>
      </c>
      <c r="R33" s="52">
        <f t="shared" si="1"/>
        <v>0</v>
      </c>
      <c r="S33" s="52">
        <f t="shared" si="2"/>
        <v>10200</v>
      </c>
    </row>
    <row r="34" spans="1:19" x14ac:dyDescent="0.2">
      <c r="A34" s="70"/>
      <c r="B34" s="79">
        <f t="shared" si="3"/>
        <v>28</v>
      </c>
      <c r="C34" s="15"/>
      <c r="D34" s="15"/>
      <c r="E34" s="15"/>
      <c r="F34" s="55" t="s">
        <v>215</v>
      </c>
      <c r="G34" s="15">
        <v>630</v>
      </c>
      <c r="H34" s="15" t="s">
        <v>128</v>
      </c>
      <c r="I34" s="52">
        <f>I37+I36+I35</f>
        <v>140000</v>
      </c>
      <c r="J34" s="52">
        <f>J37+J36+J35</f>
        <v>0</v>
      </c>
      <c r="K34" s="52">
        <f t="shared" si="4"/>
        <v>140000</v>
      </c>
      <c r="L34" s="126"/>
      <c r="M34" s="52">
        <f>M37+M36</f>
        <v>0</v>
      </c>
      <c r="N34" s="52">
        <f>N37+N36</f>
        <v>0</v>
      </c>
      <c r="O34" s="52">
        <f t="shared" si="5"/>
        <v>0</v>
      </c>
      <c r="P34" s="126"/>
      <c r="Q34" s="52">
        <f t="shared" si="0"/>
        <v>140000</v>
      </c>
      <c r="R34" s="52">
        <f t="shared" si="1"/>
        <v>0</v>
      </c>
      <c r="S34" s="52">
        <f t="shared" si="2"/>
        <v>140000</v>
      </c>
    </row>
    <row r="35" spans="1:19" x14ac:dyDescent="0.2">
      <c r="A35" s="123"/>
      <c r="B35" s="79">
        <f t="shared" si="3"/>
        <v>29</v>
      </c>
      <c r="C35" s="15"/>
      <c r="D35" s="15"/>
      <c r="E35" s="15"/>
      <c r="F35" s="56" t="s">
        <v>215</v>
      </c>
      <c r="G35" s="4">
        <v>633</v>
      </c>
      <c r="H35" s="4" t="s">
        <v>132</v>
      </c>
      <c r="I35" s="26">
        <v>2800</v>
      </c>
      <c r="J35" s="26"/>
      <c r="K35" s="26">
        <f t="shared" si="4"/>
        <v>2800</v>
      </c>
      <c r="L35" s="80"/>
      <c r="M35" s="26"/>
      <c r="N35" s="26"/>
      <c r="O35" s="26">
        <f t="shared" si="5"/>
        <v>0</v>
      </c>
      <c r="P35" s="80"/>
      <c r="Q35" s="26">
        <f t="shared" ref="Q35" si="7">M35+I35</f>
        <v>2800</v>
      </c>
      <c r="R35" s="26">
        <f t="shared" si="1"/>
        <v>0</v>
      </c>
      <c r="S35" s="26">
        <f t="shared" si="2"/>
        <v>2800</v>
      </c>
    </row>
    <row r="36" spans="1:19" x14ac:dyDescent="0.2">
      <c r="B36" s="79">
        <f t="shared" si="3"/>
        <v>30</v>
      </c>
      <c r="C36" s="4"/>
      <c r="D36" s="4"/>
      <c r="E36" s="4"/>
      <c r="F36" s="56" t="s">
        <v>215</v>
      </c>
      <c r="G36" s="4">
        <v>635</v>
      </c>
      <c r="H36" s="4" t="s">
        <v>138</v>
      </c>
      <c r="I36" s="26">
        <f>4000-2150</f>
        <v>1850</v>
      </c>
      <c r="J36" s="26"/>
      <c r="K36" s="26">
        <f t="shared" si="4"/>
        <v>1850</v>
      </c>
      <c r="L36" s="80"/>
      <c r="M36" s="26"/>
      <c r="N36" s="26"/>
      <c r="O36" s="26">
        <f t="shared" si="5"/>
        <v>0</v>
      </c>
      <c r="P36" s="80"/>
      <c r="Q36" s="26">
        <f t="shared" si="0"/>
        <v>1850</v>
      </c>
      <c r="R36" s="26">
        <f t="shared" si="1"/>
        <v>0</v>
      </c>
      <c r="S36" s="26">
        <f t="shared" si="2"/>
        <v>1850</v>
      </c>
    </row>
    <row r="37" spans="1:19" x14ac:dyDescent="0.2">
      <c r="B37" s="79">
        <f t="shared" si="3"/>
        <v>31</v>
      </c>
      <c r="C37" s="4"/>
      <c r="D37" s="4"/>
      <c r="E37" s="4"/>
      <c r="F37" s="56" t="s">
        <v>215</v>
      </c>
      <c r="G37" s="4">
        <v>637</v>
      </c>
      <c r="H37" s="4" t="s">
        <v>129</v>
      </c>
      <c r="I37" s="26">
        <f>I38+I39+I40</f>
        <v>135350</v>
      </c>
      <c r="J37" s="26">
        <f>J38+J39+J40</f>
        <v>0</v>
      </c>
      <c r="K37" s="26">
        <f t="shared" si="4"/>
        <v>135350</v>
      </c>
      <c r="L37" s="80"/>
      <c r="M37" s="26"/>
      <c r="N37" s="26"/>
      <c r="O37" s="26">
        <f t="shared" si="5"/>
        <v>0</v>
      </c>
      <c r="P37" s="80"/>
      <c r="Q37" s="26">
        <f t="shared" si="0"/>
        <v>135350</v>
      </c>
      <c r="R37" s="26">
        <f t="shared" si="1"/>
        <v>0</v>
      </c>
      <c r="S37" s="26">
        <f t="shared" si="2"/>
        <v>135350</v>
      </c>
    </row>
    <row r="38" spans="1:19" x14ac:dyDescent="0.2">
      <c r="B38" s="79">
        <f t="shared" si="3"/>
        <v>32</v>
      </c>
      <c r="C38" s="4"/>
      <c r="D38" s="4"/>
      <c r="E38" s="4"/>
      <c r="F38" s="56"/>
      <c r="G38" s="4"/>
      <c r="H38" s="4" t="s">
        <v>358</v>
      </c>
      <c r="I38" s="26">
        <f>25000+25000+6000-650</f>
        <v>55350</v>
      </c>
      <c r="J38" s="26"/>
      <c r="K38" s="26">
        <f t="shared" si="4"/>
        <v>55350</v>
      </c>
      <c r="L38" s="80"/>
      <c r="M38" s="26"/>
      <c r="N38" s="26"/>
      <c r="O38" s="26">
        <f t="shared" si="5"/>
        <v>0</v>
      </c>
      <c r="P38" s="80"/>
      <c r="Q38" s="26">
        <f t="shared" si="0"/>
        <v>55350</v>
      </c>
      <c r="R38" s="26">
        <f t="shared" si="1"/>
        <v>0</v>
      </c>
      <c r="S38" s="26">
        <f t="shared" si="2"/>
        <v>55350</v>
      </c>
    </row>
    <row r="39" spans="1:19" s="75" customFormat="1" ht="24" x14ac:dyDescent="0.2">
      <c r="A39" s="71"/>
      <c r="B39" s="79">
        <f t="shared" si="3"/>
        <v>33</v>
      </c>
      <c r="C39" s="82"/>
      <c r="D39" s="82"/>
      <c r="E39" s="82"/>
      <c r="F39" s="83"/>
      <c r="G39" s="82"/>
      <c r="H39" s="84" t="s">
        <v>359</v>
      </c>
      <c r="I39" s="66">
        <v>50000</v>
      </c>
      <c r="J39" s="66"/>
      <c r="K39" s="66">
        <f t="shared" si="4"/>
        <v>50000</v>
      </c>
      <c r="L39" s="166"/>
      <c r="M39" s="66"/>
      <c r="N39" s="66"/>
      <c r="O39" s="66">
        <f t="shared" si="5"/>
        <v>0</v>
      </c>
      <c r="P39" s="166"/>
      <c r="Q39" s="66">
        <f t="shared" si="0"/>
        <v>50000</v>
      </c>
      <c r="R39" s="66">
        <f t="shared" si="1"/>
        <v>0</v>
      </c>
      <c r="S39" s="66">
        <f t="shared" si="2"/>
        <v>50000</v>
      </c>
    </row>
    <row r="40" spans="1:19" x14ac:dyDescent="0.2">
      <c r="B40" s="79">
        <f t="shared" si="3"/>
        <v>34</v>
      </c>
      <c r="C40" s="4"/>
      <c r="D40" s="4"/>
      <c r="E40" s="4"/>
      <c r="F40" s="56"/>
      <c r="G40" s="4"/>
      <c r="H40" s="4" t="s">
        <v>360</v>
      </c>
      <c r="I40" s="26">
        <v>30000</v>
      </c>
      <c r="J40" s="26"/>
      <c r="K40" s="26">
        <f t="shared" si="4"/>
        <v>30000</v>
      </c>
      <c r="L40" s="80"/>
      <c r="M40" s="26"/>
      <c r="N40" s="26"/>
      <c r="O40" s="26">
        <f t="shared" si="5"/>
        <v>0</v>
      </c>
      <c r="P40" s="80"/>
      <c r="Q40" s="26">
        <f t="shared" ref="Q40:Q72" si="8">M40+I40</f>
        <v>30000</v>
      </c>
      <c r="R40" s="26">
        <f t="shared" si="1"/>
        <v>0</v>
      </c>
      <c r="S40" s="26">
        <f t="shared" si="2"/>
        <v>30000</v>
      </c>
    </row>
    <row r="41" spans="1:19" x14ac:dyDescent="0.2">
      <c r="B41" s="79">
        <f t="shared" si="3"/>
        <v>35</v>
      </c>
      <c r="C41" s="15"/>
      <c r="D41" s="15"/>
      <c r="E41" s="15"/>
      <c r="F41" s="55" t="s">
        <v>215</v>
      </c>
      <c r="G41" s="15">
        <v>710</v>
      </c>
      <c r="H41" s="15" t="s">
        <v>184</v>
      </c>
      <c r="I41" s="52">
        <f>I44+I42</f>
        <v>0</v>
      </c>
      <c r="J41" s="52">
        <f>J44+J42</f>
        <v>0</v>
      </c>
      <c r="K41" s="52">
        <f t="shared" si="4"/>
        <v>0</v>
      </c>
      <c r="L41" s="126"/>
      <c r="M41" s="52">
        <f>M44+M42</f>
        <v>35000</v>
      </c>
      <c r="N41" s="52">
        <f>N44+N42</f>
        <v>0</v>
      </c>
      <c r="O41" s="52">
        <f t="shared" si="5"/>
        <v>35000</v>
      </c>
      <c r="P41" s="126"/>
      <c r="Q41" s="52">
        <f t="shared" si="8"/>
        <v>35000</v>
      </c>
      <c r="R41" s="52">
        <f t="shared" si="1"/>
        <v>0</v>
      </c>
      <c r="S41" s="52">
        <f t="shared" si="2"/>
        <v>35000</v>
      </c>
    </row>
    <row r="42" spans="1:19" x14ac:dyDescent="0.2">
      <c r="B42" s="79">
        <f t="shared" si="3"/>
        <v>36</v>
      </c>
      <c r="C42" s="4"/>
      <c r="D42" s="4"/>
      <c r="E42" s="4"/>
      <c r="F42" s="89" t="s">
        <v>215</v>
      </c>
      <c r="G42" s="90">
        <v>711</v>
      </c>
      <c r="H42" s="90" t="s">
        <v>223</v>
      </c>
      <c r="I42" s="91"/>
      <c r="J42" s="91"/>
      <c r="K42" s="91">
        <f t="shared" si="4"/>
        <v>0</v>
      </c>
      <c r="L42" s="80"/>
      <c r="M42" s="91">
        <f>M43</f>
        <v>15000</v>
      </c>
      <c r="N42" s="91">
        <f>N43</f>
        <v>0</v>
      </c>
      <c r="O42" s="91">
        <f t="shared" si="5"/>
        <v>15000</v>
      </c>
      <c r="P42" s="80"/>
      <c r="Q42" s="91">
        <f t="shared" si="8"/>
        <v>15000</v>
      </c>
      <c r="R42" s="91">
        <f t="shared" si="1"/>
        <v>0</v>
      </c>
      <c r="S42" s="91">
        <f t="shared" si="2"/>
        <v>15000</v>
      </c>
    </row>
    <row r="43" spans="1:19" s="75" customFormat="1" ht="24" x14ac:dyDescent="0.2">
      <c r="A43" s="71"/>
      <c r="B43" s="79">
        <f t="shared" si="3"/>
        <v>37</v>
      </c>
      <c r="C43" s="82"/>
      <c r="D43" s="82"/>
      <c r="E43" s="82"/>
      <c r="F43" s="83"/>
      <c r="G43" s="82"/>
      <c r="H43" s="84" t="s">
        <v>361</v>
      </c>
      <c r="I43" s="66"/>
      <c r="J43" s="66"/>
      <c r="K43" s="66">
        <f t="shared" si="4"/>
        <v>0</v>
      </c>
      <c r="L43" s="166"/>
      <c r="M43" s="66">
        <f>25000-10000</f>
        <v>15000</v>
      </c>
      <c r="N43" s="66"/>
      <c r="O43" s="66">
        <f t="shared" si="5"/>
        <v>15000</v>
      </c>
      <c r="P43" s="166"/>
      <c r="Q43" s="66">
        <f t="shared" si="8"/>
        <v>15000</v>
      </c>
      <c r="R43" s="66">
        <f t="shared" si="1"/>
        <v>0</v>
      </c>
      <c r="S43" s="66">
        <f t="shared" si="2"/>
        <v>15000</v>
      </c>
    </row>
    <row r="44" spans="1:19" x14ac:dyDescent="0.2">
      <c r="B44" s="79">
        <f t="shared" si="3"/>
        <v>38</v>
      </c>
      <c r="C44" s="4"/>
      <c r="D44" s="4"/>
      <c r="E44" s="4"/>
      <c r="F44" s="89" t="s">
        <v>215</v>
      </c>
      <c r="G44" s="90">
        <v>716</v>
      </c>
      <c r="H44" s="90" t="s">
        <v>0</v>
      </c>
      <c r="I44" s="91"/>
      <c r="J44" s="91"/>
      <c r="K44" s="91">
        <f t="shared" si="4"/>
        <v>0</v>
      </c>
      <c r="L44" s="80"/>
      <c r="M44" s="91">
        <f>SUM(M45:M46)</f>
        <v>20000</v>
      </c>
      <c r="N44" s="91">
        <f>SUM(N45:N46)</f>
        <v>0</v>
      </c>
      <c r="O44" s="91">
        <f t="shared" si="5"/>
        <v>20000</v>
      </c>
      <c r="P44" s="80"/>
      <c r="Q44" s="91">
        <f t="shared" si="8"/>
        <v>20000</v>
      </c>
      <c r="R44" s="91">
        <f t="shared" si="1"/>
        <v>0</v>
      </c>
      <c r="S44" s="91">
        <f t="shared" si="2"/>
        <v>20000</v>
      </c>
    </row>
    <row r="45" spans="1:19" x14ac:dyDescent="0.2">
      <c r="B45" s="79">
        <f t="shared" si="3"/>
        <v>39</v>
      </c>
      <c r="C45" s="4"/>
      <c r="D45" s="58"/>
      <c r="E45" s="4"/>
      <c r="F45" s="56"/>
      <c r="G45" s="4"/>
      <c r="H45" s="38" t="s">
        <v>332</v>
      </c>
      <c r="I45" s="26"/>
      <c r="J45" s="26"/>
      <c r="K45" s="26">
        <f t="shared" si="4"/>
        <v>0</v>
      </c>
      <c r="L45" s="80"/>
      <c r="M45" s="26">
        <v>10000</v>
      </c>
      <c r="N45" s="26"/>
      <c r="O45" s="26">
        <f t="shared" si="5"/>
        <v>10000</v>
      </c>
      <c r="P45" s="80"/>
      <c r="Q45" s="26">
        <f t="shared" si="8"/>
        <v>10000</v>
      </c>
      <c r="R45" s="26">
        <f t="shared" si="1"/>
        <v>0</v>
      </c>
      <c r="S45" s="26">
        <f t="shared" si="2"/>
        <v>10000</v>
      </c>
    </row>
    <row r="46" spans="1:19" x14ac:dyDescent="0.2">
      <c r="B46" s="79">
        <f t="shared" si="3"/>
        <v>40</v>
      </c>
      <c r="C46" s="4"/>
      <c r="D46" s="58"/>
      <c r="E46" s="4"/>
      <c r="F46" s="56"/>
      <c r="G46" s="4"/>
      <c r="H46" s="38" t="s">
        <v>442</v>
      </c>
      <c r="I46" s="26"/>
      <c r="J46" s="26"/>
      <c r="K46" s="26">
        <f t="shared" si="4"/>
        <v>0</v>
      </c>
      <c r="L46" s="80"/>
      <c r="M46" s="26">
        <v>10000</v>
      </c>
      <c r="N46" s="26"/>
      <c r="O46" s="26">
        <f t="shared" si="5"/>
        <v>10000</v>
      </c>
      <c r="P46" s="80"/>
      <c r="Q46" s="26">
        <f t="shared" si="8"/>
        <v>10000</v>
      </c>
      <c r="R46" s="26">
        <f t="shared" si="1"/>
        <v>0</v>
      </c>
      <c r="S46" s="26">
        <f t="shared" si="2"/>
        <v>10000</v>
      </c>
    </row>
    <row r="47" spans="1:19" ht="15" x14ac:dyDescent="0.2">
      <c r="B47" s="79">
        <f t="shared" si="3"/>
        <v>41</v>
      </c>
      <c r="C47" s="11">
        <v>3</v>
      </c>
      <c r="D47" s="245" t="s">
        <v>141</v>
      </c>
      <c r="E47" s="246"/>
      <c r="F47" s="246"/>
      <c r="G47" s="246"/>
      <c r="H47" s="247"/>
      <c r="I47" s="48">
        <f>I49+I55+I48</f>
        <v>41750</v>
      </c>
      <c r="J47" s="48">
        <f>J49+J55+J48</f>
        <v>0</v>
      </c>
      <c r="K47" s="48">
        <f t="shared" si="4"/>
        <v>41750</v>
      </c>
      <c r="L47" s="201"/>
      <c r="M47" s="48">
        <f>M49+M55</f>
        <v>57470</v>
      </c>
      <c r="N47" s="48">
        <f>N49+N55</f>
        <v>0</v>
      </c>
      <c r="O47" s="48">
        <f t="shared" si="5"/>
        <v>57470</v>
      </c>
      <c r="P47" s="201"/>
      <c r="Q47" s="48">
        <f t="shared" si="8"/>
        <v>99220</v>
      </c>
      <c r="R47" s="48">
        <f t="shared" si="1"/>
        <v>0</v>
      </c>
      <c r="S47" s="48">
        <f t="shared" si="2"/>
        <v>99220</v>
      </c>
    </row>
    <row r="48" spans="1:19" x14ac:dyDescent="0.2">
      <c r="B48" s="79">
        <f t="shared" si="3"/>
        <v>42</v>
      </c>
      <c r="C48" s="15"/>
      <c r="D48" s="15"/>
      <c r="E48" s="15"/>
      <c r="F48" s="55" t="s">
        <v>74</v>
      </c>
      <c r="G48" s="15">
        <v>620</v>
      </c>
      <c r="H48" s="15" t="s">
        <v>131</v>
      </c>
      <c r="I48" s="52">
        <v>5500</v>
      </c>
      <c r="J48" s="52"/>
      <c r="K48" s="52">
        <f t="shared" si="4"/>
        <v>5500</v>
      </c>
      <c r="L48" s="126"/>
      <c r="M48" s="52">
        <f>M52+M51+M50+M49+M53</f>
        <v>0</v>
      </c>
      <c r="N48" s="52">
        <f>N52+N51+N50+N49+N53</f>
        <v>0</v>
      </c>
      <c r="O48" s="52">
        <f t="shared" si="5"/>
        <v>0</v>
      </c>
      <c r="P48" s="126"/>
      <c r="Q48" s="52">
        <f t="shared" ref="Q48" si="9">M48+I48</f>
        <v>5500</v>
      </c>
      <c r="R48" s="52">
        <f t="shared" si="1"/>
        <v>0</v>
      </c>
      <c r="S48" s="52">
        <f t="shared" si="2"/>
        <v>5500</v>
      </c>
    </row>
    <row r="49" spans="2:20" x14ac:dyDescent="0.2">
      <c r="B49" s="79">
        <f t="shared" si="3"/>
        <v>43</v>
      </c>
      <c r="C49" s="15"/>
      <c r="D49" s="15"/>
      <c r="E49" s="15"/>
      <c r="F49" s="55" t="s">
        <v>74</v>
      </c>
      <c r="G49" s="15">
        <v>630</v>
      </c>
      <c r="H49" s="15" t="s">
        <v>128</v>
      </c>
      <c r="I49" s="52">
        <f>I53+I52+I51+I50+I54</f>
        <v>36250</v>
      </c>
      <c r="J49" s="52">
        <f>J53+J52+J51+J50+J54</f>
        <v>0</v>
      </c>
      <c r="K49" s="52">
        <f t="shared" si="4"/>
        <v>36250</v>
      </c>
      <c r="L49" s="126"/>
      <c r="M49" s="52">
        <f>M53+M52+M51+M50+M54</f>
        <v>0</v>
      </c>
      <c r="N49" s="52">
        <f>N53+N52+N51+N50+N54</f>
        <v>0</v>
      </c>
      <c r="O49" s="52">
        <f t="shared" si="5"/>
        <v>0</v>
      </c>
      <c r="P49" s="126"/>
      <c r="Q49" s="52">
        <f t="shared" si="8"/>
        <v>36250</v>
      </c>
      <c r="R49" s="52">
        <f t="shared" si="1"/>
        <v>0</v>
      </c>
      <c r="S49" s="52">
        <f t="shared" si="2"/>
        <v>36250</v>
      </c>
    </row>
    <row r="50" spans="2:20" x14ac:dyDescent="0.2">
      <c r="B50" s="79">
        <f t="shared" ref="B50:B76" si="10">B49+1</f>
        <v>44</v>
      </c>
      <c r="C50" s="4"/>
      <c r="D50" s="4"/>
      <c r="E50" s="4"/>
      <c r="F50" s="56" t="s">
        <v>74</v>
      </c>
      <c r="G50" s="4">
        <v>631</v>
      </c>
      <c r="H50" s="4" t="s">
        <v>134</v>
      </c>
      <c r="I50" s="26">
        <v>1000</v>
      </c>
      <c r="J50" s="26"/>
      <c r="K50" s="26">
        <f t="shared" si="4"/>
        <v>1000</v>
      </c>
      <c r="L50" s="80"/>
      <c r="M50" s="26"/>
      <c r="N50" s="26"/>
      <c r="O50" s="26">
        <f t="shared" si="5"/>
        <v>0</v>
      </c>
      <c r="P50" s="80"/>
      <c r="Q50" s="26">
        <f t="shared" si="8"/>
        <v>1000</v>
      </c>
      <c r="R50" s="26">
        <f t="shared" si="1"/>
        <v>0</v>
      </c>
      <c r="S50" s="26">
        <f t="shared" si="2"/>
        <v>1000</v>
      </c>
    </row>
    <row r="51" spans="2:20" x14ac:dyDescent="0.2">
      <c r="B51" s="79">
        <f t="shared" si="10"/>
        <v>45</v>
      </c>
      <c r="C51" s="4"/>
      <c r="D51" s="4"/>
      <c r="E51" s="4"/>
      <c r="F51" s="56" t="s">
        <v>74</v>
      </c>
      <c r="G51" s="4">
        <v>633</v>
      </c>
      <c r="H51" s="4" t="s">
        <v>132</v>
      </c>
      <c r="I51" s="26">
        <v>1500</v>
      </c>
      <c r="J51" s="26"/>
      <c r="K51" s="26">
        <f t="shared" si="4"/>
        <v>1500</v>
      </c>
      <c r="L51" s="80"/>
      <c r="M51" s="26"/>
      <c r="N51" s="26"/>
      <c r="O51" s="26">
        <f t="shared" si="5"/>
        <v>0</v>
      </c>
      <c r="P51" s="80"/>
      <c r="Q51" s="26">
        <f t="shared" si="8"/>
        <v>1500</v>
      </c>
      <c r="R51" s="26">
        <f t="shared" si="1"/>
        <v>0</v>
      </c>
      <c r="S51" s="26">
        <f t="shared" si="2"/>
        <v>1500</v>
      </c>
    </row>
    <row r="52" spans="2:20" x14ac:dyDescent="0.2">
      <c r="B52" s="79">
        <f t="shared" si="10"/>
        <v>46</v>
      </c>
      <c r="C52" s="4"/>
      <c r="D52" s="4"/>
      <c r="E52" s="4"/>
      <c r="F52" s="56" t="s">
        <v>74</v>
      </c>
      <c r="G52" s="4">
        <v>636</v>
      </c>
      <c r="H52" s="4" t="s">
        <v>133</v>
      </c>
      <c r="I52" s="62">
        <v>500</v>
      </c>
      <c r="J52" s="62"/>
      <c r="K52" s="62">
        <f t="shared" si="4"/>
        <v>500</v>
      </c>
      <c r="L52" s="80"/>
      <c r="M52" s="26"/>
      <c r="N52" s="26"/>
      <c r="O52" s="26">
        <f t="shared" si="5"/>
        <v>0</v>
      </c>
      <c r="P52" s="80"/>
      <c r="Q52" s="26">
        <f t="shared" si="8"/>
        <v>500</v>
      </c>
      <c r="R52" s="26">
        <f t="shared" si="1"/>
        <v>0</v>
      </c>
      <c r="S52" s="26">
        <f t="shared" si="2"/>
        <v>500</v>
      </c>
    </row>
    <row r="53" spans="2:20" x14ac:dyDescent="0.2">
      <c r="B53" s="79">
        <f t="shared" si="10"/>
        <v>47</v>
      </c>
      <c r="C53" s="4"/>
      <c r="D53" s="4"/>
      <c r="E53" s="4"/>
      <c r="F53" s="56" t="s">
        <v>74</v>
      </c>
      <c r="G53" s="4">
        <v>637</v>
      </c>
      <c r="H53" s="4" t="s">
        <v>129</v>
      </c>
      <c r="I53" s="62">
        <f>56500-20000-5500-7210-540-10000</f>
        <v>13250</v>
      </c>
      <c r="J53" s="62"/>
      <c r="K53" s="62">
        <f t="shared" si="4"/>
        <v>13250</v>
      </c>
      <c r="L53" s="80"/>
      <c r="M53" s="26"/>
      <c r="N53" s="26"/>
      <c r="O53" s="26">
        <f t="shared" si="5"/>
        <v>0</v>
      </c>
      <c r="P53" s="80"/>
      <c r="Q53" s="26">
        <f t="shared" si="8"/>
        <v>13250</v>
      </c>
      <c r="R53" s="26">
        <f t="shared" si="1"/>
        <v>0</v>
      </c>
      <c r="S53" s="26">
        <f t="shared" si="2"/>
        <v>13250</v>
      </c>
    </row>
    <row r="54" spans="2:20" x14ac:dyDescent="0.2">
      <c r="B54" s="79">
        <f t="shared" si="10"/>
        <v>48</v>
      </c>
      <c r="C54" s="4"/>
      <c r="D54" s="4"/>
      <c r="E54" s="4"/>
      <c r="F54" s="56" t="s">
        <v>74</v>
      </c>
      <c r="G54" s="4">
        <v>637</v>
      </c>
      <c r="H54" s="4" t="s">
        <v>80</v>
      </c>
      <c r="I54" s="62">
        <v>20000</v>
      </c>
      <c r="J54" s="62"/>
      <c r="K54" s="62">
        <f t="shared" si="4"/>
        <v>20000</v>
      </c>
      <c r="L54" s="80"/>
      <c r="M54" s="26"/>
      <c r="N54" s="26"/>
      <c r="O54" s="26">
        <f t="shared" si="5"/>
        <v>0</v>
      </c>
      <c r="P54" s="80"/>
      <c r="Q54" s="26">
        <f t="shared" si="8"/>
        <v>20000</v>
      </c>
      <c r="R54" s="26">
        <f t="shared" si="1"/>
        <v>0</v>
      </c>
      <c r="S54" s="26">
        <f t="shared" si="2"/>
        <v>20000</v>
      </c>
    </row>
    <row r="55" spans="2:20" x14ac:dyDescent="0.2">
      <c r="B55" s="79">
        <f t="shared" si="10"/>
        <v>49</v>
      </c>
      <c r="C55" s="15"/>
      <c r="D55" s="15"/>
      <c r="E55" s="15"/>
      <c r="F55" s="55" t="s">
        <v>74</v>
      </c>
      <c r="G55" s="15">
        <v>710</v>
      </c>
      <c r="H55" s="15" t="s">
        <v>184</v>
      </c>
      <c r="I55" s="52">
        <f>I58+I56</f>
        <v>0</v>
      </c>
      <c r="J55" s="52">
        <f>J58+J56</f>
        <v>0</v>
      </c>
      <c r="K55" s="52">
        <f t="shared" si="4"/>
        <v>0</v>
      </c>
      <c r="L55" s="126"/>
      <c r="M55" s="52">
        <f>M58+M56</f>
        <v>57470</v>
      </c>
      <c r="N55" s="52">
        <f>N58+N56</f>
        <v>0</v>
      </c>
      <c r="O55" s="52">
        <f t="shared" si="5"/>
        <v>57470</v>
      </c>
      <c r="P55" s="126"/>
      <c r="Q55" s="52">
        <f t="shared" si="8"/>
        <v>57470</v>
      </c>
      <c r="R55" s="52">
        <f t="shared" si="1"/>
        <v>0</v>
      </c>
      <c r="S55" s="52">
        <f t="shared" si="2"/>
        <v>57470</v>
      </c>
    </row>
    <row r="56" spans="2:20" x14ac:dyDescent="0.2">
      <c r="B56" s="79">
        <f t="shared" si="10"/>
        <v>50</v>
      </c>
      <c r="C56" s="4"/>
      <c r="D56" s="4"/>
      <c r="E56" s="4"/>
      <c r="F56" s="89" t="s">
        <v>74</v>
      </c>
      <c r="G56" s="90">
        <v>716</v>
      </c>
      <c r="H56" s="90" t="s">
        <v>0</v>
      </c>
      <c r="I56" s="91"/>
      <c r="J56" s="91"/>
      <c r="K56" s="91">
        <f t="shared" si="4"/>
        <v>0</v>
      </c>
      <c r="L56" s="80"/>
      <c r="M56" s="91">
        <f>M57</f>
        <v>28220</v>
      </c>
      <c r="N56" s="91">
        <f>N57</f>
        <v>0</v>
      </c>
      <c r="O56" s="91">
        <f t="shared" si="5"/>
        <v>28220</v>
      </c>
      <c r="P56" s="80"/>
      <c r="Q56" s="91">
        <f t="shared" si="8"/>
        <v>28220</v>
      </c>
      <c r="R56" s="91">
        <f t="shared" si="1"/>
        <v>0</v>
      </c>
      <c r="S56" s="91">
        <f t="shared" si="2"/>
        <v>28220</v>
      </c>
    </row>
    <row r="57" spans="2:20" x14ac:dyDescent="0.2">
      <c r="B57" s="79">
        <f t="shared" si="10"/>
        <v>51</v>
      </c>
      <c r="C57" s="4"/>
      <c r="D57" s="4"/>
      <c r="E57" s="4"/>
      <c r="F57" s="56"/>
      <c r="G57" s="4"/>
      <c r="H57" s="4" t="s">
        <v>471</v>
      </c>
      <c r="I57" s="26"/>
      <c r="J57" s="26"/>
      <c r="K57" s="26">
        <f t="shared" si="4"/>
        <v>0</v>
      </c>
      <c r="L57" s="80"/>
      <c r="M57" s="26">
        <f>48000-10800-28980+20000</f>
        <v>28220</v>
      </c>
      <c r="N57" s="26"/>
      <c r="O57" s="26">
        <f t="shared" si="5"/>
        <v>28220</v>
      </c>
      <c r="P57" s="80"/>
      <c r="Q57" s="26">
        <f t="shared" si="8"/>
        <v>28220</v>
      </c>
      <c r="R57" s="26">
        <f t="shared" si="1"/>
        <v>0</v>
      </c>
      <c r="S57" s="26">
        <f t="shared" si="2"/>
        <v>28220</v>
      </c>
    </row>
    <row r="58" spans="2:20" x14ac:dyDescent="0.2">
      <c r="B58" s="79">
        <f t="shared" si="10"/>
        <v>52</v>
      </c>
      <c r="C58" s="4"/>
      <c r="D58" s="4"/>
      <c r="E58" s="4"/>
      <c r="F58" s="89" t="s">
        <v>74</v>
      </c>
      <c r="G58" s="90">
        <v>717</v>
      </c>
      <c r="H58" s="90" t="s">
        <v>194</v>
      </c>
      <c r="I58" s="91"/>
      <c r="J58" s="91"/>
      <c r="K58" s="91">
        <f t="shared" si="4"/>
        <v>0</v>
      </c>
      <c r="L58" s="80"/>
      <c r="M58" s="91">
        <f>SUM(M59:M64)</f>
        <v>29250</v>
      </c>
      <c r="N58" s="91">
        <f>SUM(N59:N64)</f>
        <v>0</v>
      </c>
      <c r="O58" s="91">
        <f t="shared" si="5"/>
        <v>29250</v>
      </c>
      <c r="P58" s="80"/>
      <c r="Q58" s="91">
        <f t="shared" si="8"/>
        <v>29250</v>
      </c>
      <c r="R58" s="91">
        <f t="shared" si="1"/>
        <v>0</v>
      </c>
      <c r="S58" s="91">
        <f t="shared" si="2"/>
        <v>29250</v>
      </c>
    </row>
    <row r="59" spans="2:20" x14ac:dyDescent="0.2">
      <c r="B59" s="79">
        <f t="shared" si="10"/>
        <v>53</v>
      </c>
      <c r="C59" s="4"/>
      <c r="D59" s="58"/>
      <c r="E59" s="4"/>
      <c r="F59" s="56"/>
      <c r="G59" s="4"/>
      <c r="H59" s="38" t="s">
        <v>472</v>
      </c>
      <c r="I59" s="26"/>
      <c r="J59" s="26"/>
      <c r="K59" s="26">
        <f t="shared" si="4"/>
        <v>0</v>
      </c>
      <c r="L59" s="80"/>
      <c r="M59" s="26">
        <f>150000+55000-33000-81150-63000</f>
        <v>27850</v>
      </c>
      <c r="N59" s="26"/>
      <c r="O59" s="26">
        <f t="shared" si="5"/>
        <v>27850</v>
      </c>
      <c r="P59" s="80"/>
      <c r="Q59" s="26">
        <f t="shared" si="8"/>
        <v>27850</v>
      </c>
      <c r="R59" s="26">
        <f t="shared" si="1"/>
        <v>0</v>
      </c>
      <c r="S59" s="26">
        <f t="shared" si="2"/>
        <v>27850</v>
      </c>
    </row>
    <row r="60" spans="2:20" x14ac:dyDescent="0.2">
      <c r="B60" s="79">
        <f t="shared" si="10"/>
        <v>54</v>
      </c>
      <c r="C60" s="4"/>
      <c r="D60" s="58"/>
      <c r="E60" s="4"/>
      <c r="F60" s="56"/>
      <c r="G60" s="4"/>
      <c r="H60" s="144" t="s">
        <v>333</v>
      </c>
      <c r="I60" s="145"/>
      <c r="J60" s="145"/>
      <c r="K60" s="145">
        <f t="shared" si="4"/>
        <v>0</v>
      </c>
      <c r="L60" s="80"/>
      <c r="M60" s="145">
        <f>100000-85650-3000-2500-7100-1750</f>
        <v>0</v>
      </c>
      <c r="N60" s="145"/>
      <c r="O60" s="145">
        <f t="shared" si="5"/>
        <v>0</v>
      </c>
      <c r="P60" s="80"/>
      <c r="Q60" s="145">
        <f t="shared" si="8"/>
        <v>0</v>
      </c>
      <c r="R60" s="145">
        <f t="shared" si="1"/>
        <v>0</v>
      </c>
      <c r="S60" s="145">
        <f t="shared" si="2"/>
        <v>0</v>
      </c>
    </row>
    <row r="61" spans="2:20" x14ac:dyDescent="0.2">
      <c r="B61" s="79">
        <f t="shared" si="10"/>
        <v>55</v>
      </c>
      <c r="C61" s="4"/>
      <c r="D61" s="58"/>
      <c r="E61" s="4"/>
      <c r="F61" s="56"/>
      <c r="G61" s="4"/>
      <c r="H61" s="137" t="s">
        <v>334</v>
      </c>
      <c r="I61" s="138"/>
      <c r="J61" s="138"/>
      <c r="K61" s="138">
        <f t="shared" si="4"/>
        <v>0</v>
      </c>
      <c r="L61" s="80"/>
      <c r="M61" s="138">
        <f>100000-98600</f>
        <v>1400</v>
      </c>
      <c r="N61" s="138"/>
      <c r="O61" s="138">
        <f t="shared" si="5"/>
        <v>1400</v>
      </c>
      <c r="P61" s="80"/>
      <c r="Q61" s="138">
        <f t="shared" si="8"/>
        <v>1400</v>
      </c>
      <c r="R61" s="138">
        <f t="shared" si="1"/>
        <v>0</v>
      </c>
      <c r="S61" s="138">
        <f t="shared" si="2"/>
        <v>1400</v>
      </c>
    </row>
    <row r="62" spans="2:20" x14ac:dyDescent="0.2">
      <c r="B62" s="79">
        <f t="shared" si="10"/>
        <v>56</v>
      </c>
      <c r="C62" s="4"/>
      <c r="D62" s="58"/>
      <c r="E62" s="4"/>
      <c r="F62" s="56"/>
      <c r="G62" s="4"/>
      <c r="H62" s="139" t="s">
        <v>335</v>
      </c>
      <c r="I62" s="140"/>
      <c r="J62" s="140"/>
      <c r="K62" s="140">
        <f t="shared" si="4"/>
        <v>0</v>
      </c>
      <c r="L62" s="80"/>
      <c r="M62" s="140">
        <f>100000-100000</f>
        <v>0</v>
      </c>
      <c r="N62" s="140"/>
      <c r="O62" s="140">
        <f t="shared" si="5"/>
        <v>0</v>
      </c>
      <c r="P62" s="80"/>
      <c r="Q62" s="140">
        <f t="shared" si="8"/>
        <v>0</v>
      </c>
      <c r="R62" s="140">
        <f t="shared" si="1"/>
        <v>0</v>
      </c>
      <c r="S62" s="140">
        <f t="shared" si="2"/>
        <v>0</v>
      </c>
    </row>
    <row r="63" spans="2:20" x14ac:dyDescent="0.2">
      <c r="B63" s="79">
        <f t="shared" si="10"/>
        <v>57</v>
      </c>
      <c r="C63" s="4"/>
      <c r="D63" s="58"/>
      <c r="E63" s="4"/>
      <c r="F63" s="56"/>
      <c r="G63" s="4"/>
      <c r="H63" s="127" t="s">
        <v>336</v>
      </c>
      <c r="I63" s="128"/>
      <c r="J63" s="128"/>
      <c r="K63" s="128">
        <f t="shared" si="4"/>
        <v>0</v>
      </c>
      <c r="L63" s="80"/>
      <c r="M63" s="128">
        <f>100000-100000+150000-150000</f>
        <v>0</v>
      </c>
      <c r="N63" s="128"/>
      <c r="O63" s="128">
        <f t="shared" si="5"/>
        <v>0</v>
      </c>
      <c r="P63" s="80"/>
      <c r="Q63" s="128">
        <f t="shared" si="8"/>
        <v>0</v>
      </c>
      <c r="R63" s="128">
        <f t="shared" si="1"/>
        <v>0</v>
      </c>
      <c r="S63" s="128">
        <f t="shared" si="2"/>
        <v>0</v>
      </c>
      <c r="T63" s="21"/>
    </row>
    <row r="64" spans="2:20" x14ac:dyDescent="0.2">
      <c r="B64" s="79">
        <f t="shared" si="10"/>
        <v>58</v>
      </c>
      <c r="C64" s="4"/>
      <c r="D64" s="58"/>
      <c r="E64" s="4"/>
      <c r="F64" s="56"/>
      <c r="G64" s="4"/>
      <c r="H64" s="59" t="s">
        <v>337</v>
      </c>
      <c r="I64" s="26"/>
      <c r="J64" s="26"/>
      <c r="K64" s="26">
        <f t="shared" si="4"/>
        <v>0</v>
      </c>
      <c r="L64" s="80"/>
      <c r="M64" s="26">
        <f>55000-11000-44000</f>
        <v>0</v>
      </c>
      <c r="N64" s="26"/>
      <c r="O64" s="26">
        <f t="shared" si="5"/>
        <v>0</v>
      </c>
      <c r="P64" s="80"/>
      <c r="Q64" s="26">
        <f t="shared" si="8"/>
        <v>0</v>
      </c>
      <c r="R64" s="26">
        <f t="shared" si="1"/>
        <v>0</v>
      </c>
      <c r="S64" s="26">
        <f t="shared" si="2"/>
        <v>0</v>
      </c>
    </row>
    <row r="65" spans="2:19" ht="15" x14ac:dyDescent="0.2">
      <c r="B65" s="79">
        <f t="shared" si="10"/>
        <v>59</v>
      </c>
      <c r="C65" s="11">
        <v>4</v>
      </c>
      <c r="D65" s="245" t="s">
        <v>476</v>
      </c>
      <c r="E65" s="246"/>
      <c r="F65" s="246"/>
      <c r="G65" s="246"/>
      <c r="H65" s="247"/>
      <c r="I65" s="48">
        <v>0</v>
      </c>
      <c r="J65" s="48">
        <v>0</v>
      </c>
      <c r="K65" s="48">
        <f t="shared" si="4"/>
        <v>0</v>
      </c>
      <c r="L65" s="201"/>
      <c r="M65" s="48">
        <f t="shared" ref="M65:N68" si="11">M66+M67</f>
        <v>0</v>
      </c>
      <c r="N65" s="48">
        <f t="shared" si="11"/>
        <v>0</v>
      </c>
      <c r="O65" s="48">
        <f t="shared" si="5"/>
        <v>0</v>
      </c>
      <c r="P65" s="201"/>
      <c r="Q65" s="48">
        <f t="shared" si="8"/>
        <v>0</v>
      </c>
      <c r="R65" s="48">
        <f t="shared" si="1"/>
        <v>0</v>
      </c>
      <c r="S65" s="48">
        <f t="shared" si="2"/>
        <v>0</v>
      </c>
    </row>
    <row r="66" spans="2:19" ht="15" x14ac:dyDescent="0.2">
      <c r="B66" s="79">
        <f t="shared" si="10"/>
        <v>60</v>
      </c>
      <c r="C66" s="11">
        <v>5</v>
      </c>
      <c r="D66" s="245" t="s">
        <v>477</v>
      </c>
      <c r="E66" s="246"/>
      <c r="F66" s="246"/>
      <c r="G66" s="246"/>
      <c r="H66" s="247"/>
      <c r="I66" s="48">
        <v>0</v>
      </c>
      <c r="J66" s="48">
        <v>0</v>
      </c>
      <c r="K66" s="48">
        <f t="shared" si="4"/>
        <v>0</v>
      </c>
      <c r="L66" s="201"/>
      <c r="M66" s="48">
        <f t="shared" si="11"/>
        <v>0</v>
      </c>
      <c r="N66" s="48">
        <f t="shared" si="11"/>
        <v>0</v>
      </c>
      <c r="O66" s="48">
        <f t="shared" si="5"/>
        <v>0</v>
      </c>
      <c r="P66" s="201"/>
      <c r="Q66" s="48">
        <f t="shared" si="8"/>
        <v>0</v>
      </c>
      <c r="R66" s="48">
        <f t="shared" si="1"/>
        <v>0</v>
      </c>
      <c r="S66" s="48">
        <f t="shared" si="2"/>
        <v>0</v>
      </c>
    </row>
    <row r="67" spans="2:19" ht="15" x14ac:dyDescent="0.2">
      <c r="B67" s="79">
        <f t="shared" si="10"/>
        <v>61</v>
      </c>
      <c r="C67" s="11">
        <v>6</v>
      </c>
      <c r="D67" s="245" t="s">
        <v>478</v>
      </c>
      <c r="E67" s="246"/>
      <c r="F67" s="246"/>
      <c r="G67" s="246"/>
      <c r="H67" s="247"/>
      <c r="I67" s="48">
        <v>0</v>
      </c>
      <c r="J67" s="48">
        <v>0</v>
      </c>
      <c r="K67" s="48">
        <f t="shared" si="4"/>
        <v>0</v>
      </c>
      <c r="L67" s="201"/>
      <c r="M67" s="48">
        <f t="shared" si="11"/>
        <v>0</v>
      </c>
      <c r="N67" s="48">
        <f t="shared" si="11"/>
        <v>0</v>
      </c>
      <c r="O67" s="48">
        <f t="shared" si="5"/>
        <v>0</v>
      </c>
      <c r="P67" s="201"/>
      <c r="Q67" s="48">
        <f t="shared" si="8"/>
        <v>0</v>
      </c>
      <c r="R67" s="48">
        <f t="shared" si="1"/>
        <v>0</v>
      </c>
      <c r="S67" s="48">
        <f t="shared" si="2"/>
        <v>0</v>
      </c>
    </row>
    <row r="68" spans="2:19" ht="15" x14ac:dyDescent="0.2">
      <c r="B68" s="79">
        <f t="shared" si="10"/>
        <v>62</v>
      </c>
      <c r="C68" s="11">
        <v>7</v>
      </c>
      <c r="D68" s="245" t="s">
        <v>35</v>
      </c>
      <c r="E68" s="246"/>
      <c r="F68" s="246"/>
      <c r="G68" s="246"/>
      <c r="H68" s="247"/>
      <c r="I68" s="48">
        <f>I69+I70</f>
        <v>70310</v>
      </c>
      <c r="J68" s="48">
        <f>J69+J70</f>
        <v>0</v>
      </c>
      <c r="K68" s="48">
        <f t="shared" si="4"/>
        <v>70310</v>
      </c>
      <c r="L68" s="201"/>
      <c r="M68" s="48">
        <f t="shared" si="11"/>
        <v>0</v>
      </c>
      <c r="N68" s="48">
        <f t="shared" si="11"/>
        <v>0</v>
      </c>
      <c r="O68" s="48">
        <f t="shared" si="5"/>
        <v>0</v>
      </c>
      <c r="P68" s="201"/>
      <c r="Q68" s="48">
        <f t="shared" si="8"/>
        <v>70310</v>
      </c>
      <c r="R68" s="48">
        <f t="shared" si="1"/>
        <v>0</v>
      </c>
      <c r="S68" s="48">
        <f t="shared" si="2"/>
        <v>70310</v>
      </c>
    </row>
    <row r="69" spans="2:19" x14ac:dyDescent="0.2">
      <c r="B69" s="79">
        <f t="shared" si="10"/>
        <v>63</v>
      </c>
      <c r="C69" s="15"/>
      <c r="D69" s="15"/>
      <c r="E69" s="15"/>
      <c r="F69" s="55" t="s">
        <v>74</v>
      </c>
      <c r="G69" s="15">
        <v>620</v>
      </c>
      <c r="H69" s="15" t="s">
        <v>131</v>
      </c>
      <c r="I69" s="52">
        <f>6600+960</f>
        <v>7560</v>
      </c>
      <c r="J69" s="52"/>
      <c r="K69" s="52">
        <f t="shared" si="4"/>
        <v>7560</v>
      </c>
      <c r="L69" s="126"/>
      <c r="M69" s="52"/>
      <c r="N69" s="52"/>
      <c r="O69" s="52">
        <f t="shared" si="5"/>
        <v>0</v>
      </c>
      <c r="P69" s="126"/>
      <c r="Q69" s="52">
        <f t="shared" si="8"/>
        <v>7560</v>
      </c>
      <c r="R69" s="52">
        <f t="shared" si="1"/>
        <v>0</v>
      </c>
      <c r="S69" s="52">
        <f t="shared" si="2"/>
        <v>7560</v>
      </c>
    </row>
    <row r="70" spans="2:19" x14ac:dyDescent="0.2">
      <c r="B70" s="79">
        <f t="shared" si="10"/>
        <v>64</v>
      </c>
      <c r="C70" s="15"/>
      <c r="D70" s="15"/>
      <c r="E70" s="15"/>
      <c r="F70" s="55" t="s">
        <v>74</v>
      </c>
      <c r="G70" s="15">
        <v>630</v>
      </c>
      <c r="H70" s="15" t="s">
        <v>128</v>
      </c>
      <c r="I70" s="52">
        <f>SUM(I71:I73)</f>
        <v>62750</v>
      </c>
      <c r="J70" s="52">
        <f>SUM(J71:J73)</f>
        <v>0</v>
      </c>
      <c r="K70" s="52">
        <f t="shared" si="4"/>
        <v>62750</v>
      </c>
      <c r="L70" s="126"/>
      <c r="M70" s="52">
        <f>SUM(M71:M73)</f>
        <v>0</v>
      </c>
      <c r="N70" s="52">
        <f>SUM(N71:N73)</f>
        <v>0</v>
      </c>
      <c r="O70" s="52">
        <f t="shared" si="5"/>
        <v>0</v>
      </c>
      <c r="P70" s="126"/>
      <c r="Q70" s="52">
        <f t="shared" si="8"/>
        <v>62750</v>
      </c>
      <c r="R70" s="52">
        <f t="shared" si="1"/>
        <v>0</v>
      </c>
      <c r="S70" s="52">
        <f t="shared" si="2"/>
        <v>62750</v>
      </c>
    </row>
    <row r="71" spans="2:19" x14ac:dyDescent="0.2">
      <c r="B71" s="79">
        <f t="shared" si="10"/>
        <v>65</v>
      </c>
      <c r="C71" s="4"/>
      <c r="D71" s="4"/>
      <c r="E71" s="4"/>
      <c r="F71" s="56" t="s">
        <v>74</v>
      </c>
      <c r="G71" s="4">
        <v>632</v>
      </c>
      <c r="H71" s="4" t="s">
        <v>139</v>
      </c>
      <c r="I71" s="26">
        <v>20000</v>
      </c>
      <c r="J71" s="26"/>
      <c r="K71" s="26">
        <f t="shared" si="4"/>
        <v>20000</v>
      </c>
      <c r="L71" s="80"/>
      <c r="M71" s="26"/>
      <c r="N71" s="26"/>
      <c r="O71" s="26">
        <f t="shared" si="5"/>
        <v>0</v>
      </c>
      <c r="P71" s="80"/>
      <c r="Q71" s="26">
        <f t="shared" si="8"/>
        <v>20000</v>
      </c>
      <c r="R71" s="26">
        <f t="shared" ref="R71:R76" si="12">N71+J71</f>
        <v>0</v>
      </c>
      <c r="S71" s="26">
        <f t="shared" ref="S71:S76" si="13">O71+K71</f>
        <v>20000</v>
      </c>
    </row>
    <row r="72" spans="2:19" x14ac:dyDescent="0.2">
      <c r="B72" s="79">
        <f t="shared" si="10"/>
        <v>66</v>
      </c>
      <c r="C72" s="4"/>
      <c r="D72" s="4"/>
      <c r="E72" s="4"/>
      <c r="F72" s="56" t="s">
        <v>74</v>
      </c>
      <c r="G72" s="4">
        <v>633</v>
      </c>
      <c r="H72" s="4" t="s">
        <v>132</v>
      </c>
      <c r="I72" s="26">
        <v>5500</v>
      </c>
      <c r="J72" s="26"/>
      <c r="K72" s="26">
        <f t="shared" ref="K72:K76" si="14">I72+J72</f>
        <v>5500</v>
      </c>
      <c r="L72" s="80"/>
      <c r="M72" s="26"/>
      <c r="N72" s="26"/>
      <c r="O72" s="26">
        <f t="shared" ref="O72:O76" si="15">M72+N72</f>
        <v>0</v>
      </c>
      <c r="P72" s="80"/>
      <c r="Q72" s="26">
        <f t="shared" si="8"/>
        <v>5500</v>
      </c>
      <c r="R72" s="26">
        <f t="shared" si="12"/>
        <v>0</v>
      </c>
      <c r="S72" s="26">
        <f t="shared" si="13"/>
        <v>5500</v>
      </c>
    </row>
    <row r="73" spans="2:19" x14ac:dyDescent="0.2">
      <c r="B73" s="79">
        <f t="shared" si="10"/>
        <v>67</v>
      </c>
      <c r="C73" s="4"/>
      <c r="D73" s="58"/>
      <c r="E73" s="4"/>
      <c r="F73" s="56" t="s">
        <v>74</v>
      </c>
      <c r="G73" s="4">
        <v>637</v>
      </c>
      <c r="H73" s="4" t="s">
        <v>129</v>
      </c>
      <c r="I73" s="26">
        <f>20000+6000+8500+2750</f>
        <v>37250</v>
      </c>
      <c r="J73" s="26"/>
      <c r="K73" s="26">
        <f t="shared" si="14"/>
        <v>37250</v>
      </c>
      <c r="L73" s="80"/>
      <c r="M73" s="26"/>
      <c r="N73" s="26"/>
      <c r="O73" s="26">
        <f t="shared" si="15"/>
        <v>0</v>
      </c>
      <c r="P73" s="80"/>
      <c r="Q73" s="26">
        <f>M73+I73</f>
        <v>37250</v>
      </c>
      <c r="R73" s="26">
        <f t="shared" si="12"/>
        <v>0</v>
      </c>
      <c r="S73" s="26">
        <f t="shared" si="13"/>
        <v>37250</v>
      </c>
    </row>
    <row r="74" spans="2:19" ht="15" x14ac:dyDescent="0.2">
      <c r="B74" s="79">
        <f t="shared" si="10"/>
        <v>68</v>
      </c>
      <c r="C74" s="11">
        <v>8</v>
      </c>
      <c r="D74" s="245" t="s">
        <v>232</v>
      </c>
      <c r="E74" s="246"/>
      <c r="F74" s="246"/>
      <c r="G74" s="246"/>
      <c r="H74" s="247"/>
      <c r="I74" s="48">
        <f>I75</f>
        <v>16000</v>
      </c>
      <c r="J74" s="48">
        <f>J75</f>
        <v>0</v>
      </c>
      <c r="K74" s="48">
        <f t="shared" si="14"/>
        <v>16000</v>
      </c>
      <c r="L74" s="201"/>
      <c r="M74" s="48">
        <f>M75</f>
        <v>0</v>
      </c>
      <c r="N74" s="48">
        <f>N75</f>
        <v>0</v>
      </c>
      <c r="O74" s="48">
        <f t="shared" si="15"/>
        <v>0</v>
      </c>
      <c r="P74" s="201"/>
      <c r="Q74" s="48">
        <f>M74+I74</f>
        <v>16000</v>
      </c>
      <c r="R74" s="48">
        <f t="shared" si="12"/>
        <v>0</v>
      </c>
      <c r="S74" s="48">
        <f t="shared" si="13"/>
        <v>16000</v>
      </c>
    </row>
    <row r="75" spans="2:19" x14ac:dyDescent="0.2">
      <c r="B75" s="79">
        <f t="shared" si="10"/>
        <v>69</v>
      </c>
      <c r="C75" s="15"/>
      <c r="D75" s="15"/>
      <c r="E75" s="15"/>
      <c r="F75" s="55" t="s">
        <v>150</v>
      </c>
      <c r="G75" s="15">
        <v>640</v>
      </c>
      <c r="H75" s="15" t="s">
        <v>135</v>
      </c>
      <c r="I75" s="52">
        <v>16000</v>
      </c>
      <c r="J75" s="52"/>
      <c r="K75" s="52">
        <f t="shared" si="14"/>
        <v>16000</v>
      </c>
      <c r="L75" s="126"/>
      <c r="M75" s="52"/>
      <c r="N75" s="52"/>
      <c r="O75" s="52">
        <f t="shared" si="15"/>
        <v>0</v>
      </c>
      <c r="P75" s="126"/>
      <c r="Q75" s="52">
        <f>M75+I75</f>
        <v>16000</v>
      </c>
      <c r="R75" s="52">
        <f t="shared" si="12"/>
        <v>0</v>
      </c>
      <c r="S75" s="52">
        <f t="shared" si="13"/>
        <v>16000</v>
      </c>
    </row>
    <row r="76" spans="2:19" ht="15" x14ac:dyDescent="0.2">
      <c r="B76" s="79">
        <f t="shared" si="10"/>
        <v>70</v>
      </c>
      <c r="C76" s="11">
        <v>9</v>
      </c>
      <c r="D76" s="245" t="s">
        <v>188</v>
      </c>
      <c r="E76" s="246"/>
      <c r="F76" s="246"/>
      <c r="G76" s="246"/>
      <c r="H76" s="247"/>
      <c r="I76" s="48">
        <v>44273</v>
      </c>
      <c r="J76" s="48"/>
      <c r="K76" s="48">
        <f t="shared" si="14"/>
        <v>44273</v>
      </c>
      <c r="L76" s="201"/>
      <c r="M76" s="48">
        <v>0</v>
      </c>
      <c r="N76" s="48"/>
      <c r="O76" s="48">
        <f t="shared" si="15"/>
        <v>0</v>
      </c>
      <c r="P76" s="201"/>
      <c r="Q76" s="48">
        <f>M76+I76</f>
        <v>44273</v>
      </c>
      <c r="R76" s="48">
        <f t="shared" si="12"/>
        <v>0</v>
      </c>
      <c r="S76" s="48">
        <f t="shared" si="13"/>
        <v>44273</v>
      </c>
    </row>
    <row r="79" spans="2:19" ht="12.75" customHeight="1" x14ac:dyDescent="0.2"/>
    <row r="80" spans="2:19" ht="35.25" customHeight="1" x14ac:dyDescent="0.35">
      <c r="B80" s="248" t="s">
        <v>283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</row>
    <row r="81" spans="2:19" ht="18.75" customHeight="1" x14ac:dyDescent="0.2">
      <c r="B81" s="260" t="s">
        <v>281</v>
      </c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2"/>
      <c r="P81" s="208"/>
      <c r="Q81" s="250" t="s">
        <v>779</v>
      </c>
      <c r="R81" s="250" t="s">
        <v>773</v>
      </c>
      <c r="S81" s="250" t="s">
        <v>774</v>
      </c>
    </row>
    <row r="82" spans="2:19" ht="12.75" customHeight="1" x14ac:dyDescent="0.2">
      <c r="B82" s="253" t="s">
        <v>112</v>
      </c>
      <c r="C82" s="255" t="s">
        <v>120</v>
      </c>
      <c r="D82" s="255" t="s">
        <v>121</v>
      </c>
      <c r="E82" s="257" t="s">
        <v>125</v>
      </c>
      <c r="F82" s="255" t="s">
        <v>122</v>
      </c>
      <c r="G82" s="255" t="s">
        <v>123</v>
      </c>
      <c r="H82" s="263" t="s">
        <v>124</v>
      </c>
      <c r="I82" s="250" t="s">
        <v>777</v>
      </c>
      <c r="J82" s="251" t="s">
        <v>773</v>
      </c>
      <c r="K82" s="251" t="s">
        <v>775</v>
      </c>
      <c r="L82" s="197"/>
      <c r="M82" s="250" t="s">
        <v>778</v>
      </c>
      <c r="N82" s="251" t="s">
        <v>773</v>
      </c>
      <c r="O82" s="251" t="s">
        <v>776</v>
      </c>
      <c r="P82" s="198"/>
      <c r="Q82" s="251"/>
      <c r="R82" s="251"/>
      <c r="S82" s="251"/>
    </row>
    <row r="83" spans="2:19" ht="15.75" customHeight="1" x14ac:dyDescent="0.2">
      <c r="B83" s="253"/>
      <c r="C83" s="255"/>
      <c r="D83" s="255"/>
      <c r="E83" s="258"/>
      <c r="F83" s="255"/>
      <c r="G83" s="255"/>
      <c r="H83" s="263"/>
      <c r="I83" s="251"/>
      <c r="J83" s="251"/>
      <c r="K83" s="251"/>
      <c r="L83" s="198"/>
      <c r="M83" s="251"/>
      <c r="N83" s="251"/>
      <c r="O83" s="251"/>
      <c r="P83" s="198"/>
      <c r="Q83" s="251"/>
      <c r="R83" s="251"/>
      <c r="S83" s="251"/>
    </row>
    <row r="84" spans="2:19" x14ac:dyDescent="0.2">
      <c r="B84" s="253"/>
      <c r="C84" s="255"/>
      <c r="D84" s="255"/>
      <c r="E84" s="258"/>
      <c r="F84" s="255"/>
      <c r="G84" s="255"/>
      <c r="H84" s="263"/>
      <c r="I84" s="251"/>
      <c r="J84" s="251"/>
      <c r="K84" s="251"/>
      <c r="L84" s="198"/>
      <c r="M84" s="251"/>
      <c r="N84" s="251"/>
      <c r="O84" s="251"/>
      <c r="P84" s="198"/>
      <c r="Q84" s="251"/>
      <c r="R84" s="251"/>
      <c r="S84" s="251"/>
    </row>
    <row r="85" spans="2:19" ht="13.5" thickBot="1" x14ac:dyDescent="0.25">
      <c r="B85" s="254"/>
      <c r="C85" s="256"/>
      <c r="D85" s="256"/>
      <c r="E85" s="259"/>
      <c r="F85" s="256"/>
      <c r="G85" s="256"/>
      <c r="H85" s="264"/>
      <c r="I85" s="252"/>
      <c r="J85" s="252"/>
      <c r="K85" s="252"/>
      <c r="L85" s="199"/>
      <c r="M85" s="252"/>
      <c r="N85" s="252"/>
      <c r="O85" s="252"/>
      <c r="P85" s="199"/>
      <c r="Q85" s="252"/>
      <c r="R85" s="252"/>
      <c r="S85" s="252"/>
    </row>
    <row r="86" spans="2:19" ht="16.5" thickTop="1" x14ac:dyDescent="0.2">
      <c r="B86" s="78">
        <v>1</v>
      </c>
      <c r="C86" s="265" t="s">
        <v>283</v>
      </c>
      <c r="D86" s="266"/>
      <c r="E86" s="266"/>
      <c r="F86" s="266"/>
      <c r="G86" s="266"/>
      <c r="H86" s="267"/>
      <c r="I86" s="110">
        <f>I92+I87</f>
        <v>86018</v>
      </c>
      <c r="J86" s="110">
        <f>J92+J87</f>
        <v>0</v>
      </c>
      <c r="K86" s="110">
        <f>I86+J86</f>
        <v>86018</v>
      </c>
      <c r="L86" s="200"/>
      <c r="M86" s="110">
        <f>M92+M87</f>
        <v>0</v>
      </c>
      <c r="N86" s="110">
        <f>N92+N87</f>
        <v>0</v>
      </c>
      <c r="O86" s="110">
        <f>M86+N86</f>
        <v>0</v>
      </c>
      <c r="P86" s="200"/>
      <c r="Q86" s="47">
        <f t="shared" ref="Q86:Q96" si="16">I86+M86</f>
        <v>86018</v>
      </c>
      <c r="R86" s="47">
        <f t="shared" ref="R86:R96" si="17">J86+N86</f>
        <v>0</v>
      </c>
      <c r="S86" s="47">
        <f t="shared" ref="S86:S96" si="18">K86+O86</f>
        <v>86018</v>
      </c>
    </row>
    <row r="87" spans="2:19" ht="15" x14ac:dyDescent="0.2">
      <c r="B87" s="79">
        <f t="shared" ref="B87:B96" si="19">B86+1</f>
        <v>2</v>
      </c>
      <c r="C87" s="191">
        <v>1</v>
      </c>
      <c r="D87" s="245" t="s">
        <v>208</v>
      </c>
      <c r="E87" s="246"/>
      <c r="F87" s="246"/>
      <c r="G87" s="246"/>
      <c r="H87" s="247"/>
      <c r="I87" s="48">
        <f>I88</f>
        <v>54500</v>
      </c>
      <c r="J87" s="48">
        <f>J88</f>
        <v>0</v>
      </c>
      <c r="K87" s="48">
        <f t="shared" ref="K87:K96" si="20">I87+J87</f>
        <v>54500</v>
      </c>
      <c r="L87" s="201"/>
      <c r="M87" s="48">
        <f>M88</f>
        <v>0</v>
      </c>
      <c r="N87" s="48">
        <f>N88</f>
        <v>0</v>
      </c>
      <c r="O87" s="48">
        <f t="shared" ref="O87:O96" si="21">M87+N87</f>
        <v>0</v>
      </c>
      <c r="P87" s="201"/>
      <c r="Q87" s="48">
        <f t="shared" si="16"/>
        <v>54500</v>
      </c>
      <c r="R87" s="48">
        <f t="shared" si="17"/>
        <v>0</v>
      </c>
      <c r="S87" s="48">
        <f t="shared" si="18"/>
        <v>54500</v>
      </c>
    </row>
    <row r="88" spans="2:19" x14ac:dyDescent="0.2">
      <c r="B88" s="79">
        <f t="shared" si="19"/>
        <v>3</v>
      </c>
      <c r="C88" s="15"/>
      <c r="D88" s="15"/>
      <c r="E88" s="15"/>
      <c r="F88" s="55"/>
      <c r="G88" s="15">
        <v>630</v>
      </c>
      <c r="H88" s="15" t="s">
        <v>128</v>
      </c>
      <c r="I88" s="52">
        <f>SUM(I89:I91)</f>
        <v>54500</v>
      </c>
      <c r="J88" s="52">
        <f>SUM(J89:J91)</f>
        <v>0</v>
      </c>
      <c r="K88" s="52">
        <f t="shared" si="20"/>
        <v>54500</v>
      </c>
      <c r="L88" s="126"/>
      <c r="M88" s="52">
        <f>SUM(M89:M91)</f>
        <v>0</v>
      </c>
      <c r="N88" s="52">
        <f>SUM(N89:N91)</f>
        <v>0</v>
      </c>
      <c r="O88" s="52">
        <f t="shared" si="21"/>
        <v>0</v>
      </c>
      <c r="P88" s="126"/>
      <c r="Q88" s="52">
        <f t="shared" si="16"/>
        <v>54500</v>
      </c>
      <c r="R88" s="52">
        <f t="shared" si="17"/>
        <v>0</v>
      </c>
      <c r="S88" s="52">
        <f t="shared" si="18"/>
        <v>54500</v>
      </c>
    </row>
    <row r="89" spans="2:19" x14ac:dyDescent="0.2">
      <c r="B89" s="79">
        <f t="shared" si="19"/>
        <v>4</v>
      </c>
      <c r="C89" s="4"/>
      <c r="D89" s="4"/>
      <c r="E89" s="4"/>
      <c r="F89" s="68" t="s">
        <v>32</v>
      </c>
      <c r="G89" s="64">
        <v>637</v>
      </c>
      <c r="H89" s="64" t="s">
        <v>489</v>
      </c>
      <c r="I89" s="62">
        <v>8500</v>
      </c>
      <c r="J89" s="62"/>
      <c r="K89" s="62">
        <f t="shared" si="20"/>
        <v>8500</v>
      </c>
      <c r="L89" s="80"/>
      <c r="M89" s="26"/>
      <c r="N89" s="26"/>
      <c r="O89" s="26">
        <f t="shared" si="21"/>
        <v>0</v>
      </c>
      <c r="P89" s="80"/>
      <c r="Q89" s="26">
        <f t="shared" si="16"/>
        <v>8500</v>
      </c>
      <c r="R89" s="26">
        <f t="shared" si="17"/>
        <v>0</v>
      </c>
      <c r="S89" s="26">
        <f t="shared" si="18"/>
        <v>8500</v>
      </c>
    </row>
    <row r="90" spans="2:19" x14ac:dyDescent="0.2">
      <c r="B90" s="79">
        <f t="shared" si="19"/>
        <v>5</v>
      </c>
      <c r="C90" s="4"/>
      <c r="D90" s="4"/>
      <c r="E90" s="4"/>
      <c r="F90" s="68" t="s">
        <v>74</v>
      </c>
      <c r="G90" s="64">
        <v>637</v>
      </c>
      <c r="H90" s="64" t="s">
        <v>490</v>
      </c>
      <c r="I90" s="62">
        <f>20000-5000+7000</f>
        <v>22000</v>
      </c>
      <c r="J90" s="62"/>
      <c r="K90" s="62">
        <f t="shared" si="20"/>
        <v>22000</v>
      </c>
      <c r="L90" s="80"/>
      <c r="M90" s="26"/>
      <c r="N90" s="26"/>
      <c r="O90" s="26">
        <f t="shared" si="21"/>
        <v>0</v>
      </c>
      <c r="P90" s="80"/>
      <c r="Q90" s="26">
        <f t="shared" si="16"/>
        <v>22000</v>
      </c>
      <c r="R90" s="26">
        <f t="shared" si="17"/>
        <v>0</v>
      </c>
      <c r="S90" s="26">
        <f t="shared" si="18"/>
        <v>22000</v>
      </c>
    </row>
    <row r="91" spans="2:19" x14ac:dyDescent="0.2">
      <c r="B91" s="79">
        <f t="shared" si="19"/>
        <v>6</v>
      </c>
      <c r="C91" s="4"/>
      <c r="D91" s="58"/>
      <c r="E91" s="4"/>
      <c r="F91" s="60" t="s">
        <v>2</v>
      </c>
      <c r="G91" s="4">
        <v>637</v>
      </c>
      <c r="H91" s="38" t="s">
        <v>427</v>
      </c>
      <c r="I91" s="26">
        <f>23000+5000+2000-6000</f>
        <v>24000</v>
      </c>
      <c r="J91" s="26"/>
      <c r="K91" s="26">
        <f t="shared" si="20"/>
        <v>24000</v>
      </c>
      <c r="L91" s="80"/>
      <c r="M91" s="26"/>
      <c r="N91" s="26"/>
      <c r="O91" s="26">
        <f t="shared" si="21"/>
        <v>0</v>
      </c>
      <c r="P91" s="80"/>
      <c r="Q91" s="26">
        <f t="shared" si="16"/>
        <v>24000</v>
      </c>
      <c r="R91" s="26">
        <f t="shared" si="17"/>
        <v>0</v>
      </c>
      <c r="S91" s="26">
        <f t="shared" si="18"/>
        <v>24000</v>
      </c>
    </row>
    <row r="92" spans="2:19" ht="15" x14ac:dyDescent="0.2">
      <c r="B92" s="79">
        <f t="shared" si="19"/>
        <v>7</v>
      </c>
      <c r="C92" s="191">
        <v>2</v>
      </c>
      <c r="D92" s="245" t="s">
        <v>33</v>
      </c>
      <c r="E92" s="246"/>
      <c r="F92" s="246"/>
      <c r="G92" s="246"/>
      <c r="H92" s="247"/>
      <c r="I92" s="48">
        <f>I93+I95</f>
        <v>31518</v>
      </c>
      <c r="J92" s="48">
        <f>J93+J95</f>
        <v>0</v>
      </c>
      <c r="K92" s="48">
        <f t="shared" si="20"/>
        <v>31518</v>
      </c>
      <c r="L92" s="201"/>
      <c r="M92" s="48">
        <f>M93</f>
        <v>0</v>
      </c>
      <c r="N92" s="48">
        <f>N93</f>
        <v>0</v>
      </c>
      <c r="O92" s="48">
        <f t="shared" si="21"/>
        <v>0</v>
      </c>
      <c r="P92" s="201"/>
      <c r="Q92" s="48">
        <f t="shared" si="16"/>
        <v>31518</v>
      </c>
      <c r="R92" s="48">
        <f t="shared" si="17"/>
        <v>0</v>
      </c>
      <c r="S92" s="48">
        <f t="shared" si="18"/>
        <v>31518</v>
      </c>
    </row>
    <row r="93" spans="2:19" x14ac:dyDescent="0.2">
      <c r="B93" s="79">
        <f t="shared" si="19"/>
        <v>8</v>
      </c>
      <c r="C93" s="15"/>
      <c r="D93" s="15"/>
      <c r="E93" s="15"/>
      <c r="F93" s="55" t="s">
        <v>32</v>
      </c>
      <c r="G93" s="15">
        <v>630</v>
      </c>
      <c r="H93" s="15" t="s">
        <v>128</v>
      </c>
      <c r="I93" s="52">
        <f>I94</f>
        <v>8000</v>
      </c>
      <c r="J93" s="52">
        <f>J94</f>
        <v>0</v>
      </c>
      <c r="K93" s="52">
        <f t="shared" si="20"/>
        <v>8000</v>
      </c>
      <c r="L93" s="126"/>
      <c r="M93" s="52">
        <f>M94</f>
        <v>0</v>
      </c>
      <c r="N93" s="52">
        <f>N94</f>
        <v>0</v>
      </c>
      <c r="O93" s="52">
        <f t="shared" si="21"/>
        <v>0</v>
      </c>
      <c r="P93" s="126"/>
      <c r="Q93" s="52">
        <f t="shared" si="16"/>
        <v>8000</v>
      </c>
      <c r="R93" s="52">
        <f t="shared" si="17"/>
        <v>0</v>
      </c>
      <c r="S93" s="52">
        <f t="shared" si="18"/>
        <v>8000</v>
      </c>
    </row>
    <row r="94" spans="2:19" x14ac:dyDescent="0.2">
      <c r="B94" s="79">
        <f t="shared" si="19"/>
        <v>9</v>
      </c>
      <c r="C94" s="4"/>
      <c r="D94" s="4"/>
      <c r="E94" s="4"/>
      <c r="F94" s="56" t="s">
        <v>32</v>
      </c>
      <c r="G94" s="4">
        <v>637</v>
      </c>
      <c r="H94" s="4" t="s">
        <v>129</v>
      </c>
      <c r="I94" s="26">
        <v>8000</v>
      </c>
      <c r="J94" s="26"/>
      <c r="K94" s="26">
        <f t="shared" si="20"/>
        <v>8000</v>
      </c>
      <c r="L94" s="80"/>
      <c r="M94" s="26"/>
      <c r="N94" s="26"/>
      <c r="O94" s="26">
        <f t="shared" si="21"/>
        <v>0</v>
      </c>
      <c r="P94" s="80"/>
      <c r="Q94" s="26">
        <f t="shared" si="16"/>
        <v>8000</v>
      </c>
      <c r="R94" s="26">
        <f t="shared" si="17"/>
        <v>0</v>
      </c>
      <c r="S94" s="26">
        <f t="shared" si="18"/>
        <v>8000</v>
      </c>
    </row>
    <row r="95" spans="2:19" x14ac:dyDescent="0.2">
      <c r="B95" s="79">
        <f t="shared" si="19"/>
        <v>10</v>
      </c>
      <c r="C95" s="4"/>
      <c r="D95" s="4"/>
      <c r="E95" s="4"/>
      <c r="F95" s="106" t="s">
        <v>32</v>
      </c>
      <c r="G95" s="3">
        <v>640</v>
      </c>
      <c r="H95" s="3" t="s">
        <v>135</v>
      </c>
      <c r="I95" s="25">
        <f>I96</f>
        <v>23518</v>
      </c>
      <c r="J95" s="25">
        <f>J96</f>
        <v>0</v>
      </c>
      <c r="K95" s="25">
        <f t="shared" si="20"/>
        <v>23518</v>
      </c>
      <c r="L95" s="126"/>
      <c r="M95" s="25"/>
      <c r="N95" s="25"/>
      <c r="O95" s="25">
        <f t="shared" si="21"/>
        <v>0</v>
      </c>
      <c r="P95" s="126"/>
      <c r="Q95" s="25">
        <f t="shared" si="16"/>
        <v>23518</v>
      </c>
      <c r="R95" s="25">
        <f t="shared" si="17"/>
        <v>0</v>
      </c>
      <c r="S95" s="25">
        <f t="shared" si="18"/>
        <v>23518</v>
      </c>
    </row>
    <row r="96" spans="2:19" x14ac:dyDescent="0.2">
      <c r="B96" s="79">
        <f t="shared" si="19"/>
        <v>11</v>
      </c>
      <c r="C96" s="4"/>
      <c r="D96" s="4"/>
      <c r="E96" s="4"/>
      <c r="F96" s="56"/>
      <c r="G96" s="4"/>
      <c r="H96" s="4" t="s">
        <v>429</v>
      </c>
      <c r="I96" s="26">
        <f>19000+15000-9700-5300+4518</f>
        <v>23518</v>
      </c>
      <c r="J96" s="26"/>
      <c r="K96" s="26">
        <f t="shared" si="20"/>
        <v>23518</v>
      </c>
      <c r="L96" s="80"/>
      <c r="M96" s="26"/>
      <c r="N96" s="26"/>
      <c r="O96" s="26">
        <f t="shared" si="21"/>
        <v>0</v>
      </c>
      <c r="P96" s="80"/>
      <c r="Q96" s="26">
        <f t="shared" si="16"/>
        <v>23518</v>
      </c>
      <c r="R96" s="26">
        <f t="shared" si="17"/>
        <v>0</v>
      </c>
      <c r="S96" s="26">
        <f t="shared" si="18"/>
        <v>23518</v>
      </c>
    </row>
    <row r="137" spans="2:19" ht="27" x14ac:dyDescent="0.35">
      <c r="B137" s="248" t="s">
        <v>284</v>
      </c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</row>
    <row r="138" spans="2:19" ht="12.75" customHeight="1" x14ac:dyDescent="0.2">
      <c r="B138" s="260" t="s">
        <v>281</v>
      </c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2"/>
      <c r="P138" s="208"/>
      <c r="Q138" s="250" t="s">
        <v>779</v>
      </c>
      <c r="R138" s="250" t="s">
        <v>773</v>
      </c>
      <c r="S138" s="250" t="s">
        <v>774</v>
      </c>
    </row>
    <row r="139" spans="2:19" ht="12.75" customHeight="1" x14ac:dyDescent="0.2">
      <c r="B139" s="253" t="s">
        <v>112</v>
      </c>
      <c r="C139" s="255" t="s">
        <v>120</v>
      </c>
      <c r="D139" s="255" t="s">
        <v>121</v>
      </c>
      <c r="E139" s="257" t="s">
        <v>125</v>
      </c>
      <c r="F139" s="255" t="s">
        <v>122</v>
      </c>
      <c r="G139" s="255" t="s">
        <v>123</v>
      </c>
      <c r="H139" s="263" t="s">
        <v>124</v>
      </c>
      <c r="I139" s="250" t="s">
        <v>777</v>
      </c>
      <c r="J139" s="251" t="s">
        <v>773</v>
      </c>
      <c r="K139" s="251" t="s">
        <v>775</v>
      </c>
      <c r="L139" s="197"/>
      <c r="M139" s="250" t="s">
        <v>778</v>
      </c>
      <c r="N139" s="251" t="s">
        <v>773</v>
      </c>
      <c r="O139" s="251" t="s">
        <v>776</v>
      </c>
      <c r="P139" s="198"/>
      <c r="Q139" s="251"/>
      <c r="R139" s="251"/>
      <c r="S139" s="251"/>
    </row>
    <row r="140" spans="2:19" x14ac:dyDescent="0.2">
      <c r="B140" s="253"/>
      <c r="C140" s="255"/>
      <c r="D140" s="255"/>
      <c r="E140" s="258"/>
      <c r="F140" s="255"/>
      <c r="G140" s="255"/>
      <c r="H140" s="263"/>
      <c r="I140" s="251"/>
      <c r="J140" s="251"/>
      <c r="K140" s="251"/>
      <c r="L140" s="198"/>
      <c r="M140" s="251"/>
      <c r="N140" s="251"/>
      <c r="O140" s="251"/>
      <c r="P140" s="198"/>
      <c r="Q140" s="251"/>
      <c r="R140" s="251"/>
      <c r="S140" s="251"/>
    </row>
    <row r="141" spans="2:19" x14ac:dyDescent="0.2">
      <c r="B141" s="253"/>
      <c r="C141" s="255"/>
      <c r="D141" s="255"/>
      <c r="E141" s="258"/>
      <c r="F141" s="255"/>
      <c r="G141" s="255"/>
      <c r="H141" s="263"/>
      <c r="I141" s="251"/>
      <c r="J141" s="251"/>
      <c r="K141" s="251"/>
      <c r="L141" s="198"/>
      <c r="M141" s="251"/>
      <c r="N141" s="251"/>
      <c r="O141" s="251"/>
      <c r="P141" s="198"/>
      <c r="Q141" s="251"/>
      <c r="R141" s="251"/>
      <c r="S141" s="251"/>
    </row>
    <row r="142" spans="2:19" ht="13.5" thickBot="1" x14ac:dyDescent="0.25">
      <c r="B142" s="254"/>
      <c r="C142" s="256"/>
      <c r="D142" s="256"/>
      <c r="E142" s="259"/>
      <c r="F142" s="256"/>
      <c r="G142" s="256"/>
      <c r="H142" s="264"/>
      <c r="I142" s="252"/>
      <c r="J142" s="252"/>
      <c r="K142" s="252"/>
      <c r="L142" s="199"/>
      <c r="M142" s="252"/>
      <c r="N142" s="252"/>
      <c r="O142" s="252"/>
      <c r="P142" s="199"/>
      <c r="Q142" s="252"/>
      <c r="R142" s="252"/>
      <c r="S142" s="252"/>
    </row>
    <row r="143" spans="2:19" ht="16.5" thickTop="1" x14ac:dyDescent="0.2">
      <c r="B143" s="78">
        <v>1</v>
      </c>
      <c r="C143" s="265" t="s">
        <v>284</v>
      </c>
      <c r="D143" s="266"/>
      <c r="E143" s="266"/>
      <c r="F143" s="266"/>
      <c r="G143" s="266"/>
      <c r="H143" s="267"/>
      <c r="I143" s="110">
        <f>I224+I214+I210+I195+I168+I164+I147+I144</f>
        <v>3706575</v>
      </c>
      <c r="J143" s="110">
        <f>J224+J214+J210+J195+J168+J164+J147+J144</f>
        <v>0</v>
      </c>
      <c r="K143" s="110">
        <f>I143+J143</f>
        <v>3706575</v>
      </c>
      <c r="L143" s="200"/>
      <c r="M143" s="110">
        <f>M224+M214+M210+M195+M168+M164+M147+M144</f>
        <v>423830</v>
      </c>
      <c r="N143" s="110">
        <f>N224+N214+N210+N195+N168+N164+N147+N144</f>
        <v>0</v>
      </c>
      <c r="O143" s="110">
        <f>M143+N143</f>
        <v>423830</v>
      </c>
      <c r="P143" s="200"/>
      <c r="Q143" s="47">
        <f>I143+M143</f>
        <v>4130405</v>
      </c>
      <c r="R143" s="47">
        <f t="shared" ref="R143:S158" si="22">J143+N143</f>
        <v>0</v>
      </c>
      <c r="S143" s="47">
        <f t="shared" si="22"/>
        <v>4130405</v>
      </c>
    </row>
    <row r="144" spans="2:19" ht="15" x14ac:dyDescent="0.2">
      <c r="B144" s="79">
        <f t="shared" ref="B144:B207" si="23">B143+1</f>
        <v>2</v>
      </c>
      <c r="C144" s="191">
        <v>1</v>
      </c>
      <c r="D144" s="245" t="s">
        <v>149</v>
      </c>
      <c r="E144" s="246"/>
      <c r="F144" s="246"/>
      <c r="G144" s="246"/>
      <c r="H144" s="247"/>
      <c r="I144" s="48">
        <f>I145</f>
        <v>55400</v>
      </c>
      <c r="J144" s="48">
        <f>J145</f>
        <v>0</v>
      </c>
      <c r="K144" s="48">
        <f t="shared" ref="K144:K207" si="24">I144+J144</f>
        <v>55400</v>
      </c>
      <c r="L144" s="201"/>
      <c r="M144" s="48">
        <f>M145</f>
        <v>0</v>
      </c>
      <c r="N144" s="48">
        <f>N145</f>
        <v>0</v>
      </c>
      <c r="O144" s="48">
        <f t="shared" ref="O144:O207" si="25">M144+N144</f>
        <v>0</v>
      </c>
      <c r="P144" s="201"/>
      <c r="Q144" s="48">
        <f t="shared" ref="Q144:Q207" si="26">I144+M144</f>
        <v>55400</v>
      </c>
      <c r="R144" s="48">
        <f t="shared" si="22"/>
        <v>0</v>
      </c>
      <c r="S144" s="48">
        <f t="shared" si="22"/>
        <v>55400</v>
      </c>
    </row>
    <row r="145" spans="2:19" x14ac:dyDescent="0.2">
      <c r="B145" s="79">
        <f t="shared" si="23"/>
        <v>3</v>
      </c>
      <c r="C145" s="15"/>
      <c r="D145" s="15"/>
      <c r="E145" s="15"/>
      <c r="F145" s="55" t="s">
        <v>74</v>
      </c>
      <c r="G145" s="15">
        <v>630</v>
      </c>
      <c r="H145" s="15" t="s">
        <v>128</v>
      </c>
      <c r="I145" s="52">
        <f>I146</f>
        <v>55400</v>
      </c>
      <c r="J145" s="52">
        <f>J146</f>
        <v>0</v>
      </c>
      <c r="K145" s="52">
        <f t="shared" si="24"/>
        <v>55400</v>
      </c>
      <c r="L145" s="126"/>
      <c r="M145" s="52">
        <f>M146</f>
        <v>0</v>
      </c>
      <c r="N145" s="52">
        <f>N146</f>
        <v>0</v>
      </c>
      <c r="O145" s="52">
        <f t="shared" si="25"/>
        <v>0</v>
      </c>
      <c r="P145" s="126"/>
      <c r="Q145" s="52">
        <f t="shared" si="26"/>
        <v>55400</v>
      </c>
      <c r="R145" s="52">
        <f t="shared" si="22"/>
        <v>0</v>
      </c>
      <c r="S145" s="52">
        <f t="shared" si="22"/>
        <v>55400</v>
      </c>
    </row>
    <row r="146" spans="2:19" x14ac:dyDescent="0.2">
      <c r="B146" s="79">
        <f t="shared" si="23"/>
        <v>4</v>
      </c>
      <c r="C146" s="4"/>
      <c r="D146" s="4"/>
      <c r="E146" s="4"/>
      <c r="F146" s="56" t="s">
        <v>74</v>
      </c>
      <c r="G146" s="4">
        <v>637</v>
      </c>
      <c r="H146" s="4" t="s">
        <v>129</v>
      </c>
      <c r="I146" s="26">
        <f>73000-17600</f>
        <v>55400</v>
      </c>
      <c r="J146" s="26"/>
      <c r="K146" s="26">
        <f t="shared" si="24"/>
        <v>55400</v>
      </c>
      <c r="L146" s="80"/>
      <c r="M146" s="26"/>
      <c r="N146" s="26"/>
      <c r="O146" s="26">
        <f t="shared" si="25"/>
        <v>0</v>
      </c>
      <c r="P146" s="80"/>
      <c r="Q146" s="26">
        <f t="shared" si="26"/>
        <v>55400</v>
      </c>
      <c r="R146" s="26">
        <f t="shared" si="22"/>
        <v>0</v>
      </c>
      <c r="S146" s="26">
        <f t="shared" si="22"/>
        <v>55400</v>
      </c>
    </row>
    <row r="147" spans="2:19" ht="15" x14ac:dyDescent="0.2">
      <c r="B147" s="79">
        <f t="shared" si="23"/>
        <v>5</v>
      </c>
      <c r="C147" s="191">
        <v>2</v>
      </c>
      <c r="D147" s="245" t="s">
        <v>148</v>
      </c>
      <c r="E147" s="246"/>
      <c r="F147" s="246"/>
      <c r="G147" s="246"/>
      <c r="H147" s="247"/>
      <c r="I147" s="48">
        <f>I158+I151+I148</f>
        <v>90570</v>
      </c>
      <c r="J147" s="48">
        <f>J158+J151+J148</f>
        <v>0</v>
      </c>
      <c r="K147" s="48">
        <f t="shared" si="24"/>
        <v>90570</v>
      </c>
      <c r="L147" s="201"/>
      <c r="M147" s="48">
        <f>M158+M151+M148</f>
        <v>139010</v>
      </c>
      <c r="N147" s="48">
        <f>N158+N151+N148</f>
        <v>0</v>
      </c>
      <c r="O147" s="48">
        <f t="shared" si="25"/>
        <v>139010</v>
      </c>
      <c r="P147" s="201"/>
      <c r="Q147" s="48">
        <f t="shared" si="26"/>
        <v>229580</v>
      </c>
      <c r="R147" s="48">
        <f t="shared" si="22"/>
        <v>0</v>
      </c>
      <c r="S147" s="48">
        <f t="shared" si="22"/>
        <v>229580</v>
      </c>
    </row>
    <row r="148" spans="2:19" ht="15" x14ac:dyDescent="0.25">
      <c r="B148" s="79">
        <f t="shared" si="23"/>
        <v>6</v>
      </c>
      <c r="C148" s="190"/>
      <c r="D148" s="190">
        <v>1</v>
      </c>
      <c r="E148" s="268" t="s">
        <v>154</v>
      </c>
      <c r="F148" s="246"/>
      <c r="G148" s="246"/>
      <c r="H148" s="247"/>
      <c r="I148" s="49">
        <f>I149</f>
        <v>2300</v>
      </c>
      <c r="J148" s="49">
        <f>J149</f>
        <v>0</v>
      </c>
      <c r="K148" s="49">
        <f t="shared" si="24"/>
        <v>2300</v>
      </c>
      <c r="L148" s="202"/>
      <c r="M148" s="49">
        <f>M149</f>
        <v>0</v>
      </c>
      <c r="N148" s="49">
        <f>N149</f>
        <v>0</v>
      </c>
      <c r="O148" s="49">
        <f t="shared" si="25"/>
        <v>0</v>
      </c>
      <c r="P148" s="202"/>
      <c r="Q148" s="49">
        <f t="shared" si="26"/>
        <v>2300</v>
      </c>
      <c r="R148" s="49">
        <f t="shared" si="22"/>
        <v>0</v>
      </c>
      <c r="S148" s="49">
        <f t="shared" si="22"/>
        <v>2300</v>
      </c>
    </row>
    <row r="149" spans="2:19" x14ac:dyDescent="0.2">
      <c r="B149" s="79">
        <f t="shared" si="23"/>
        <v>7</v>
      </c>
      <c r="C149" s="15"/>
      <c r="D149" s="15"/>
      <c r="E149" s="15"/>
      <c r="F149" s="55" t="s">
        <v>74</v>
      </c>
      <c r="G149" s="15">
        <v>630</v>
      </c>
      <c r="H149" s="15" t="s">
        <v>128</v>
      </c>
      <c r="I149" s="52">
        <f>I150</f>
        <v>2300</v>
      </c>
      <c r="J149" s="52">
        <f>J150</f>
        <v>0</v>
      </c>
      <c r="K149" s="52">
        <f t="shared" si="24"/>
        <v>2300</v>
      </c>
      <c r="L149" s="126"/>
      <c r="M149" s="52">
        <f>M150</f>
        <v>0</v>
      </c>
      <c r="N149" s="52">
        <f>N150</f>
        <v>0</v>
      </c>
      <c r="O149" s="52">
        <f t="shared" si="25"/>
        <v>0</v>
      </c>
      <c r="P149" s="126"/>
      <c r="Q149" s="52">
        <f t="shared" si="26"/>
        <v>2300</v>
      </c>
      <c r="R149" s="52">
        <f t="shared" si="22"/>
        <v>0</v>
      </c>
      <c r="S149" s="52">
        <f t="shared" si="22"/>
        <v>2300</v>
      </c>
    </row>
    <row r="150" spans="2:19" x14ac:dyDescent="0.2">
      <c r="B150" s="79">
        <f t="shared" si="23"/>
        <v>8</v>
      </c>
      <c r="C150" s="4"/>
      <c r="D150" s="4"/>
      <c r="E150" s="4"/>
      <c r="F150" s="56" t="s">
        <v>74</v>
      </c>
      <c r="G150" s="4">
        <v>637</v>
      </c>
      <c r="H150" s="4" t="s">
        <v>129</v>
      </c>
      <c r="I150" s="26">
        <v>2300</v>
      </c>
      <c r="J150" s="26"/>
      <c r="K150" s="26">
        <f t="shared" si="24"/>
        <v>2300</v>
      </c>
      <c r="L150" s="80"/>
      <c r="M150" s="26"/>
      <c r="N150" s="26"/>
      <c r="O150" s="26">
        <f t="shared" si="25"/>
        <v>0</v>
      </c>
      <c r="P150" s="80"/>
      <c r="Q150" s="26">
        <f t="shared" si="26"/>
        <v>2300</v>
      </c>
      <c r="R150" s="26">
        <f t="shared" si="22"/>
        <v>0</v>
      </c>
      <c r="S150" s="26">
        <f t="shared" si="22"/>
        <v>2300</v>
      </c>
    </row>
    <row r="151" spans="2:19" ht="15" x14ac:dyDescent="0.25">
      <c r="B151" s="79">
        <f t="shared" si="23"/>
        <v>9</v>
      </c>
      <c r="C151" s="190"/>
      <c r="D151" s="190">
        <v>2</v>
      </c>
      <c r="E151" s="268" t="s">
        <v>147</v>
      </c>
      <c r="F151" s="246"/>
      <c r="G151" s="246"/>
      <c r="H151" s="247"/>
      <c r="I151" s="49">
        <f>I152+I155</f>
        <v>16160</v>
      </c>
      <c r="J151" s="49">
        <f>J152+J155</f>
        <v>0</v>
      </c>
      <c r="K151" s="49">
        <f t="shared" si="24"/>
        <v>16160</v>
      </c>
      <c r="L151" s="202"/>
      <c r="M151" s="49">
        <f>M152+M155</f>
        <v>100</v>
      </c>
      <c r="N151" s="49">
        <f>N152+N155</f>
        <v>0</v>
      </c>
      <c r="O151" s="49">
        <f t="shared" si="25"/>
        <v>100</v>
      </c>
      <c r="P151" s="202"/>
      <c r="Q151" s="49">
        <f t="shared" si="26"/>
        <v>16260</v>
      </c>
      <c r="R151" s="49">
        <f t="shared" si="22"/>
        <v>0</v>
      </c>
      <c r="S151" s="49">
        <f t="shared" si="22"/>
        <v>16260</v>
      </c>
    </row>
    <row r="152" spans="2:19" x14ac:dyDescent="0.2">
      <c r="B152" s="79">
        <f t="shared" si="23"/>
        <v>10</v>
      </c>
      <c r="C152" s="15"/>
      <c r="D152" s="15"/>
      <c r="E152" s="15"/>
      <c r="F152" s="55" t="s">
        <v>74</v>
      </c>
      <c r="G152" s="15">
        <v>630</v>
      </c>
      <c r="H152" s="15" t="s">
        <v>128</v>
      </c>
      <c r="I152" s="52">
        <f>I154+I153</f>
        <v>16160</v>
      </c>
      <c r="J152" s="52">
        <f>J154+J153</f>
        <v>0</v>
      </c>
      <c r="K152" s="52">
        <f t="shared" si="24"/>
        <v>16160</v>
      </c>
      <c r="L152" s="126"/>
      <c r="M152" s="52">
        <f>M154+M153</f>
        <v>0</v>
      </c>
      <c r="N152" s="52">
        <f>N154+N153</f>
        <v>0</v>
      </c>
      <c r="O152" s="52">
        <f t="shared" si="25"/>
        <v>0</v>
      </c>
      <c r="P152" s="126"/>
      <c r="Q152" s="52">
        <f t="shared" si="26"/>
        <v>16160</v>
      </c>
      <c r="R152" s="52">
        <f t="shared" si="22"/>
        <v>0</v>
      </c>
      <c r="S152" s="52">
        <f t="shared" si="22"/>
        <v>16160</v>
      </c>
    </row>
    <row r="153" spans="2:19" x14ac:dyDescent="0.2">
      <c r="B153" s="79">
        <f t="shared" si="23"/>
        <v>11</v>
      </c>
      <c r="C153" s="4"/>
      <c r="D153" s="4"/>
      <c r="E153" s="4"/>
      <c r="F153" s="56" t="s">
        <v>74</v>
      </c>
      <c r="G153" s="4">
        <v>636</v>
      </c>
      <c r="H153" s="4" t="s">
        <v>133</v>
      </c>
      <c r="I153" s="26">
        <v>9410</v>
      </c>
      <c r="J153" s="26"/>
      <c r="K153" s="26">
        <f t="shared" si="24"/>
        <v>9410</v>
      </c>
      <c r="L153" s="80"/>
      <c r="M153" s="26"/>
      <c r="N153" s="26"/>
      <c r="O153" s="26">
        <f t="shared" si="25"/>
        <v>0</v>
      </c>
      <c r="P153" s="80"/>
      <c r="Q153" s="26">
        <f t="shared" si="26"/>
        <v>9410</v>
      </c>
      <c r="R153" s="26">
        <f t="shared" si="22"/>
        <v>0</v>
      </c>
      <c r="S153" s="26">
        <f t="shared" si="22"/>
        <v>9410</v>
      </c>
    </row>
    <row r="154" spans="2:19" x14ac:dyDescent="0.2">
      <c r="B154" s="79">
        <f t="shared" si="23"/>
        <v>12</v>
      </c>
      <c r="C154" s="4"/>
      <c r="D154" s="4"/>
      <c r="E154" s="4"/>
      <c r="F154" s="56" t="s">
        <v>74</v>
      </c>
      <c r="G154" s="4">
        <v>637</v>
      </c>
      <c r="H154" s="4" t="s">
        <v>129</v>
      </c>
      <c r="I154" s="26">
        <f>10750-4000</f>
        <v>6750</v>
      </c>
      <c r="J154" s="26"/>
      <c r="K154" s="26">
        <f t="shared" si="24"/>
        <v>6750</v>
      </c>
      <c r="L154" s="80"/>
      <c r="M154" s="26"/>
      <c r="N154" s="26"/>
      <c r="O154" s="26">
        <f t="shared" si="25"/>
        <v>0</v>
      </c>
      <c r="P154" s="80"/>
      <c r="Q154" s="26">
        <f t="shared" si="26"/>
        <v>6750</v>
      </c>
      <c r="R154" s="26">
        <f t="shared" si="22"/>
        <v>0</v>
      </c>
      <c r="S154" s="26">
        <f t="shared" si="22"/>
        <v>6750</v>
      </c>
    </row>
    <row r="155" spans="2:19" x14ac:dyDescent="0.2">
      <c r="B155" s="79">
        <f t="shared" si="23"/>
        <v>13</v>
      </c>
      <c r="C155" s="15"/>
      <c r="D155" s="15"/>
      <c r="E155" s="15"/>
      <c r="F155" s="55" t="s">
        <v>74</v>
      </c>
      <c r="G155" s="15">
        <v>710</v>
      </c>
      <c r="H155" s="15" t="s">
        <v>184</v>
      </c>
      <c r="I155" s="52">
        <f>I156</f>
        <v>0</v>
      </c>
      <c r="J155" s="52">
        <f>J156</f>
        <v>0</v>
      </c>
      <c r="K155" s="52">
        <f t="shared" si="24"/>
        <v>0</v>
      </c>
      <c r="L155" s="126"/>
      <c r="M155" s="52">
        <f>SUM(M156:M157)</f>
        <v>100</v>
      </c>
      <c r="N155" s="52">
        <f>SUM(N156:N157)</f>
        <v>0</v>
      </c>
      <c r="O155" s="52">
        <f t="shared" si="25"/>
        <v>100</v>
      </c>
      <c r="P155" s="126"/>
      <c r="Q155" s="52">
        <f t="shared" si="26"/>
        <v>100</v>
      </c>
      <c r="R155" s="52">
        <f t="shared" si="22"/>
        <v>0</v>
      </c>
      <c r="S155" s="52">
        <f t="shared" si="22"/>
        <v>100</v>
      </c>
    </row>
    <row r="156" spans="2:19" x14ac:dyDescent="0.2">
      <c r="B156" s="79">
        <f t="shared" si="23"/>
        <v>14</v>
      </c>
      <c r="C156" s="4"/>
      <c r="D156" s="4"/>
      <c r="E156" s="4"/>
      <c r="F156" s="89" t="s">
        <v>74</v>
      </c>
      <c r="G156" s="90">
        <v>712</v>
      </c>
      <c r="H156" s="90" t="s">
        <v>244</v>
      </c>
      <c r="I156" s="91"/>
      <c r="J156" s="91"/>
      <c r="K156" s="91">
        <f t="shared" si="24"/>
        <v>0</v>
      </c>
      <c r="L156" s="80"/>
      <c r="M156" s="91">
        <v>100</v>
      </c>
      <c r="N156" s="91"/>
      <c r="O156" s="91">
        <f t="shared" si="25"/>
        <v>100</v>
      </c>
      <c r="P156" s="80"/>
      <c r="Q156" s="91">
        <f t="shared" si="26"/>
        <v>100</v>
      </c>
      <c r="R156" s="91">
        <f t="shared" si="22"/>
        <v>0</v>
      </c>
      <c r="S156" s="91">
        <f t="shared" si="22"/>
        <v>100</v>
      </c>
    </row>
    <row r="157" spans="2:19" x14ac:dyDescent="0.2">
      <c r="B157" s="79">
        <f t="shared" si="23"/>
        <v>15</v>
      </c>
      <c r="C157" s="4"/>
      <c r="D157" s="4"/>
      <c r="E157" s="4"/>
      <c r="F157" s="89" t="s">
        <v>74</v>
      </c>
      <c r="G157" s="90">
        <v>712</v>
      </c>
      <c r="H157" s="90" t="s">
        <v>491</v>
      </c>
      <c r="I157" s="91"/>
      <c r="J157" s="91"/>
      <c r="K157" s="91">
        <f t="shared" si="24"/>
        <v>0</v>
      </c>
      <c r="L157" s="80"/>
      <c r="M157" s="91">
        <f>32700-32700</f>
        <v>0</v>
      </c>
      <c r="N157" s="91">
        <f>32700-32700</f>
        <v>0</v>
      </c>
      <c r="O157" s="91">
        <f t="shared" si="25"/>
        <v>0</v>
      </c>
      <c r="P157" s="80"/>
      <c r="Q157" s="91">
        <f t="shared" si="26"/>
        <v>0</v>
      </c>
      <c r="R157" s="91">
        <f t="shared" si="22"/>
        <v>0</v>
      </c>
      <c r="S157" s="91">
        <f t="shared" si="22"/>
        <v>0</v>
      </c>
    </row>
    <row r="158" spans="2:19" ht="15" x14ac:dyDescent="0.25">
      <c r="B158" s="79">
        <f t="shared" si="23"/>
        <v>16</v>
      </c>
      <c r="C158" s="190"/>
      <c r="D158" s="190">
        <v>3</v>
      </c>
      <c r="E158" s="268" t="s">
        <v>220</v>
      </c>
      <c r="F158" s="246"/>
      <c r="G158" s="246"/>
      <c r="H158" s="247"/>
      <c r="I158" s="49">
        <f>I159+I162</f>
        <v>72110</v>
      </c>
      <c r="J158" s="49">
        <f>J159+J162</f>
        <v>0</v>
      </c>
      <c r="K158" s="49">
        <f t="shared" si="24"/>
        <v>72110</v>
      </c>
      <c r="L158" s="202"/>
      <c r="M158" s="49">
        <f>M159+M162</f>
        <v>138910</v>
      </c>
      <c r="N158" s="49">
        <f>N159+N162</f>
        <v>0</v>
      </c>
      <c r="O158" s="49">
        <f t="shared" si="25"/>
        <v>138910</v>
      </c>
      <c r="P158" s="202"/>
      <c r="Q158" s="49">
        <f t="shared" si="26"/>
        <v>211020</v>
      </c>
      <c r="R158" s="49">
        <f t="shared" si="22"/>
        <v>0</v>
      </c>
      <c r="S158" s="49">
        <f t="shared" si="22"/>
        <v>211020</v>
      </c>
    </row>
    <row r="159" spans="2:19" x14ac:dyDescent="0.2">
      <c r="B159" s="79">
        <f t="shared" si="23"/>
        <v>17</v>
      </c>
      <c r="C159" s="15"/>
      <c r="D159" s="15"/>
      <c r="E159" s="15"/>
      <c r="F159" s="55" t="s">
        <v>74</v>
      </c>
      <c r="G159" s="15">
        <v>630</v>
      </c>
      <c r="H159" s="15" t="s">
        <v>128</v>
      </c>
      <c r="I159" s="52">
        <f>I161+I160</f>
        <v>72110</v>
      </c>
      <c r="J159" s="52">
        <f>J161+J160</f>
        <v>0</v>
      </c>
      <c r="K159" s="52">
        <f t="shared" si="24"/>
        <v>72110</v>
      </c>
      <c r="L159" s="126"/>
      <c r="M159" s="52">
        <f>M161+M160</f>
        <v>0</v>
      </c>
      <c r="N159" s="52">
        <f>N161+N160</f>
        <v>0</v>
      </c>
      <c r="O159" s="52">
        <f t="shared" si="25"/>
        <v>0</v>
      </c>
      <c r="P159" s="126"/>
      <c r="Q159" s="52">
        <f t="shared" si="26"/>
        <v>72110</v>
      </c>
      <c r="R159" s="52">
        <f t="shared" ref="R159:R173" si="27">J159+N159</f>
        <v>0</v>
      </c>
      <c r="S159" s="52">
        <f t="shared" ref="S159:S173" si="28">K159+O159</f>
        <v>72110</v>
      </c>
    </row>
    <row r="160" spans="2:19" x14ac:dyDescent="0.2">
      <c r="B160" s="79">
        <f t="shared" si="23"/>
        <v>18</v>
      </c>
      <c r="C160" s="4"/>
      <c r="D160" s="4"/>
      <c r="E160" s="4"/>
      <c r="F160" s="56" t="s">
        <v>74</v>
      </c>
      <c r="G160" s="4">
        <v>636</v>
      </c>
      <c r="H160" s="4" t="s">
        <v>133</v>
      </c>
      <c r="I160" s="26">
        <v>62250</v>
      </c>
      <c r="J160" s="26"/>
      <c r="K160" s="26">
        <f t="shared" si="24"/>
        <v>62250</v>
      </c>
      <c r="L160" s="80"/>
      <c r="M160" s="26"/>
      <c r="N160" s="26"/>
      <c r="O160" s="26">
        <f t="shared" si="25"/>
        <v>0</v>
      </c>
      <c r="P160" s="80"/>
      <c r="Q160" s="26">
        <f t="shared" si="26"/>
        <v>62250</v>
      </c>
      <c r="R160" s="26">
        <f t="shared" si="27"/>
        <v>0</v>
      </c>
      <c r="S160" s="26">
        <f t="shared" si="28"/>
        <v>62250</v>
      </c>
    </row>
    <row r="161" spans="2:19" x14ac:dyDescent="0.2">
      <c r="B161" s="79">
        <f t="shared" si="23"/>
        <v>19</v>
      </c>
      <c r="C161" s="4"/>
      <c r="D161" s="4"/>
      <c r="E161" s="4"/>
      <c r="F161" s="56" t="s">
        <v>74</v>
      </c>
      <c r="G161" s="4">
        <v>637</v>
      </c>
      <c r="H161" s="4" t="s">
        <v>129</v>
      </c>
      <c r="I161" s="26">
        <v>9860</v>
      </c>
      <c r="J161" s="26"/>
      <c r="K161" s="26">
        <f t="shared" si="24"/>
        <v>9860</v>
      </c>
      <c r="L161" s="80"/>
      <c r="M161" s="26"/>
      <c r="N161" s="26"/>
      <c r="O161" s="26">
        <f t="shared" si="25"/>
        <v>0</v>
      </c>
      <c r="P161" s="80"/>
      <c r="Q161" s="26">
        <f t="shared" si="26"/>
        <v>9860</v>
      </c>
      <c r="R161" s="26">
        <f t="shared" si="27"/>
        <v>0</v>
      </c>
      <c r="S161" s="26">
        <f t="shared" si="28"/>
        <v>9860</v>
      </c>
    </row>
    <row r="162" spans="2:19" x14ac:dyDescent="0.2">
      <c r="B162" s="79">
        <f t="shared" si="23"/>
        <v>20</v>
      </c>
      <c r="C162" s="15"/>
      <c r="D162" s="15"/>
      <c r="E162" s="15"/>
      <c r="F162" s="55" t="s">
        <v>74</v>
      </c>
      <c r="G162" s="15">
        <v>710</v>
      </c>
      <c r="H162" s="15" t="s">
        <v>184</v>
      </c>
      <c r="I162" s="52">
        <f>I163</f>
        <v>0</v>
      </c>
      <c r="J162" s="52">
        <f>J163</f>
        <v>0</v>
      </c>
      <c r="K162" s="52">
        <f t="shared" si="24"/>
        <v>0</v>
      </c>
      <c r="L162" s="126"/>
      <c r="M162" s="52">
        <f>M163</f>
        <v>138910</v>
      </c>
      <c r="N162" s="52">
        <f>N163</f>
        <v>0</v>
      </c>
      <c r="O162" s="52">
        <f t="shared" si="25"/>
        <v>138910</v>
      </c>
      <c r="P162" s="126"/>
      <c r="Q162" s="52">
        <f t="shared" si="26"/>
        <v>138910</v>
      </c>
      <c r="R162" s="52">
        <f t="shared" si="27"/>
        <v>0</v>
      </c>
      <c r="S162" s="52">
        <f t="shared" si="28"/>
        <v>138910</v>
      </c>
    </row>
    <row r="163" spans="2:19" x14ac:dyDescent="0.2">
      <c r="B163" s="79">
        <f t="shared" si="23"/>
        <v>21</v>
      </c>
      <c r="C163" s="4"/>
      <c r="D163" s="4"/>
      <c r="E163" s="4"/>
      <c r="F163" s="89" t="s">
        <v>74</v>
      </c>
      <c r="G163" s="90">
        <v>711</v>
      </c>
      <c r="H163" s="90" t="s">
        <v>223</v>
      </c>
      <c r="I163" s="91"/>
      <c r="J163" s="91"/>
      <c r="K163" s="91">
        <f t="shared" si="24"/>
        <v>0</v>
      </c>
      <c r="L163" s="80"/>
      <c r="M163" s="91">
        <f>275000-100-2700+5000-8000-2394-10000-5696+20000-91000-41200</f>
        <v>138910</v>
      </c>
      <c r="N163" s="91"/>
      <c r="O163" s="91">
        <f t="shared" si="25"/>
        <v>138910</v>
      </c>
      <c r="P163" s="80"/>
      <c r="Q163" s="91">
        <f t="shared" si="26"/>
        <v>138910</v>
      </c>
      <c r="R163" s="91">
        <f t="shared" si="27"/>
        <v>0</v>
      </c>
      <c r="S163" s="91">
        <f t="shared" si="28"/>
        <v>138910</v>
      </c>
    </row>
    <row r="164" spans="2:19" ht="15" x14ac:dyDescent="0.2">
      <c r="B164" s="79">
        <f t="shared" si="23"/>
        <v>22</v>
      </c>
      <c r="C164" s="191">
        <v>3</v>
      </c>
      <c r="D164" s="245" t="s">
        <v>155</v>
      </c>
      <c r="E164" s="246"/>
      <c r="F164" s="246"/>
      <c r="G164" s="246"/>
      <c r="H164" s="247"/>
      <c r="I164" s="48">
        <f>I165</f>
        <v>7100</v>
      </c>
      <c r="J164" s="48">
        <f>J165</f>
        <v>0</v>
      </c>
      <c r="K164" s="48">
        <f t="shared" si="24"/>
        <v>7100</v>
      </c>
      <c r="L164" s="201"/>
      <c r="M164" s="48">
        <f>M165</f>
        <v>0</v>
      </c>
      <c r="N164" s="48">
        <f>N165</f>
        <v>0</v>
      </c>
      <c r="O164" s="48">
        <f t="shared" si="25"/>
        <v>0</v>
      </c>
      <c r="P164" s="201"/>
      <c r="Q164" s="48">
        <f t="shared" si="26"/>
        <v>7100</v>
      </c>
      <c r="R164" s="48">
        <f t="shared" si="27"/>
        <v>0</v>
      </c>
      <c r="S164" s="48">
        <f t="shared" si="28"/>
        <v>7100</v>
      </c>
    </row>
    <row r="165" spans="2:19" ht="12.75" customHeight="1" x14ac:dyDescent="0.2">
      <c r="B165" s="79">
        <f t="shared" si="23"/>
        <v>23</v>
      </c>
      <c r="C165" s="15"/>
      <c r="D165" s="15"/>
      <c r="E165" s="15"/>
      <c r="F165" s="55" t="s">
        <v>74</v>
      </c>
      <c r="G165" s="15">
        <v>630</v>
      </c>
      <c r="H165" s="15" t="s">
        <v>128</v>
      </c>
      <c r="I165" s="52">
        <f>I167+I166</f>
        <v>7100</v>
      </c>
      <c r="J165" s="52">
        <f>J167+J166</f>
        <v>0</v>
      </c>
      <c r="K165" s="52">
        <f t="shared" si="24"/>
        <v>7100</v>
      </c>
      <c r="L165" s="126"/>
      <c r="M165" s="52">
        <f>M167+M166</f>
        <v>0</v>
      </c>
      <c r="N165" s="52">
        <f>N167+N166</f>
        <v>0</v>
      </c>
      <c r="O165" s="52">
        <f t="shared" si="25"/>
        <v>0</v>
      </c>
      <c r="P165" s="126"/>
      <c r="Q165" s="52">
        <f t="shared" si="26"/>
        <v>7100</v>
      </c>
      <c r="R165" s="52">
        <f t="shared" si="27"/>
        <v>0</v>
      </c>
      <c r="S165" s="52">
        <f t="shared" si="28"/>
        <v>7100</v>
      </c>
    </row>
    <row r="166" spans="2:19" ht="15.75" customHeight="1" x14ac:dyDescent="0.2">
      <c r="B166" s="79">
        <f t="shared" si="23"/>
        <v>24</v>
      </c>
      <c r="C166" s="4"/>
      <c r="D166" s="4"/>
      <c r="E166" s="4"/>
      <c r="F166" s="56" t="s">
        <v>74</v>
      </c>
      <c r="G166" s="4">
        <v>633</v>
      </c>
      <c r="H166" s="4" t="s">
        <v>132</v>
      </c>
      <c r="I166" s="26">
        <v>500</v>
      </c>
      <c r="J166" s="26"/>
      <c r="K166" s="26">
        <f t="shared" si="24"/>
        <v>500</v>
      </c>
      <c r="L166" s="80"/>
      <c r="M166" s="26"/>
      <c r="N166" s="26"/>
      <c r="O166" s="26">
        <f t="shared" si="25"/>
        <v>0</v>
      </c>
      <c r="P166" s="80"/>
      <c r="Q166" s="26">
        <f t="shared" si="26"/>
        <v>500</v>
      </c>
      <c r="R166" s="26">
        <f t="shared" si="27"/>
        <v>0</v>
      </c>
      <c r="S166" s="26">
        <f t="shared" si="28"/>
        <v>500</v>
      </c>
    </row>
    <row r="167" spans="2:19" x14ac:dyDescent="0.2">
      <c r="B167" s="79">
        <f t="shared" si="23"/>
        <v>25</v>
      </c>
      <c r="C167" s="4"/>
      <c r="D167" s="4"/>
      <c r="E167" s="4"/>
      <c r="F167" s="56" t="s">
        <v>74</v>
      </c>
      <c r="G167" s="4">
        <v>637</v>
      </c>
      <c r="H167" s="4" t="s">
        <v>129</v>
      </c>
      <c r="I167" s="26">
        <v>6600</v>
      </c>
      <c r="J167" s="26"/>
      <c r="K167" s="26">
        <f t="shared" si="24"/>
        <v>6600</v>
      </c>
      <c r="L167" s="80"/>
      <c r="M167" s="26"/>
      <c r="N167" s="26"/>
      <c r="O167" s="26">
        <f t="shared" si="25"/>
        <v>0</v>
      </c>
      <c r="P167" s="80"/>
      <c r="Q167" s="26">
        <f t="shared" si="26"/>
        <v>6600</v>
      </c>
      <c r="R167" s="26">
        <f t="shared" si="27"/>
        <v>0</v>
      </c>
      <c r="S167" s="26">
        <f t="shared" si="28"/>
        <v>6600</v>
      </c>
    </row>
    <row r="168" spans="2:19" ht="15" x14ac:dyDescent="0.2">
      <c r="B168" s="79">
        <f t="shared" si="23"/>
        <v>26</v>
      </c>
      <c r="C168" s="191">
        <v>4</v>
      </c>
      <c r="D168" s="245" t="s">
        <v>203</v>
      </c>
      <c r="E168" s="246"/>
      <c r="F168" s="246"/>
      <c r="G168" s="246"/>
      <c r="H168" s="247"/>
      <c r="I168" s="48">
        <f>I169+I175+I184</f>
        <v>290710</v>
      </c>
      <c r="J168" s="48">
        <f>J169+J175+J184</f>
        <v>0</v>
      </c>
      <c r="K168" s="48">
        <f t="shared" si="24"/>
        <v>290710</v>
      </c>
      <c r="L168" s="201"/>
      <c r="M168" s="48">
        <f>M169+M175+M184</f>
        <v>205510</v>
      </c>
      <c r="N168" s="48">
        <f>N169+N175+N184</f>
        <v>0</v>
      </c>
      <c r="O168" s="48">
        <f t="shared" si="25"/>
        <v>205510</v>
      </c>
      <c r="P168" s="201"/>
      <c r="Q168" s="48">
        <f t="shared" si="26"/>
        <v>496220</v>
      </c>
      <c r="R168" s="48">
        <f t="shared" si="27"/>
        <v>0</v>
      </c>
      <c r="S168" s="48">
        <f t="shared" si="28"/>
        <v>496220</v>
      </c>
    </row>
    <row r="169" spans="2:19" ht="16.5" customHeight="1" x14ac:dyDescent="0.2">
      <c r="B169" s="79">
        <f t="shared" si="23"/>
        <v>27</v>
      </c>
      <c r="C169" s="15"/>
      <c r="D169" s="15"/>
      <c r="E169" s="15"/>
      <c r="F169" s="55" t="s">
        <v>74</v>
      </c>
      <c r="G169" s="15">
        <v>630</v>
      </c>
      <c r="H169" s="15" t="s">
        <v>128</v>
      </c>
      <c r="I169" s="52">
        <f>I171+I170+I172+I173+I174</f>
        <v>43070</v>
      </c>
      <c r="J169" s="52">
        <f>J171+J170+J172+J173+J174</f>
        <v>0</v>
      </c>
      <c r="K169" s="52">
        <f t="shared" si="24"/>
        <v>43070</v>
      </c>
      <c r="L169" s="126"/>
      <c r="M169" s="52">
        <f>M171+M170+M172</f>
        <v>0</v>
      </c>
      <c r="N169" s="52">
        <f>N171+N170+N172</f>
        <v>0</v>
      </c>
      <c r="O169" s="52">
        <f t="shared" si="25"/>
        <v>0</v>
      </c>
      <c r="P169" s="126"/>
      <c r="Q169" s="52">
        <f t="shared" si="26"/>
        <v>43070</v>
      </c>
      <c r="R169" s="52">
        <f t="shared" si="27"/>
        <v>0</v>
      </c>
      <c r="S169" s="52">
        <f t="shared" si="28"/>
        <v>43070</v>
      </c>
    </row>
    <row r="170" spans="2:19" x14ac:dyDescent="0.2">
      <c r="B170" s="79">
        <f t="shared" si="23"/>
        <v>28</v>
      </c>
      <c r="C170" s="4"/>
      <c r="D170" s="4"/>
      <c r="E170" s="4"/>
      <c r="F170" s="56" t="s">
        <v>74</v>
      </c>
      <c r="G170" s="4">
        <v>635</v>
      </c>
      <c r="H170" s="4" t="s">
        <v>138</v>
      </c>
      <c r="I170" s="26">
        <f>12000-4000</f>
        <v>8000</v>
      </c>
      <c r="J170" s="26"/>
      <c r="K170" s="26">
        <f t="shared" si="24"/>
        <v>8000</v>
      </c>
      <c r="L170" s="80"/>
      <c r="M170" s="26"/>
      <c r="N170" s="26"/>
      <c r="O170" s="26">
        <f t="shared" si="25"/>
        <v>0</v>
      </c>
      <c r="P170" s="80"/>
      <c r="Q170" s="26">
        <f t="shared" si="26"/>
        <v>8000</v>
      </c>
      <c r="R170" s="26">
        <f t="shared" si="27"/>
        <v>0</v>
      </c>
      <c r="S170" s="26">
        <f t="shared" si="28"/>
        <v>8000</v>
      </c>
    </row>
    <row r="171" spans="2:19" x14ac:dyDescent="0.2">
      <c r="B171" s="79">
        <f t="shared" si="23"/>
        <v>29</v>
      </c>
      <c r="C171" s="4"/>
      <c r="D171" s="4"/>
      <c r="E171" s="4"/>
      <c r="F171" s="56" t="s">
        <v>74</v>
      </c>
      <c r="G171" s="4">
        <v>637</v>
      </c>
      <c r="H171" s="4" t="s">
        <v>129</v>
      </c>
      <c r="I171" s="26">
        <f>2570+4000+2000+1500</f>
        <v>10070</v>
      </c>
      <c r="J171" s="26"/>
      <c r="K171" s="26">
        <f t="shared" si="24"/>
        <v>10070</v>
      </c>
      <c r="L171" s="80"/>
      <c r="M171" s="26"/>
      <c r="N171" s="26"/>
      <c r="O171" s="26">
        <f t="shared" si="25"/>
        <v>0</v>
      </c>
      <c r="P171" s="80"/>
      <c r="Q171" s="26">
        <f t="shared" si="26"/>
        <v>10070</v>
      </c>
      <c r="R171" s="26">
        <f t="shared" si="27"/>
        <v>0</v>
      </c>
      <c r="S171" s="26">
        <f t="shared" si="28"/>
        <v>10070</v>
      </c>
    </row>
    <row r="172" spans="2:19" x14ac:dyDescent="0.2">
      <c r="B172" s="79">
        <f t="shared" si="23"/>
        <v>30</v>
      </c>
      <c r="C172" s="4"/>
      <c r="D172" s="4"/>
      <c r="E172" s="4"/>
      <c r="F172" s="56" t="s">
        <v>74</v>
      </c>
      <c r="G172" s="4">
        <v>630</v>
      </c>
      <c r="H172" s="4" t="s">
        <v>422</v>
      </c>
      <c r="I172" s="26">
        <v>15000</v>
      </c>
      <c r="J172" s="26"/>
      <c r="K172" s="26">
        <f t="shared" si="24"/>
        <v>15000</v>
      </c>
      <c r="L172" s="80"/>
      <c r="M172" s="26"/>
      <c r="N172" s="26"/>
      <c r="O172" s="26">
        <f t="shared" si="25"/>
        <v>0</v>
      </c>
      <c r="P172" s="80"/>
      <c r="Q172" s="26">
        <f t="shared" si="26"/>
        <v>15000</v>
      </c>
      <c r="R172" s="26">
        <f t="shared" si="27"/>
        <v>0</v>
      </c>
      <c r="S172" s="26">
        <f t="shared" si="28"/>
        <v>15000</v>
      </c>
    </row>
    <row r="173" spans="2:19" x14ac:dyDescent="0.2">
      <c r="B173" s="79">
        <f t="shared" si="23"/>
        <v>31</v>
      </c>
      <c r="C173" s="4"/>
      <c r="D173" s="4"/>
      <c r="E173" s="4"/>
      <c r="F173" s="56" t="s">
        <v>74</v>
      </c>
      <c r="G173" s="4">
        <v>637</v>
      </c>
      <c r="H173" s="4" t="s">
        <v>597</v>
      </c>
      <c r="I173" s="26">
        <f>30000-30000</f>
        <v>0</v>
      </c>
      <c r="J173" s="26"/>
      <c r="K173" s="26">
        <f t="shared" si="24"/>
        <v>0</v>
      </c>
      <c r="L173" s="80"/>
      <c r="M173" s="26"/>
      <c r="N173" s="26"/>
      <c r="O173" s="26">
        <f t="shared" si="25"/>
        <v>0</v>
      </c>
      <c r="P173" s="80"/>
      <c r="Q173" s="26">
        <f t="shared" si="26"/>
        <v>0</v>
      </c>
      <c r="R173" s="26">
        <f t="shared" si="27"/>
        <v>0</v>
      </c>
      <c r="S173" s="26">
        <f t="shared" si="28"/>
        <v>0</v>
      </c>
    </row>
    <row r="174" spans="2:19" x14ac:dyDescent="0.2">
      <c r="B174" s="79"/>
      <c r="C174" s="4"/>
      <c r="D174" s="4"/>
      <c r="E174" s="4"/>
      <c r="F174" s="56" t="s">
        <v>74</v>
      </c>
      <c r="G174" s="4">
        <v>637</v>
      </c>
      <c r="H174" s="4" t="s">
        <v>761</v>
      </c>
      <c r="I174" s="26">
        <v>10000</v>
      </c>
      <c r="J174" s="26"/>
      <c r="K174" s="26">
        <f t="shared" si="24"/>
        <v>10000</v>
      </c>
      <c r="L174" s="80"/>
      <c r="M174" s="26"/>
      <c r="N174" s="26"/>
      <c r="O174" s="26">
        <f t="shared" si="25"/>
        <v>0</v>
      </c>
      <c r="P174" s="80"/>
      <c r="Q174" s="26"/>
      <c r="R174" s="26"/>
      <c r="S174" s="26"/>
    </row>
    <row r="175" spans="2:19" x14ac:dyDescent="0.2">
      <c r="B175" s="79">
        <f>B173+1</f>
        <v>32</v>
      </c>
      <c r="C175" s="15"/>
      <c r="D175" s="15"/>
      <c r="E175" s="15"/>
      <c r="F175" s="55" t="s">
        <v>74</v>
      </c>
      <c r="G175" s="15">
        <v>710</v>
      </c>
      <c r="H175" s="15" t="s">
        <v>184</v>
      </c>
      <c r="I175" s="52">
        <f>I181</f>
        <v>0</v>
      </c>
      <c r="J175" s="52">
        <f>J181</f>
        <v>0</v>
      </c>
      <c r="K175" s="52">
        <f t="shared" si="24"/>
        <v>0</v>
      </c>
      <c r="L175" s="126"/>
      <c r="M175" s="52">
        <f>M181+M176</f>
        <v>205510</v>
      </c>
      <c r="N175" s="52">
        <f>N181+N176</f>
        <v>0</v>
      </c>
      <c r="O175" s="52">
        <f t="shared" si="25"/>
        <v>205510</v>
      </c>
      <c r="P175" s="126"/>
      <c r="Q175" s="52">
        <f t="shared" si="26"/>
        <v>205510</v>
      </c>
      <c r="R175" s="52">
        <f t="shared" ref="R175" si="29">J175+N175</f>
        <v>0</v>
      </c>
      <c r="S175" s="52">
        <f t="shared" ref="S175" si="30">K175+O175</f>
        <v>205510</v>
      </c>
    </row>
    <row r="176" spans="2:19" x14ac:dyDescent="0.2">
      <c r="B176" s="79">
        <f t="shared" si="23"/>
        <v>33</v>
      </c>
      <c r="C176" s="15"/>
      <c r="D176" s="15"/>
      <c r="E176" s="15"/>
      <c r="F176" s="89" t="s">
        <v>74</v>
      </c>
      <c r="G176" s="90">
        <v>716</v>
      </c>
      <c r="H176" s="90" t="s">
        <v>0</v>
      </c>
      <c r="I176" s="91">
        <v>0</v>
      </c>
      <c r="J176" s="91"/>
      <c r="K176" s="91">
        <f t="shared" si="24"/>
        <v>0</v>
      </c>
      <c r="L176" s="80"/>
      <c r="M176" s="91">
        <f>SUM(M177:M180)</f>
        <v>25700</v>
      </c>
      <c r="N176" s="91">
        <f>SUM(N177:N180)</f>
        <v>0</v>
      </c>
      <c r="O176" s="91">
        <f t="shared" si="25"/>
        <v>25700</v>
      </c>
      <c r="P176" s="80"/>
      <c r="Q176" s="91">
        <f t="shared" ref="Q176:Q180" si="31">M176+I176</f>
        <v>25700</v>
      </c>
      <c r="R176" s="91">
        <f t="shared" ref="R176:R180" si="32">N176+J176</f>
        <v>0</v>
      </c>
      <c r="S176" s="91">
        <f t="shared" ref="S176:S180" si="33">O176+K176</f>
        <v>25700</v>
      </c>
    </row>
    <row r="177" spans="2:19" x14ac:dyDescent="0.2">
      <c r="B177" s="79">
        <f t="shared" si="23"/>
        <v>34</v>
      </c>
      <c r="C177" s="15"/>
      <c r="D177" s="15"/>
      <c r="E177" s="15"/>
      <c r="F177" s="68"/>
      <c r="G177" s="64"/>
      <c r="H177" s="64" t="s">
        <v>592</v>
      </c>
      <c r="I177" s="62"/>
      <c r="J177" s="62"/>
      <c r="K177" s="62">
        <f t="shared" si="24"/>
        <v>0</v>
      </c>
      <c r="L177" s="80"/>
      <c r="M177" s="62">
        <v>4500</v>
      </c>
      <c r="N177" s="62"/>
      <c r="O177" s="62">
        <f t="shared" si="25"/>
        <v>4500</v>
      </c>
      <c r="P177" s="80"/>
      <c r="Q177" s="26">
        <f t="shared" si="31"/>
        <v>4500</v>
      </c>
      <c r="R177" s="26">
        <f t="shared" si="32"/>
        <v>0</v>
      </c>
      <c r="S177" s="26">
        <f t="shared" si="33"/>
        <v>4500</v>
      </c>
    </row>
    <row r="178" spans="2:19" ht="24" x14ac:dyDescent="0.2">
      <c r="B178" s="79">
        <f t="shared" si="23"/>
        <v>35</v>
      </c>
      <c r="C178" s="15"/>
      <c r="D178" s="15"/>
      <c r="E178" s="15"/>
      <c r="F178" s="68"/>
      <c r="G178" s="64"/>
      <c r="H178" s="165" t="s">
        <v>759</v>
      </c>
      <c r="I178" s="62"/>
      <c r="J178" s="62"/>
      <c r="K178" s="62">
        <f t="shared" si="24"/>
        <v>0</v>
      </c>
      <c r="L178" s="80"/>
      <c r="M178" s="62">
        <v>1200</v>
      </c>
      <c r="N178" s="62"/>
      <c r="O178" s="62">
        <f t="shared" si="25"/>
        <v>1200</v>
      </c>
      <c r="P178" s="80"/>
      <c r="Q178" s="26">
        <f t="shared" si="31"/>
        <v>1200</v>
      </c>
      <c r="R178" s="26">
        <f t="shared" si="32"/>
        <v>0</v>
      </c>
      <c r="S178" s="26">
        <f t="shared" si="33"/>
        <v>1200</v>
      </c>
    </row>
    <row r="179" spans="2:19" ht="24" x14ac:dyDescent="0.2">
      <c r="B179" s="79">
        <f t="shared" si="23"/>
        <v>36</v>
      </c>
      <c r="C179" s="15"/>
      <c r="D179" s="15"/>
      <c r="E179" s="15"/>
      <c r="F179" s="68"/>
      <c r="G179" s="64"/>
      <c r="H179" s="165" t="s">
        <v>764</v>
      </c>
      <c r="I179" s="62"/>
      <c r="J179" s="62"/>
      <c r="K179" s="62">
        <f t="shared" si="24"/>
        <v>0</v>
      </c>
      <c r="L179" s="80"/>
      <c r="M179" s="62">
        <v>10000</v>
      </c>
      <c r="N179" s="62"/>
      <c r="O179" s="62">
        <f t="shared" si="25"/>
        <v>10000</v>
      </c>
      <c r="P179" s="80"/>
      <c r="Q179" s="26">
        <f t="shared" si="31"/>
        <v>10000</v>
      </c>
      <c r="R179" s="26">
        <f t="shared" si="32"/>
        <v>0</v>
      </c>
      <c r="S179" s="26">
        <f t="shared" si="33"/>
        <v>10000</v>
      </c>
    </row>
    <row r="180" spans="2:19" ht="24" x14ac:dyDescent="0.2">
      <c r="B180" s="79">
        <f t="shared" si="23"/>
        <v>37</v>
      </c>
      <c r="C180" s="15"/>
      <c r="D180" s="15"/>
      <c r="E180" s="15"/>
      <c r="F180" s="68"/>
      <c r="G180" s="64"/>
      <c r="H180" s="165" t="s">
        <v>765</v>
      </c>
      <c r="I180" s="62"/>
      <c r="J180" s="62"/>
      <c r="K180" s="62">
        <f t="shared" si="24"/>
        <v>0</v>
      </c>
      <c r="L180" s="80"/>
      <c r="M180" s="62">
        <v>10000</v>
      </c>
      <c r="N180" s="62"/>
      <c r="O180" s="62">
        <f t="shared" si="25"/>
        <v>10000</v>
      </c>
      <c r="P180" s="80"/>
      <c r="Q180" s="26">
        <f t="shared" si="31"/>
        <v>10000</v>
      </c>
      <c r="R180" s="26">
        <f t="shared" si="32"/>
        <v>0</v>
      </c>
      <c r="S180" s="26">
        <f t="shared" si="33"/>
        <v>10000</v>
      </c>
    </row>
    <row r="181" spans="2:19" x14ac:dyDescent="0.2">
      <c r="B181" s="79">
        <f t="shared" si="23"/>
        <v>38</v>
      </c>
      <c r="C181" s="4"/>
      <c r="D181" s="4"/>
      <c r="E181" s="4"/>
      <c r="F181" s="89" t="s">
        <v>74</v>
      </c>
      <c r="G181" s="90">
        <v>717</v>
      </c>
      <c r="H181" s="90" t="s">
        <v>194</v>
      </c>
      <c r="I181" s="91"/>
      <c r="J181" s="91"/>
      <c r="K181" s="91">
        <f t="shared" si="24"/>
        <v>0</v>
      </c>
      <c r="L181" s="80"/>
      <c r="M181" s="91">
        <f>SUM(M182:M183)</f>
        <v>179810</v>
      </c>
      <c r="N181" s="91">
        <f>SUM(N182:N183)</f>
        <v>0</v>
      </c>
      <c r="O181" s="91">
        <f t="shared" si="25"/>
        <v>179810</v>
      </c>
      <c r="P181" s="80"/>
      <c r="Q181" s="91">
        <f t="shared" si="26"/>
        <v>179810</v>
      </c>
      <c r="R181" s="91">
        <f t="shared" ref="R181:R227" si="34">J181+N181</f>
        <v>0</v>
      </c>
      <c r="S181" s="91">
        <f t="shared" ref="S181:S227" si="35">K181+O181</f>
        <v>179810</v>
      </c>
    </row>
    <row r="182" spans="2:19" x14ac:dyDescent="0.2">
      <c r="B182" s="79">
        <f t="shared" si="23"/>
        <v>39</v>
      </c>
      <c r="C182" s="4"/>
      <c r="D182" s="4"/>
      <c r="E182" s="4"/>
      <c r="F182" s="56"/>
      <c r="G182" s="4"/>
      <c r="H182" s="4" t="s">
        <v>445</v>
      </c>
      <c r="I182" s="26"/>
      <c r="J182" s="26"/>
      <c r="K182" s="26">
        <f t="shared" si="24"/>
        <v>0</v>
      </c>
      <c r="L182" s="80"/>
      <c r="M182" s="26">
        <v>112810</v>
      </c>
      <c r="N182" s="26"/>
      <c r="O182" s="26">
        <f t="shared" si="25"/>
        <v>112810</v>
      </c>
      <c r="P182" s="80"/>
      <c r="Q182" s="26">
        <f t="shared" si="26"/>
        <v>112810</v>
      </c>
      <c r="R182" s="26">
        <f t="shared" si="34"/>
        <v>0</v>
      </c>
      <c r="S182" s="26">
        <f t="shared" si="35"/>
        <v>112810</v>
      </c>
    </row>
    <row r="183" spans="2:19" x14ac:dyDescent="0.2">
      <c r="B183" s="79">
        <f t="shared" si="23"/>
        <v>40</v>
      </c>
      <c r="C183" s="4"/>
      <c r="D183" s="4"/>
      <c r="E183" s="4"/>
      <c r="F183" s="56"/>
      <c r="G183" s="4"/>
      <c r="H183" s="4" t="s">
        <v>456</v>
      </c>
      <c r="I183" s="26"/>
      <c r="J183" s="26"/>
      <c r="K183" s="26">
        <f t="shared" si="24"/>
        <v>0</v>
      </c>
      <c r="L183" s="80"/>
      <c r="M183" s="26">
        <f>25000-4500+46500</f>
        <v>67000</v>
      </c>
      <c r="N183" s="26"/>
      <c r="O183" s="26">
        <f t="shared" si="25"/>
        <v>67000</v>
      </c>
      <c r="P183" s="80"/>
      <c r="Q183" s="26">
        <f t="shared" si="26"/>
        <v>67000</v>
      </c>
      <c r="R183" s="26">
        <f t="shared" si="34"/>
        <v>0</v>
      </c>
      <c r="S183" s="26">
        <f t="shared" si="35"/>
        <v>67000</v>
      </c>
    </row>
    <row r="184" spans="2:19" ht="15" x14ac:dyDescent="0.25">
      <c r="B184" s="79">
        <f t="shared" si="23"/>
        <v>41</v>
      </c>
      <c r="C184" s="18"/>
      <c r="D184" s="18"/>
      <c r="E184" s="18">
        <v>2</v>
      </c>
      <c r="F184" s="53"/>
      <c r="G184" s="18"/>
      <c r="H184" s="121" t="s">
        <v>257</v>
      </c>
      <c r="I184" s="50">
        <f>I185+I186+I187+I194</f>
        <v>247640</v>
      </c>
      <c r="J184" s="50">
        <f>J185+J186+J187+J194</f>
        <v>0</v>
      </c>
      <c r="K184" s="50">
        <f t="shared" si="24"/>
        <v>247640</v>
      </c>
      <c r="L184" s="203"/>
      <c r="M184" s="50">
        <v>0</v>
      </c>
      <c r="N184" s="50"/>
      <c r="O184" s="50">
        <f t="shared" si="25"/>
        <v>0</v>
      </c>
      <c r="P184" s="203"/>
      <c r="Q184" s="50">
        <f t="shared" si="26"/>
        <v>247640</v>
      </c>
      <c r="R184" s="50">
        <f t="shared" si="34"/>
        <v>0</v>
      </c>
      <c r="S184" s="50">
        <f t="shared" si="35"/>
        <v>247640</v>
      </c>
    </row>
    <row r="185" spans="2:19" x14ac:dyDescent="0.2">
      <c r="B185" s="79">
        <f t="shared" si="23"/>
        <v>42</v>
      </c>
      <c r="C185" s="15"/>
      <c r="D185" s="15"/>
      <c r="E185" s="15"/>
      <c r="F185" s="55" t="s">
        <v>159</v>
      </c>
      <c r="G185" s="15">
        <v>610</v>
      </c>
      <c r="H185" s="15" t="s">
        <v>136</v>
      </c>
      <c r="I185" s="52">
        <f>63900-2000</f>
        <v>61900</v>
      </c>
      <c r="J185" s="52"/>
      <c r="K185" s="52">
        <f t="shared" si="24"/>
        <v>61900</v>
      </c>
      <c r="L185" s="126"/>
      <c r="M185" s="52"/>
      <c r="N185" s="52"/>
      <c r="O185" s="52">
        <f t="shared" si="25"/>
        <v>0</v>
      </c>
      <c r="P185" s="126"/>
      <c r="Q185" s="52">
        <f t="shared" si="26"/>
        <v>61900</v>
      </c>
      <c r="R185" s="52">
        <f t="shared" si="34"/>
        <v>0</v>
      </c>
      <c r="S185" s="52">
        <f t="shared" si="35"/>
        <v>61900</v>
      </c>
    </row>
    <row r="186" spans="2:19" x14ac:dyDescent="0.2">
      <c r="B186" s="79">
        <f t="shared" si="23"/>
        <v>43</v>
      </c>
      <c r="C186" s="15"/>
      <c r="D186" s="15"/>
      <c r="E186" s="15"/>
      <c r="F186" s="55" t="s">
        <v>159</v>
      </c>
      <c r="G186" s="15">
        <v>620</v>
      </c>
      <c r="H186" s="15" t="s">
        <v>131</v>
      </c>
      <c r="I186" s="52">
        <f>24000-700</f>
        <v>23300</v>
      </c>
      <c r="J186" s="52"/>
      <c r="K186" s="52">
        <f t="shared" si="24"/>
        <v>23300</v>
      </c>
      <c r="L186" s="126"/>
      <c r="M186" s="52"/>
      <c r="N186" s="52"/>
      <c r="O186" s="52">
        <f t="shared" si="25"/>
        <v>0</v>
      </c>
      <c r="P186" s="126"/>
      <c r="Q186" s="52">
        <f t="shared" si="26"/>
        <v>23300</v>
      </c>
      <c r="R186" s="52">
        <f t="shared" si="34"/>
        <v>0</v>
      </c>
      <c r="S186" s="52">
        <f t="shared" si="35"/>
        <v>23300</v>
      </c>
    </row>
    <row r="187" spans="2:19" x14ac:dyDescent="0.2">
      <c r="B187" s="79">
        <f t="shared" si="23"/>
        <v>44</v>
      </c>
      <c r="C187" s="15"/>
      <c r="D187" s="15"/>
      <c r="E187" s="15"/>
      <c r="F187" s="55" t="s">
        <v>159</v>
      </c>
      <c r="G187" s="15">
        <v>630</v>
      </c>
      <c r="H187" s="15" t="s">
        <v>128</v>
      </c>
      <c r="I187" s="52">
        <f>I193+I192+I191+I190+I189+I188</f>
        <v>160240</v>
      </c>
      <c r="J187" s="52">
        <f>J193+J192+J191+J190+J189+J188</f>
        <v>0</v>
      </c>
      <c r="K187" s="52">
        <f t="shared" si="24"/>
        <v>160240</v>
      </c>
      <c r="L187" s="126"/>
      <c r="M187" s="52">
        <f>M193+M192+M191+M190+M189+M188</f>
        <v>0</v>
      </c>
      <c r="N187" s="52">
        <f>N193+N192+N191+N190+N189+N188</f>
        <v>0</v>
      </c>
      <c r="O187" s="52">
        <f t="shared" si="25"/>
        <v>0</v>
      </c>
      <c r="P187" s="126"/>
      <c r="Q187" s="52">
        <f t="shared" si="26"/>
        <v>160240</v>
      </c>
      <c r="R187" s="52">
        <f t="shared" si="34"/>
        <v>0</v>
      </c>
      <c r="S187" s="52">
        <f t="shared" si="35"/>
        <v>160240</v>
      </c>
    </row>
    <row r="188" spans="2:19" x14ac:dyDescent="0.2">
      <c r="B188" s="79">
        <f t="shared" si="23"/>
        <v>45</v>
      </c>
      <c r="C188" s="4"/>
      <c r="D188" s="4"/>
      <c r="E188" s="4"/>
      <c r="F188" s="56" t="s">
        <v>159</v>
      </c>
      <c r="G188" s="4">
        <v>632</v>
      </c>
      <c r="H188" s="4" t="s">
        <v>139</v>
      </c>
      <c r="I188" s="26">
        <v>90000</v>
      </c>
      <c r="J188" s="26"/>
      <c r="K188" s="26">
        <f t="shared" si="24"/>
        <v>90000</v>
      </c>
      <c r="L188" s="80"/>
      <c r="M188" s="26"/>
      <c r="N188" s="26"/>
      <c r="O188" s="26">
        <f t="shared" si="25"/>
        <v>0</v>
      </c>
      <c r="P188" s="80"/>
      <c r="Q188" s="26">
        <f t="shared" si="26"/>
        <v>90000</v>
      </c>
      <c r="R188" s="26">
        <f t="shared" si="34"/>
        <v>0</v>
      </c>
      <c r="S188" s="26">
        <f t="shared" si="35"/>
        <v>90000</v>
      </c>
    </row>
    <row r="189" spans="2:19" x14ac:dyDescent="0.2">
      <c r="B189" s="79">
        <f t="shared" si="23"/>
        <v>46</v>
      </c>
      <c r="C189" s="4"/>
      <c r="D189" s="4"/>
      <c r="E189" s="4"/>
      <c r="F189" s="56" t="s">
        <v>159</v>
      </c>
      <c r="G189" s="4">
        <v>633</v>
      </c>
      <c r="H189" s="4" t="s">
        <v>132</v>
      </c>
      <c r="I189" s="26">
        <v>5250</v>
      </c>
      <c r="J189" s="26"/>
      <c r="K189" s="26">
        <f t="shared" si="24"/>
        <v>5250</v>
      </c>
      <c r="L189" s="80"/>
      <c r="M189" s="26"/>
      <c r="N189" s="26"/>
      <c r="O189" s="26">
        <f t="shared" si="25"/>
        <v>0</v>
      </c>
      <c r="P189" s="80"/>
      <c r="Q189" s="26">
        <f t="shared" si="26"/>
        <v>5250</v>
      </c>
      <c r="R189" s="26">
        <f t="shared" si="34"/>
        <v>0</v>
      </c>
      <c r="S189" s="26">
        <f t="shared" si="35"/>
        <v>5250</v>
      </c>
    </row>
    <row r="190" spans="2:19" x14ac:dyDescent="0.2">
      <c r="B190" s="79">
        <f t="shared" si="23"/>
        <v>47</v>
      </c>
      <c r="C190" s="4"/>
      <c r="D190" s="4"/>
      <c r="E190" s="4"/>
      <c r="F190" s="56" t="s">
        <v>159</v>
      </c>
      <c r="G190" s="4">
        <v>634</v>
      </c>
      <c r="H190" s="4" t="s">
        <v>137</v>
      </c>
      <c r="I190" s="26">
        <v>4200</v>
      </c>
      <c r="J190" s="26"/>
      <c r="K190" s="26">
        <f t="shared" si="24"/>
        <v>4200</v>
      </c>
      <c r="L190" s="80"/>
      <c r="M190" s="26"/>
      <c r="N190" s="26"/>
      <c r="O190" s="26">
        <f t="shared" si="25"/>
        <v>0</v>
      </c>
      <c r="P190" s="80"/>
      <c r="Q190" s="26">
        <f t="shared" si="26"/>
        <v>4200</v>
      </c>
      <c r="R190" s="26">
        <f t="shared" si="34"/>
        <v>0</v>
      </c>
      <c r="S190" s="26">
        <f t="shared" si="35"/>
        <v>4200</v>
      </c>
    </row>
    <row r="191" spans="2:19" x14ac:dyDescent="0.2">
      <c r="B191" s="79">
        <f t="shared" si="23"/>
        <v>48</v>
      </c>
      <c r="C191" s="4"/>
      <c r="D191" s="4"/>
      <c r="E191" s="4"/>
      <c r="F191" s="56" t="s">
        <v>159</v>
      </c>
      <c r="G191" s="4">
        <v>635</v>
      </c>
      <c r="H191" s="4" t="s">
        <v>138</v>
      </c>
      <c r="I191" s="26">
        <f>38000+8000</f>
        <v>46000</v>
      </c>
      <c r="J191" s="26"/>
      <c r="K191" s="26">
        <f t="shared" si="24"/>
        <v>46000</v>
      </c>
      <c r="L191" s="80"/>
      <c r="M191" s="26"/>
      <c r="N191" s="26"/>
      <c r="O191" s="26">
        <f t="shared" si="25"/>
        <v>0</v>
      </c>
      <c r="P191" s="80"/>
      <c r="Q191" s="26">
        <f t="shared" si="26"/>
        <v>46000</v>
      </c>
      <c r="R191" s="26">
        <f t="shared" si="34"/>
        <v>0</v>
      </c>
      <c r="S191" s="26">
        <f t="shared" si="35"/>
        <v>46000</v>
      </c>
    </row>
    <row r="192" spans="2:19" x14ac:dyDescent="0.2">
      <c r="B192" s="79">
        <f t="shared" si="23"/>
        <v>49</v>
      </c>
      <c r="C192" s="4"/>
      <c r="D192" s="4"/>
      <c r="E192" s="4"/>
      <c r="F192" s="56" t="s">
        <v>159</v>
      </c>
      <c r="G192" s="4">
        <v>636</v>
      </c>
      <c r="H192" s="4" t="s">
        <v>133</v>
      </c>
      <c r="I192" s="26">
        <v>50</v>
      </c>
      <c r="J192" s="26"/>
      <c r="K192" s="26">
        <f t="shared" si="24"/>
        <v>50</v>
      </c>
      <c r="L192" s="80"/>
      <c r="M192" s="26"/>
      <c r="N192" s="26"/>
      <c r="O192" s="26">
        <f t="shared" si="25"/>
        <v>0</v>
      </c>
      <c r="P192" s="80"/>
      <c r="Q192" s="26">
        <f t="shared" si="26"/>
        <v>50</v>
      </c>
      <c r="R192" s="26">
        <f t="shared" si="34"/>
        <v>0</v>
      </c>
      <c r="S192" s="26">
        <f t="shared" si="35"/>
        <v>50</v>
      </c>
    </row>
    <row r="193" spans="1:19" x14ac:dyDescent="0.2">
      <c r="B193" s="79">
        <f t="shared" si="23"/>
        <v>50</v>
      </c>
      <c r="C193" s="4"/>
      <c r="D193" s="4"/>
      <c r="E193" s="4"/>
      <c r="F193" s="56" t="s">
        <v>159</v>
      </c>
      <c r="G193" s="4">
        <v>637</v>
      </c>
      <c r="H193" s="4" t="s">
        <v>129</v>
      </c>
      <c r="I193" s="26">
        <f>17050+690-3000</f>
        <v>14740</v>
      </c>
      <c r="J193" s="26"/>
      <c r="K193" s="26">
        <f t="shared" si="24"/>
        <v>14740</v>
      </c>
      <c r="L193" s="80"/>
      <c r="M193" s="26"/>
      <c r="N193" s="26"/>
      <c r="O193" s="26">
        <f t="shared" si="25"/>
        <v>0</v>
      </c>
      <c r="P193" s="80"/>
      <c r="Q193" s="26">
        <f t="shared" si="26"/>
        <v>14740</v>
      </c>
      <c r="R193" s="26">
        <f t="shared" si="34"/>
        <v>0</v>
      </c>
      <c r="S193" s="26">
        <f t="shared" si="35"/>
        <v>14740</v>
      </c>
    </row>
    <row r="194" spans="1:19" x14ac:dyDescent="0.2">
      <c r="A194" s="244"/>
      <c r="B194" s="79">
        <f t="shared" si="23"/>
        <v>51</v>
      </c>
      <c r="C194" s="15"/>
      <c r="D194" s="15"/>
      <c r="E194" s="15"/>
      <c r="F194" s="55" t="s">
        <v>159</v>
      </c>
      <c r="G194" s="15">
        <v>640</v>
      </c>
      <c r="H194" s="15" t="s">
        <v>135</v>
      </c>
      <c r="I194" s="52">
        <v>2200</v>
      </c>
      <c r="J194" s="52"/>
      <c r="K194" s="52">
        <f t="shared" si="24"/>
        <v>2200</v>
      </c>
      <c r="L194" s="126"/>
      <c r="M194" s="52"/>
      <c r="N194" s="52"/>
      <c r="O194" s="52">
        <f t="shared" si="25"/>
        <v>0</v>
      </c>
      <c r="P194" s="126"/>
      <c r="Q194" s="52">
        <f t="shared" si="26"/>
        <v>2200</v>
      </c>
      <c r="R194" s="52">
        <f t="shared" si="34"/>
        <v>0</v>
      </c>
      <c r="S194" s="52">
        <f t="shared" si="35"/>
        <v>2200</v>
      </c>
    </row>
    <row r="195" spans="1:19" ht="15" x14ac:dyDescent="0.2">
      <c r="A195" s="244"/>
      <c r="B195" s="79">
        <f t="shared" si="23"/>
        <v>52</v>
      </c>
      <c r="C195" s="191">
        <v>5</v>
      </c>
      <c r="D195" s="245" t="s">
        <v>158</v>
      </c>
      <c r="E195" s="246"/>
      <c r="F195" s="246"/>
      <c r="G195" s="246"/>
      <c r="H195" s="247"/>
      <c r="I195" s="48">
        <f>I196+I197+I198+I203+I204+I206+I207</f>
        <v>3077095</v>
      </c>
      <c r="J195" s="48">
        <f>J196+J197+J198+J203+J204+J206+J207</f>
        <v>0</v>
      </c>
      <c r="K195" s="48">
        <f t="shared" si="24"/>
        <v>3077095</v>
      </c>
      <c r="L195" s="201"/>
      <c r="M195" s="48">
        <f>M196+M197+M198+M203+M204+M206+M207</f>
        <v>3310</v>
      </c>
      <c r="N195" s="48">
        <f>N196+N197+N198+N203+N204+N206+N207</f>
        <v>0</v>
      </c>
      <c r="O195" s="48">
        <f t="shared" si="25"/>
        <v>3310</v>
      </c>
      <c r="P195" s="201"/>
      <c r="Q195" s="48">
        <f t="shared" si="26"/>
        <v>3080405</v>
      </c>
      <c r="R195" s="48">
        <f t="shared" si="34"/>
        <v>0</v>
      </c>
      <c r="S195" s="48">
        <f t="shared" si="35"/>
        <v>3080405</v>
      </c>
    </row>
    <row r="196" spans="1:19" x14ac:dyDescent="0.2">
      <c r="A196" s="244"/>
      <c r="B196" s="79">
        <f t="shared" si="23"/>
        <v>53</v>
      </c>
      <c r="C196" s="15"/>
      <c r="D196" s="15"/>
      <c r="E196" s="15"/>
      <c r="F196" s="55" t="s">
        <v>74</v>
      </c>
      <c r="G196" s="15">
        <v>610</v>
      </c>
      <c r="H196" s="15" t="s">
        <v>136</v>
      </c>
      <c r="I196" s="52">
        <v>1700000</v>
      </c>
      <c r="J196" s="52"/>
      <c r="K196" s="52">
        <f t="shared" si="24"/>
        <v>1700000</v>
      </c>
      <c r="L196" s="126"/>
      <c r="M196" s="52"/>
      <c r="N196" s="52"/>
      <c r="O196" s="52">
        <f t="shared" si="25"/>
        <v>0</v>
      </c>
      <c r="P196" s="126"/>
      <c r="Q196" s="52">
        <f t="shared" si="26"/>
        <v>1700000</v>
      </c>
      <c r="R196" s="52">
        <f t="shared" si="34"/>
        <v>0</v>
      </c>
      <c r="S196" s="52">
        <f t="shared" si="35"/>
        <v>1700000</v>
      </c>
    </row>
    <row r="197" spans="1:19" x14ac:dyDescent="0.2">
      <c r="B197" s="79">
        <f t="shared" si="23"/>
        <v>54</v>
      </c>
      <c r="C197" s="15"/>
      <c r="D197" s="15"/>
      <c r="E197" s="15"/>
      <c r="F197" s="55" t="s">
        <v>74</v>
      </c>
      <c r="G197" s="15">
        <v>620</v>
      </c>
      <c r="H197" s="15" t="s">
        <v>131</v>
      </c>
      <c r="I197" s="52">
        <v>679450</v>
      </c>
      <c r="J197" s="52"/>
      <c r="K197" s="52">
        <f t="shared" si="24"/>
        <v>679450</v>
      </c>
      <c r="L197" s="126"/>
      <c r="M197" s="52"/>
      <c r="N197" s="52"/>
      <c r="O197" s="52">
        <f t="shared" si="25"/>
        <v>0</v>
      </c>
      <c r="P197" s="126"/>
      <c r="Q197" s="52">
        <f t="shared" si="26"/>
        <v>679450</v>
      </c>
      <c r="R197" s="52">
        <f t="shared" si="34"/>
        <v>0</v>
      </c>
      <c r="S197" s="52">
        <f t="shared" si="35"/>
        <v>679450</v>
      </c>
    </row>
    <row r="198" spans="1:19" x14ac:dyDescent="0.2">
      <c r="B198" s="79">
        <f t="shared" si="23"/>
        <v>55</v>
      </c>
      <c r="C198" s="15"/>
      <c r="D198" s="15"/>
      <c r="E198" s="15"/>
      <c r="F198" s="55" t="s">
        <v>74</v>
      </c>
      <c r="G198" s="15">
        <v>630</v>
      </c>
      <c r="H198" s="15" t="s">
        <v>128</v>
      </c>
      <c r="I198" s="52">
        <f>SUM(I199:I202)</f>
        <v>460470</v>
      </c>
      <c r="J198" s="52">
        <f>SUM(J199:J202)</f>
        <v>0</v>
      </c>
      <c r="K198" s="52">
        <f t="shared" si="24"/>
        <v>460470</v>
      </c>
      <c r="L198" s="126"/>
      <c r="M198" s="52">
        <f>SUM(M199:M202)</f>
        <v>0</v>
      </c>
      <c r="N198" s="52">
        <f>SUM(N199:N202)</f>
        <v>0</v>
      </c>
      <c r="O198" s="52">
        <f t="shared" si="25"/>
        <v>0</v>
      </c>
      <c r="P198" s="126"/>
      <c r="Q198" s="52">
        <f t="shared" si="26"/>
        <v>460470</v>
      </c>
      <c r="R198" s="52">
        <f t="shared" si="34"/>
        <v>0</v>
      </c>
      <c r="S198" s="52">
        <f t="shared" si="35"/>
        <v>460470</v>
      </c>
    </row>
    <row r="199" spans="1:19" x14ac:dyDescent="0.2">
      <c r="B199" s="79">
        <f t="shared" si="23"/>
        <v>56</v>
      </c>
      <c r="C199" s="4"/>
      <c r="D199" s="4"/>
      <c r="E199" s="4"/>
      <c r="F199" s="56" t="s">
        <v>74</v>
      </c>
      <c r="G199" s="4">
        <v>632</v>
      </c>
      <c r="H199" s="4" t="s">
        <v>139</v>
      </c>
      <c r="I199" s="26">
        <f>161770</f>
        <v>161770</v>
      </c>
      <c r="J199" s="26"/>
      <c r="K199" s="26">
        <f t="shared" si="24"/>
        <v>161770</v>
      </c>
      <c r="L199" s="80"/>
      <c r="M199" s="26"/>
      <c r="N199" s="26"/>
      <c r="O199" s="26">
        <f t="shared" si="25"/>
        <v>0</v>
      </c>
      <c r="P199" s="80"/>
      <c r="Q199" s="26">
        <f t="shared" si="26"/>
        <v>161770</v>
      </c>
      <c r="R199" s="26">
        <f t="shared" si="34"/>
        <v>0</v>
      </c>
      <c r="S199" s="26">
        <f t="shared" si="35"/>
        <v>161770</v>
      </c>
    </row>
    <row r="200" spans="1:19" x14ac:dyDescent="0.2">
      <c r="B200" s="79">
        <f t="shared" si="23"/>
        <v>57</v>
      </c>
      <c r="C200" s="4"/>
      <c r="D200" s="4"/>
      <c r="E200" s="4"/>
      <c r="F200" s="56" t="s">
        <v>74</v>
      </c>
      <c r="G200" s="4">
        <v>633</v>
      </c>
      <c r="H200" s="4" t="s">
        <v>132</v>
      </c>
      <c r="I200" s="26">
        <f>38000+2700</f>
        <v>40700</v>
      </c>
      <c r="J200" s="26"/>
      <c r="K200" s="26">
        <f t="shared" si="24"/>
        <v>40700</v>
      </c>
      <c r="L200" s="80"/>
      <c r="M200" s="26"/>
      <c r="N200" s="26"/>
      <c r="O200" s="26">
        <f t="shared" si="25"/>
        <v>0</v>
      </c>
      <c r="P200" s="80"/>
      <c r="Q200" s="26">
        <f t="shared" si="26"/>
        <v>40700</v>
      </c>
      <c r="R200" s="26">
        <f t="shared" si="34"/>
        <v>0</v>
      </c>
      <c r="S200" s="26">
        <f t="shared" si="35"/>
        <v>40700</v>
      </c>
    </row>
    <row r="201" spans="1:19" x14ac:dyDescent="0.2">
      <c r="B201" s="79">
        <f t="shared" si="23"/>
        <v>58</v>
      </c>
      <c r="C201" s="4"/>
      <c r="D201" s="4"/>
      <c r="E201" s="4"/>
      <c r="F201" s="56" t="s">
        <v>74</v>
      </c>
      <c r="G201" s="4">
        <v>635</v>
      </c>
      <c r="H201" s="4" t="s">
        <v>138</v>
      </c>
      <c r="I201" s="26">
        <v>33000</v>
      </c>
      <c r="J201" s="26"/>
      <c r="K201" s="26">
        <f t="shared" si="24"/>
        <v>33000</v>
      </c>
      <c r="L201" s="80"/>
      <c r="M201" s="26"/>
      <c r="N201" s="26"/>
      <c r="O201" s="26">
        <f t="shared" si="25"/>
        <v>0</v>
      </c>
      <c r="P201" s="80"/>
      <c r="Q201" s="26">
        <f t="shared" si="26"/>
        <v>33000</v>
      </c>
      <c r="R201" s="26">
        <f t="shared" si="34"/>
        <v>0</v>
      </c>
      <c r="S201" s="26">
        <f t="shared" si="35"/>
        <v>33000</v>
      </c>
    </row>
    <row r="202" spans="1:19" x14ac:dyDescent="0.2">
      <c r="B202" s="79">
        <f t="shared" si="23"/>
        <v>59</v>
      </c>
      <c r="C202" s="4"/>
      <c r="D202" s="4"/>
      <c r="E202" s="4"/>
      <c r="F202" s="56" t="s">
        <v>74</v>
      </c>
      <c r="G202" s="4">
        <v>637</v>
      </c>
      <c r="H202" s="4" t="s">
        <v>129</v>
      </c>
      <c r="I202" s="26">
        <v>225000</v>
      </c>
      <c r="J202" s="26"/>
      <c r="K202" s="26">
        <f t="shared" si="24"/>
        <v>225000</v>
      </c>
      <c r="L202" s="80"/>
      <c r="M202" s="26"/>
      <c r="N202" s="26"/>
      <c r="O202" s="26">
        <f t="shared" si="25"/>
        <v>0</v>
      </c>
      <c r="P202" s="80"/>
      <c r="Q202" s="26">
        <f t="shared" si="26"/>
        <v>225000</v>
      </c>
      <c r="R202" s="26">
        <f t="shared" si="34"/>
        <v>0</v>
      </c>
      <c r="S202" s="26">
        <f t="shared" si="35"/>
        <v>225000</v>
      </c>
    </row>
    <row r="203" spans="1:19" x14ac:dyDescent="0.2">
      <c r="B203" s="79">
        <f t="shared" si="23"/>
        <v>60</v>
      </c>
      <c r="C203" s="15"/>
      <c r="D203" s="15"/>
      <c r="E203" s="15"/>
      <c r="F203" s="55" t="s">
        <v>74</v>
      </c>
      <c r="G203" s="15">
        <v>640</v>
      </c>
      <c r="H203" s="15" t="s">
        <v>135</v>
      </c>
      <c r="I203" s="52">
        <v>25000</v>
      </c>
      <c r="J203" s="52"/>
      <c r="K203" s="52">
        <f t="shared" si="24"/>
        <v>25000</v>
      </c>
      <c r="L203" s="126"/>
      <c r="M203" s="52"/>
      <c r="N203" s="52"/>
      <c r="O203" s="52">
        <f t="shared" si="25"/>
        <v>0</v>
      </c>
      <c r="P203" s="126"/>
      <c r="Q203" s="52">
        <f t="shared" si="26"/>
        <v>25000</v>
      </c>
      <c r="R203" s="52">
        <f t="shared" si="34"/>
        <v>0</v>
      </c>
      <c r="S203" s="52">
        <f t="shared" si="35"/>
        <v>25000</v>
      </c>
    </row>
    <row r="204" spans="1:19" x14ac:dyDescent="0.2">
      <c r="B204" s="79">
        <f t="shared" si="23"/>
        <v>61</v>
      </c>
      <c r="C204" s="15"/>
      <c r="D204" s="15"/>
      <c r="E204" s="15"/>
      <c r="F204" s="55" t="s">
        <v>34</v>
      </c>
      <c r="G204" s="15">
        <v>630</v>
      </c>
      <c r="H204" s="15" t="s">
        <v>128</v>
      </c>
      <c r="I204" s="52">
        <f>I205</f>
        <v>10000</v>
      </c>
      <c r="J204" s="52">
        <f>J205</f>
        <v>0</v>
      </c>
      <c r="K204" s="52">
        <f t="shared" si="24"/>
        <v>10000</v>
      </c>
      <c r="L204" s="126"/>
      <c r="M204" s="52">
        <f>M205</f>
        <v>0</v>
      </c>
      <c r="N204" s="52">
        <f>N205</f>
        <v>0</v>
      </c>
      <c r="O204" s="52">
        <f t="shared" si="25"/>
        <v>0</v>
      </c>
      <c r="P204" s="126"/>
      <c r="Q204" s="52">
        <f t="shared" si="26"/>
        <v>10000</v>
      </c>
      <c r="R204" s="52">
        <f t="shared" si="34"/>
        <v>0</v>
      </c>
      <c r="S204" s="52">
        <f t="shared" si="35"/>
        <v>10000</v>
      </c>
    </row>
    <row r="205" spans="1:19" x14ac:dyDescent="0.2">
      <c r="B205" s="79">
        <f t="shared" si="23"/>
        <v>62</v>
      </c>
      <c r="C205" s="4"/>
      <c r="D205" s="4"/>
      <c r="E205" s="4"/>
      <c r="F205" s="56" t="s">
        <v>34</v>
      </c>
      <c r="G205" s="4">
        <v>637</v>
      </c>
      <c r="H205" s="4" t="s">
        <v>129</v>
      </c>
      <c r="I205" s="80">
        <f>15000-5000</f>
        <v>10000</v>
      </c>
      <c r="J205" s="80"/>
      <c r="K205" s="80">
        <f t="shared" si="24"/>
        <v>10000</v>
      </c>
      <c r="L205" s="80"/>
      <c r="M205" s="26"/>
      <c r="N205" s="26"/>
      <c r="O205" s="26">
        <f t="shared" si="25"/>
        <v>0</v>
      </c>
      <c r="P205" s="80"/>
      <c r="Q205" s="26">
        <f t="shared" si="26"/>
        <v>10000</v>
      </c>
      <c r="R205" s="26">
        <f t="shared" si="34"/>
        <v>0</v>
      </c>
      <c r="S205" s="26">
        <f t="shared" si="35"/>
        <v>10000</v>
      </c>
    </row>
    <row r="206" spans="1:19" x14ac:dyDescent="0.2">
      <c r="B206" s="79">
        <f t="shared" si="23"/>
        <v>63</v>
      </c>
      <c r="C206" s="15"/>
      <c r="D206" s="15"/>
      <c r="E206" s="15"/>
      <c r="F206" s="55" t="s">
        <v>221</v>
      </c>
      <c r="G206" s="15">
        <v>650</v>
      </c>
      <c r="H206" s="15" t="s">
        <v>222</v>
      </c>
      <c r="I206" s="52">
        <f>350000-24775-2500-42050-68000-2000-8500</f>
        <v>202175</v>
      </c>
      <c r="J206" s="52"/>
      <c r="K206" s="52">
        <f t="shared" si="24"/>
        <v>202175</v>
      </c>
      <c r="L206" s="126"/>
      <c r="M206" s="52"/>
      <c r="N206" s="52"/>
      <c r="O206" s="52">
        <f t="shared" si="25"/>
        <v>0</v>
      </c>
      <c r="P206" s="126"/>
      <c r="Q206" s="52">
        <f t="shared" si="26"/>
        <v>202175</v>
      </c>
      <c r="R206" s="52">
        <f t="shared" si="34"/>
        <v>0</v>
      </c>
      <c r="S206" s="52">
        <f t="shared" si="35"/>
        <v>202175</v>
      </c>
    </row>
    <row r="207" spans="1:19" x14ac:dyDescent="0.2">
      <c r="B207" s="79">
        <f t="shared" si="23"/>
        <v>64</v>
      </c>
      <c r="C207" s="15"/>
      <c r="D207" s="15"/>
      <c r="E207" s="15"/>
      <c r="F207" s="55" t="s">
        <v>74</v>
      </c>
      <c r="G207" s="15">
        <v>710</v>
      </c>
      <c r="H207" s="15" t="s">
        <v>184</v>
      </c>
      <c r="I207" s="52">
        <f>I208</f>
        <v>0</v>
      </c>
      <c r="J207" s="52">
        <f>J208</f>
        <v>0</v>
      </c>
      <c r="K207" s="52">
        <f t="shared" si="24"/>
        <v>0</v>
      </c>
      <c r="L207" s="126"/>
      <c r="M207" s="52">
        <f>M208</f>
        <v>3310</v>
      </c>
      <c r="N207" s="52">
        <f>N208</f>
        <v>0</v>
      </c>
      <c r="O207" s="52">
        <f t="shared" si="25"/>
        <v>3310</v>
      </c>
      <c r="P207" s="126"/>
      <c r="Q207" s="52">
        <f t="shared" si="26"/>
        <v>3310</v>
      </c>
      <c r="R207" s="52">
        <f t="shared" si="34"/>
        <v>0</v>
      </c>
      <c r="S207" s="52">
        <f t="shared" si="35"/>
        <v>3310</v>
      </c>
    </row>
    <row r="208" spans="1:19" x14ac:dyDescent="0.2">
      <c r="B208" s="79">
        <f t="shared" ref="B208:B227" si="36">B207+1</f>
        <v>65</v>
      </c>
      <c r="C208" s="4"/>
      <c r="D208" s="58"/>
      <c r="E208" s="4"/>
      <c r="F208" s="89" t="s">
        <v>74</v>
      </c>
      <c r="G208" s="90">
        <v>717</v>
      </c>
      <c r="H208" s="90" t="s">
        <v>194</v>
      </c>
      <c r="I208" s="91"/>
      <c r="J208" s="91"/>
      <c r="K208" s="91">
        <f t="shared" ref="K208:K227" si="37">I208+J208</f>
        <v>0</v>
      </c>
      <c r="L208" s="80"/>
      <c r="M208" s="91">
        <f>M209</f>
        <v>3310</v>
      </c>
      <c r="N208" s="91">
        <f>N209</f>
        <v>0</v>
      </c>
      <c r="O208" s="91">
        <f t="shared" ref="O208:O227" si="38">M208+N208</f>
        <v>3310</v>
      </c>
      <c r="P208" s="80"/>
      <c r="Q208" s="91">
        <f t="shared" ref="Q208:Q227" si="39">I208+M208</f>
        <v>3310</v>
      </c>
      <c r="R208" s="91">
        <f t="shared" si="34"/>
        <v>0</v>
      </c>
      <c r="S208" s="91">
        <f t="shared" si="35"/>
        <v>3310</v>
      </c>
    </row>
    <row r="209" spans="2:19" x14ac:dyDescent="0.2">
      <c r="B209" s="79">
        <f t="shared" si="36"/>
        <v>66</v>
      </c>
      <c r="C209" s="4"/>
      <c r="D209" s="58"/>
      <c r="E209" s="4"/>
      <c r="F209" s="56"/>
      <c r="G209" s="4"/>
      <c r="H209" s="38" t="s">
        <v>421</v>
      </c>
      <c r="I209" s="26"/>
      <c r="J209" s="26"/>
      <c r="K209" s="26">
        <f t="shared" si="37"/>
        <v>0</v>
      </c>
      <c r="L209" s="80"/>
      <c r="M209" s="26">
        <v>3310</v>
      </c>
      <c r="N209" s="26"/>
      <c r="O209" s="26">
        <f t="shared" si="38"/>
        <v>3310</v>
      </c>
      <c r="P209" s="80"/>
      <c r="Q209" s="26">
        <f t="shared" si="39"/>
        <v>3310</v>
      </c>
      <c r="R209" s="26">
        <f t="shared" si="34"/>
        <v>0</v>
      </c>
      <c r="S209" s="26">
        <f t="shared" si="35"/>
        <v>3310</v>
      </c>
    </row>
    <row r="210" spans="2:19" ht="15" x14ac:dyDescent="0.2">
      <c r="B210" s="79">
        <f t="shared" si="36"/>
        <v>67</v>
      </c>
      <c r="C210" s="191">
        <v>6</v>
      </c>
      <c r="D210" s="245" t="s">
        <v>58</v>
      </c>
      <c r="E210" s="246"/>
      <c r="F210" s="246"/>
      <c r="G210" s="246"/>
      <c r="H210" s="247"/>
      <c r="I210" s="48">
        <f>I211</f>
        <v>7000</v>
      </c>
      <c r="J210" s="48">
        <f>J211</f>
        <v>0</v>
      </c>
      <c r="K210" s="48">
        <f t="shared" si="37"/>
        <v>7000</v>
      </c>
      <c r="L210" s="201"/>
      <c r="M210" s="48">
        <f>M211</f>
        <v>0</v>
      </c>
      <c r="N210" s="48">
        <f>N211</f>
        <v>0</v>
      </c>
      <c r="O210" s="48">
        <f t="shared" si="38"/>
        <v>0</v>
      </c>
      <c r="P210" s="201"/>
      <c r="Q210" s="48">
        <f t="shared" si="39"/>
        <v>7000</v>
      </c>
      <c r="R210" s="48">
        <f t="shared" si="34"/>
        <v>0</v>
      </c>
      <c r="S210" s="48">
        <f t="shared" si="35"/>
        <v>7000</v>
      </c>
    </row>
    <row r="211" spans="2:19" x14ac:dyDescent="0.2">
      <c r="B211" s="79">
        <f t="shared" si="36"/>
        <v>68</v>
      </c>
      <c r="C211" s="15"/>
      <c r="D211" s="15"/>
      <c r="E211" s="15"/>
      <c r="F211" s="55" t="s">
        <v>74</v>
      </c>
      <c r="G211" s="15">
        <v>630</v>
      </c>
      <c r="H211" s="15" t="s">
        <v>128</v>
      </c>
      <c r="I211" s="52">
        <f>I213+I212</f>
        <v>7000</v>
      </c>
      <c r="J211" s="52">
        <f>J213+J212</f>
        <v>0</v>
      </c>
      <c r="K211" s="52">
        <f t="shared" si="37"/>
        <v>7000</v>
      </c>
      <c r="L211" s="126"/>
      <c r="M211" s="52">
        <f>M213+M212</f>
        <v>0</v>
      </c>
      <c r="N211" s="52">
        <f>N213+N212</f>
        <v>0</v>
      </c>
      <c r="O211" s="52">
        <f t="shared" si="38"/>
        <v>0</v>
      </c>
      <c r="P211" s="126"/>
      <c r="Q211" s="52">
        <f t="shared" si="39"/>
        <v>7000</v>
      </c>
      <c r="R211" s="52">
        <f t="shared" si="34"/>
        <v>0</v>
      </c>
      <c r="S211" s="52">
        <f t="shared" si="35"/>
        <v>7000</v>
      </c>
    </row>
    <row r="212" spans="2:19" x14ac:dyDescent="0.2">
      <c r="B212" s="79">
        <f t="shared" si="36"/>
        <v>69</v>
      </c>
      <c r="C212" s="4"/>
      <c r="D212" s="4"/>
      <c r="E212" s="4"/>
      <c r="F212" s="56" t="s">
        <v>74</v>
      </c>
      <c r="G212" s="4">
        <v>631</v>
      </c>
      <c r="H212" s="4" t="s">
        <v>134</v>
      </c>
      <c r="I212" s="26">
        <v>2500</v>
      </c>
      <c r="J212" s="26"/>
      <c r="K212" s="26">
        <f t="shared" si="37"/>
        <v>2500</v>
      </c>
      <c r="L212" s="80"/>
      <c r="M212" s="26"/>
      <c r="N212" s="26"/>
      <c r="O212" s="26">
        <f t="shared" si="38"/>
        <v>0</v>
      </c>
      <c r="P212" s="80"/>
      <c r="Q212" s="26">
        <f t="shared" si="39"/>
        <v>2500</v>
      </c>
      <c r="R212" s="26">
        <f t="shared" si="34"/>
        <v>0</v>
      </c>
      <c r="S212" s="26">
        <f t="shared" si="35"/>
        <v>2500</v>
      </c>
    </row>
    <row r="213" spans="2:19" x14ac:dyDescent="0.2">
      <c r="B213" s="79">
        <f t="shared" si="36"/>
        <v>70</v>
      </c>
      <c r="C213" s="4"/>
      <c r="D213" s="4"/>
      <c r="E213" s="4"/>
      <c r="F213" s="56" t="s">
        <v>164</v>
      </c>
      <c r="G213" s="4">
        <v>637</v>
      </c>
      <c r="H213" s="4" t="s">
        <v>129</v>
      </c>
      <c r="I213" s="26">
        <v>4500</v>
      </c>
      <c r="J213" s="26"/>
      <c r="K213" s="26">
        <f t="shared" si="37"/>
        <v>4500</v>
      </c>
      <c r="L213" s="80"/>
      <c r="M213" s="26"/>
      <c r="N213" s="26"/>
      <c r="O213" s="26">
        <f t="shared" si="38"/>
        <v>0</v>
      </c>
      <c r="P213" s="80"/>
      <c r="Q213" s="26">
        <f t="shared" si="39"/>
        <v>4500</v>
      </c>
      <c r="R213" s="26">
        <f t="shared" si="34"/>
        <v>0</v>
      </c>
      <c r="S213" s="26">
        <f t="shared" si="35"/>
        <v>4500</v>
      </c>
    </row>
    <row r="214" spans="2:19" ht="15" x14ac:dyDescent="0.2">
      <c r="B214" s="79">
        <f t="shared" si="36"/>
        <v>71</v>
      </c>
      <c r="C214" s="191">
        <v>7</v>
      </c>
      <c r="D214" s="245" t="s">
        <v>140</v>
      </c>
      <c r="E214" s="246"/>
      <c r="F214" s="246"/>
      <c r="G214" s="246"/>
      <c r="H214" s="247"/>
      <c r="I214" s="48">
        <f>I215+I219</f>
        <v>148700</v>
      </c>
      <c r="J214" s="48">
        <f>J215+J219</f>
        <v>0</v>
      </c>
      <c r="K214" s="48">
        <f t="shared" si="37"/>
        <v>148700</v>
      </c>
      <c r="L214" s="201"/>
      <c r="M214" s="48">
        <f>M215+M219</f>
        <v>76000</v>
      </c>
      <c r="N214" s="48">
        <f>N215+N219</f>
        <v>0</v>
      </c>
      <c r="O214" s="48">
        <f t="shared" si="38"/>
        <v>76000</v>
      </c>
      <c r="P214" s="201"/>
      <c r="Q214" s="48">
        <f t="shared" si="39"/>
        <v>224700</v>
      </c>
      <c r="R214" s="48">
        <f t="shared" si="34"/>
        <v>0</v>
      </c>
      <c r="S214" s="48">
        <f t="shared" si="35"/>
        <v>224700</v>
      </c>
    </row>
    <row r="215" spans="2:19" x14ac:dyDescent="0.2">
      <c r="B215" s="79">
        <f t="shared" si="36"/>
        <v>72</v>
      </c>
      <c r="C215" s="15"/>
      <c r="D215" s="15"/>
      <c r="E215" s="15"/>
      <c r="F215" s="55" t="s">
        <v>74</v>
      </c>
      <c r="G215" s="15">
        <v>630</v>
      </c>
      <c r="H215" s="15" t="s">
        <v>128</v>
      </c>
      <c r="I215" s="52">
        <f>I216+I217+I218</f>
        <v>148700</v>
      </c>
      <c r="J215" s="52">
        <f>J216+J217+J218</f>
        <v>0</v>
      </c>
      <c r="K215" s="52">
        <f t="shared" si="37"/>
        <v>148700</v>
      </c>
      <c r="L215" s="126"/>
      <c r="M215" s="52">
        <v>0</v>
      </c>
      <c r="N215" s="52"/>
      <c r="O215" s="52">
        <f t="shared" si="38"/>
        <v>0</v>
      </c>
      <c r="P215" s="126"/>
      <c r="Q215" s="52">
        <f t="shared" si="39"/>
        <v>148700</v>
      </c>
      <c r="R215" s="52">
        <f t="shared" si="34"/>
        <v>0</v>
      </c>
      <c r="S215" s="52">
        <f t="shared" si="35"/>
        <v>148700</v>
      </c>
    </row>
    <row r="216" spans="2:19" x14ac:dyDescent="0.2">
      <c r="B216" s="79">
        <f t="shared" si="36"/>
        <v>73</v>
      </c>
      <c r="C216" s="4"/>
      <c r="D216" s="4"/>
      <c r="E216" s="4"/>
      <c r="F216" s="56" t="s">
        <v>74</v>
      </c>
      <c r="G216" s="4">
        <v>632</v>
      </c>
      <c r="H216" s="4" t="s">
        <v>139</v>
      </c>
      <c r="I216" s="26">
        <v>4700</v>
      </c>
      <c r="J216" s="26"/>
      <c r="K216" s="26">
        <f t="shared" si="37"/>
        <v>4700</v>
      </c>
      <c r="L216" s="80"/>
      <c r="M216" s="26"/>
      <c r="N216" s="26"/>
      <c r="O216" s="26">
        <f t="shared" si="38"/>
        <v>0</v>
      </c>
      <c r="P216" s="80"/>
      <c r="Q216" s="26">
        <f t="shared" si="39"/>
        <v>4700</v>
      </c>
      <c r="R216" s="26">
        <f t="shared" si="34"/>
        <v>0</v>
      </c>
      <c r="S216" s="26">
        <f t="shared" si="35"/>
        <v>4700</v>
      </c>
    </row>
    <row r="217" spans="2:19" x14ac:dyDescent="0.2">
      <c r="B217" s="79">
        <f t="shared" si="36"/>
        <v>74</v>
      </c>
      <c r="C217" s="4"/>
      <c r="D217" s="4"/>
      <c r="E217" s="4"/>
      <c r="F217" s="56" t="s">
        <v>74</v>
      </c>
      <c r="G217" s="4">
        <v>633</v>
      </c>
      <c r="H217" s="4" t="s">
        <v>132</v>
      </c>
      <c r="I217" s="26">
        <v>21000</v>
      </c>
      <c r="J217" s="26"/>
      <c r="K217" s="26">
        <f t="shared" si="37"/>
        <v>21000</v>
      </c>
      <c r="L217" s="80"/>
      <c r="M217" s="26"/>
      <c r="N217" s="26"/>
      <c r="O217" s="26">
        <f t="shared" si="38"/>
        <v>0</v>
      </c>
      <c r="P217" s="80"/>
      <c r="Q217" s="26">
        <f t="shared" si="39"/>
        <v>21000</v>
      </c>
      <c r="R217" s="26">
        <f t="shared" si="34"/>
        <v>0</v>
      </c>
      <c r="S217" s="26">
        <f t="shared" si="35"/>
        <v>21000</v>
      </c>
    </row>
    <row r="218" spans="2:19" x14ac:dyDescent="0.2">
      <c r="B218" s="79">
        <f t="shared" si="36"/>
        <v>75</v>
      </c>
      <c r="C218" s="4"/>
      <c r="D218" s="4"/>
      <c r="E218" s="4"/>
      <c r="F218" s="56" t="s">
        <v>74</v>
      </c>
      <c r="G218" s="4">
        <v>635</v>
      </c>
      <c r="H218" s="4" t="s">
        <v>138</v>
      </c>
      <c r="I218" s="26">
        <v>123000</v>
      </c>
      <c r="J218" s="26"/>
      <c r="K218" s="26">
        <f t="shared" si="37"/>
        <v>123000</v>
      </c>
      <c r="L218" s="80"/>
      <c r="M218" s="26"/>
      <c r="N218" s="26"/>
      <c r="O218" s="26">
        <f t="shared" si="38"/>
        <v>0</v>
      </c>
      <c r="P218" s="80"/>
      <c r="Q218" s="26">
        <f t="shared" si="39"/>
        <v>123000</v>
      </c>
      <c r="R218" s="26">
        <f t="shared" si="34"/>
        <v>0</v>
      </c>
      <c r="S218" s="26">
        <f t="shared" si="35"/>
        <v>123000</v>
      </c>
    </row>
    <row r="219" spans="2:19" x14ac:dyDescent="0.2">
      <c r="B219" s="79">
        <f t="shared" si="36"/>
        <v>76</v>
      </c>
      <c r="C219" s="15"/>
      <c r="D219" s="15"/>
      <c r="E219" s="15"/>
      <c r="F219" s="55" t="s">
        <v>74</v>
      </c>
      <c r="G219" s="15">
        <v>710</v>
      </c>
      <c r="H219" s="15" t="s">
        <v>184</v>
      </c>
      <c r="I219" s="52">
        <f>I222+I220</f>
        <v>0</v>
      </c>
      <c r="J219" s="52">
        <f>J222+J220</f>
        <v>0</v>
      </c>
      <c r="K219" s="52">
        <f t="shared" si="37"/>
        <v>0</v>
      </c>
      <c r="L219" s="126"/>
      <c r="M219" s="52">
        <f>M222+M220</f>
        <v>76000</v>
      </c>
      <c r="N219" s="52">
        <f>N222+N220</f>
        <v>0</v>
      </c>
      <c r="O219" s="52">
        <f t="shared" si="38"/>
        <v>76000</v>
      </c>
      <c r="P219" s="126"/>
      <c r="Q219" s="52">
        <f t="shared" si="39"/>
        <v>76000</v>
      </c>
      <c r="R219" s="52">
        <f t="shared" si="34"/>
        <v>0</v>
      </c>
      <c r="S219" s="52">
        <f t="shared" si="35"/>
        <v>76000</v>
      </c>
    </row>
    <row r="220" spans="2:19" x14ac:dyDescent="0.2">
      <c r="B220" s="79">
        <f t="shared" si="36"/>
        <v>77</v>
      </c>
      <c r="C220" s="4"/>
      <c r="D220" s="4"/>
      <c r="E220" s="4"/>
      <c r="F220" s="89" t="s">
        <v>74</v>
      </c>
      <c r="G220" s="90">
        <v>711</v>
      </c>
      <c r="H220" s="90" t="s">
        <v>223</v>
      </c>
      <c r="I220" s="91"/>
      <c r="J220" s="91"/>
      <c r="K220" s="91">
        <f t="shared" si="37"/>
        <v>0</v>
      </c>
      <c r="L220" s="80"/>
      <c r="M220" s="91">
        <f>M221</f>
        <v>72000</v>
      </c>
      <c r="N220" s="91">
        <f>N221</f>
        <v>0</v>
      </c>
      <c r="O220" s="91">
        <f t="shared" si="38"/>
        <v>72000</v>
      </c>
      <c r="P220" s="80"/>
      <c r="Q220" s="91">
        <f t="shared" si="39"/>
        <v>72000</v>
      </c>
      <c r="R220" s="91">
        <f t="shared" si="34"/>
        <v>0</v>
      </c>
      <c r="S220" s="91">
        <f t="shared" si="35"/>
        <v>72000</v>
      </c>
    </row>
    <row r="221" spans="2:19" x14ac:dyDescent="0.2">
      <c r="B221" s="79">
        <f t="shared" si="36"/>
        <v>78</v>
      </c>
      <c r="C221" s="4"/>
      <c r="D221" s="4"/>
      <c r="E221" s="4"/>
      <c r="F221" s="56"/>
      <c r="G221" s="4"/>
      <c r="H221" s="4" t="s">
        <v>179</v>
      </c>
      <c r="I221" s="26"/>
      <c r="J221" s="26"/>
      <c r="K221" s="26">
        <f t="shared" si="37"/>
        <v>0</v>
      </c>
      <c r="L221" s="80"/>
      <c r="M221" s="26">
        <f>75000-5000+2000</f>
        <v>72000</v>
      </c>
      <c r="N221" s="26"/>
      <c r="O221" s="26">
        <f t="shared" si="38"/>
        <v>72000</v>
      </c>
      <c r="P221" s="80"/>
      <c r="Q221" s="26">
        <f t="shared" si="39"/>
        <v>72000</v>
      </c>
      <c r="R221" s="26">
        <f t="shared" si="34"/>
        <v>0</v>
      </c>
      <c r="S221" s="26">
        <f t="shared" si="35"/>
        <v>72000</v>
      </c>
    </row>
    <row r="222" spans="2:19" x14ac:dyDescent="0.2">
      <c r="B222" s="79">
        <f t="shared" si="36"/>
        <v>79</v>
      </c>
      <c r="C222" s="4"/>
      <c r="D222" s="58"/>
      <c r="E222" s="4"/>
      <c r="F222" s="89" t="s">
        <v>74</v>
      </c>
      <c r="G222" s="90">
        <v>713</v>
      </c>
      <c r="H222" s="92" t="s">
        <v>4</v>
      </c>
      <c r="I222" s="91"/>
      <c r="J222" s="91"/>
      <c r="K222" s="91">
        <f t="shared" si="37"/>
        <v>0</v>
      </c>
      <c r="L222" s="80"/>
      <c r="M222" s="91">
        <f>M223</f>
        <v>4000</v>
      </c>
      <c r="N222" s="91">
        <f>N223</f>
        <v>0</v>
      </c>
      <c r="O222" s="91">
        <f t="shared" si="38"/>
        <v>4000</v>
      </c>
      <c r="P222" s="80"/>
      <c r="Q222" s="91">
        <f t="shared" si="39"/>
        <v>4000</v>
      </c>
      <c r="R222" s="91">
        <f t="shared" si="34"/>
        <v>0</v>
      </c>
      <c r="S222" s="91">
        <f t="shared" si="35"/>
        <v>4000</v>
      </c>
    </row>
    <row r="223" spans="2:19" x14ac:dyDescent="0.2">
      <c r="B223" s="79">
        <f t="shared" si="36"/>
        <v>80</v>
      </c>
      <c r="C223" s="4"/>
      <c r="D223" s="58"/>
      <c r="E223" s="4"/>
      <c r="F223" s="56"/>
      <c r="G223" s="4"/>
      <c r="H223" s="38" t="s">
        <v>3</v>
      </c>
      <c r="I223" s="26"/>
      <c r="J223" s="26"/>
      <c r="K223" s="26">
        <f t="shared" si="37"/>
        <v>0</v>
      </c>
      <c r="L223" s="80"/>
      <c r="M223" s="26">
        <f>10000-2000-4000</f>
        <v>4000</v>
      </c>
      <c r="N223" s="26"/>
      <c r="O223" s="26">
        <f t="shared" si="38"/>
        <v>4000</v>
      </c>
      <c r="P223" s="80"/>
      <c r="Q223" s="26">
        <f t="shared" si="39"/>
        <v>4000</v>
      </c>
      <c r="R223" s="26">
        <f t="shared" si="34"/>
        <v>0</v>
      </c>
      <c r="S223" s="26">
        <f t="shared" si="35"/>
        <v>4000</v>
      </c>
    </row>
    <row r="224" spans="2:19" ht="15" x14ac:dyDescent="0.2">
      <c r="B224" s="79">
        <f t="shared" si="36"/>
        <v>81</v>
      </c>
      <c r="C224" s="191">
        <v>8</v>
      </c>
      <c r="D224" s="245" t="s">
        <v>36</v>
      </c>
      <c r="E224" s="246"/>
      <c r="F224" s="246"/>
      <c r="G224" s="246"/>
      <c r="H224" s="247"/>
      <c r="I224" s="48">
        <f>I225</f>
        <v>30000</v>
      </c>
      <c r="J224" s="48">
        <f>J225</f>
        <v>0</v>
      </c>
      <c r="K224" s="48">
        <f t="shared" si="37"/>
        <v>30000</v>
      </c>
      <c r="L224" s="201"/>
      <c r="M224" s="48">
        <f>M225</f>
        <v>0</v>
      </c>
      <c r="N224" s="48">
        <f>N225</f>
        <v>0</v>
      </c>
      <c r="O224" s="48">
        <f t="shared" si="38"/>
        <v>0</v>
      </c>
      <c r="P224" s="201"/>
      <c r="Q224" s="48">
        <f t="shared" si="39"/>
        <v>30000</v>
      </c>
      <c r="R224" s="48">
        <f t="shared" si="34"/>
        <v>0</v>
      </c>
      <c r="S224" s="48">
        <f t="shared" si="35"/>
        <v>30000</v>
      </c>
    </row>
    <row r="225" spans="2:19" x14ac:dyDescent="0.2">
      <c r="B225" s="79">
        <f t="shared" si="36"/>
        <v>82</v>
      </c>
      <c r="C225" s="15"/>
      <c r="D225" s="15"/>
      <c r="E225" s="15"/>
      <c r="F225" s="55" t="s">
        <v>74</v>
      </c>
      <c r="G225" s="15">
        <v>630</v>
      </c>
      <c r="H225" s="15" t="s">
        <v>128</v>
      </c>
      <c r="I225" s="52">
        <f>I227+I226</f>
        <v>30000</v>
      </c>
      <c r="J225" s="52">
        <f>J227+J226</f>
        <v>0</v>
      </c>
      <c r="K225" s="52">
        <f t="shared" si="37"/>
        <v>30000</v>
      </c>
      <c r="L225" s="126"/>
      <c r="M225" s="52">
        <f>M227+M226</f>
        <v>0</v>
      </c>
      <c r="N225" s="52">
        <f>N227+N226</f>
        <v>0</v>
      </c>
      <c r="O225" s="52">
        <f t="shared" si="38"/>
        <v>0</v>
      </c>
      <c r="P225" s="126"/>
      <c r="Q225" s="52">
        <f t="shared" si="39"/>
        <v>30000</v>
      </c>
      <c r="R225" s="52">
        <f t="shared" si="34"/>
        <v>0</v>
      </c>
      <c r="S225" s="52">
        <f t="shared" si="35"/>
        <v>30000</v>
      </c>
    </row>
    <row r="226" spans="2:19" x14ac:dyDescent="0.2">
      <c r="B226" s="79">
        <f t="shared" si="36"/>
        <v>83</v>
      </c>
      <c r="C226" s="4"/>
      <c r="D226" s="4"/>
      <c r="E226" s="4"/>
      <c r="F226" s="56" t="s">
        <v>74</v>
      </c>
      <c r="G226" s="4">
        <v>634</v>
      </c>
      <c r="H226" s="4" t="s">
        <v>137</v>
      </c>
      <c r="I226" s="26">
        <v>29450</v>
      </c>
      <c r="J226" s="26"/>
      <c r="K226" s="26">
        <f t="shared" si="37"/>
        <v>29450</v>
      </c>
      <c r="L226" s="80"/>
      <c r="M226" s="26"/>
      <c r="N226" s="26"/>
      <c r="O226" s="26">
        <f t="shared" si="38"/>
        <v>0</v>
      </c>
      <c r="P226" s="80"/>
      <c r="Q226" s="26">
        <f t="shared" si="39"/>
        <v>29450</v>
      </c>
      <c r="R226" s="26">
        <f t="shared" si="34"/>
        <v>0</v>
      </c>
      <c r="S226" s="26">
        <f t="shared" si="35"/>
        <v>29450</v>
      </c>
    </row>
    <row r="227" spans="2:19" x14ac:dyDescent="0.2">
      <c r="B227" s="79">
        <f t="shared" si="36"/>
        <v>84</v>
      </c>
      <c r="C227" s="4"/>
      <c r="D227" s="4"/>
      <c r="E227" s="4"/>
      <c r="F227" s="56" t="s">
        <v>74</v>
      </c>
      <c r="G227" s="4">
        <v>637</v>
      </c>
      <c r="H227" s="4" t="s">
        <v>129</v>
      </c>
      <c r="I227" s="26">
        <v>550</v>
      </c>
      <c r="J227" s="26"/>
      <c r="K227" s="26">
        <f t="shared" si="37"/>
        <v>550</v>
      </c>
      <c r="L227" s="80"/>
      <c r="M227" s="26"/>
      <c r="N227" s="26"/>
      <c r="O227" s="26">
        <f t="shared" si="38"/>
        <v>0</v>
      </c>
      <c r="P227" s="80"/>
      <c r="Q227" s="26">
        <f t="shared" si="39"/>
        <v>550</v>
      </c>
      <c r="R227" s="26">
        <f t="shared" si="34"/>
        <v>0</v>
      </c>
      <c r="S227" s="26">
        <f t="shared" si="35"/>
        <v>550</v>
      </c>
    </row>
    <row r="274" spans="2:19" ht="27" x14ac:dyDescent="0.35">
      <c r="B274" s="248" t="s">
        <v>297</v>
      </c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O274" s="249"/>
      <c r="P274" s="249"/>
      <c r="Q274" s="249"/>
    </row>
    <row r="275" spans="2:19" ht="12.75" customHeight="1" x14ac:dyDescent="0.2">
      <c r="B275" s="260" t="s">
        <v>281</v>
      </c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2"/>
      <c r="P275" s="208"/>
      <c r="Q275" s="250" t="s">
        <v>779</v>
      </c>
      <c r="R275" s="250" t="s">
        <v>773</v>
      </c>
      <c r="S275" s="250" t="s">
        <v>774</v>
      </c>
    </row>
    <row r="276" spans="2:19" ht="12.75" customHeight="1" x14ac:dyDescent="0.2">
      <c r="B276" s="253" t="s">
        <v>112</v>
      </c>
      <c r="C276" s="255" t="s">
        <v>120</v>
      </c>
      <c r="D276" s="255" t="s">
        <v>121</v>
      </c>
      <c r="E276" s="257" t="s">
        <v>125</v>
      </c>
      <c r="F276" s="255" t="s">
        <v>122</v>
      </c>
      <c r="G276" s="255" t="s">
        <v>123</v>
      </c>
      <c r="H276" s="263" t="s">
        <v>124</v>
      </c>
      <c r="I276" s="250" t="s">
        <v>777</v>
      </c>
      <c r="J276" s="251" t="s">
        <v>773</v>
      </c>
      <c r="K276" s="251" t="s">
        <v>775</v>
      </c>
      <c r="L276" s="197"/>
      <c r="M276" s="250" t="s">
        <v>778</v>
      </c>
      <c r="N276" s="251" t="s">
        <v>773</v>
      </c>
      <c r="O276" s="251" t="s">
        <v>776</v>
      </c>
      <c r="P276" s="198"/>
      <c r="Q276" s="251"/>
      <c r="R276" s="251"/>
      <c r="S276" s="251"/>
    </row>
    <row r="277" spans="2:19" x14ac:dyDescent="0.2">
      <c r="B277" s="253"/>
      <c r="C277" s="255"/>
      <c r="D277" s="255"/>
      <c r="E277" s="258"/>
      <c r="F277" s="255"/>
      <c r="G277" s="255"/>
      <c r="H277" s="263"/>
      <c r="I277" s="251"/>
      <c r="J277" s="251"/>
      <c r="K277" s="251"/>
      <c r="L277" s="198"/>
      <c r="M277" s="251"/>
      <c r="N277" s="251"/>
      <c r="O277" s="251"/>
      <c r="P277" s="198"/>
      <c r="Q277" s="251"/>
      <c r="R277" s="251"/>
      <c r="S277" s="251"/>
    </row>
    <row r="278" spans="2:19" x14ac:dyDescent="0.2">
      <c r="B278" s="253"/>
      <c r="C278" s="255"/>
      <c r="D278" s="255"/>
      <c r="E278" s="258"/>
      <c r="F278" s="255"/>
      <c r="G278" s="255"/>
      <c r="H278" s="263"/>
      <c r="I278" s="251"/>
      <c r="J278" s="251"/>
      <c r="K278" s="251"/>
      <c r="L278" s="198"/>
      <c r="M278" s="251"/>
      <c r="N278" s="251"/>
      <c r="O278" s="251"/>
      <c r="P278" s="198"/>
      <c r="Q278" s="251"/>
      <c r="R278" s="251"/>
      <c r="S278" s="251"/>
    </row>
    <row r="279" spans="2:19" ht="13.5" thickBot="1" x14ac:dyDescent="0.25">
      <c r="B279" s="254"/>
      <c r="C279" s="256"/>
      <c r="D279" s="256"/>
      <c r="E279" s="259"/>
      <c r="F279" s="256"/>
      <c r="G279" s="256"/>
      <c r="H279" s="264"/>
      <c r="I279" s="252"/>
      <c r="J279" s="252"/>
      <c r="K279" s="252"/>
      <c r="L279" s="199"/>
      <c r="M279" s="252"/>
      <c r="N279" s="252"/>
      <c r="O279" s="252"/>
      <c r="P279" s="199"/>
      <c r="Q279" s="252"/>
      <c r="R279" s="252"/>
      <c r="S279" s="252"/>
    </row>
    <row r="280" spans="2:19" ht="16.5" thickTop="1" x14ac:dyDescent="0.2">
      <c r="B280" s="78">
        <v>1</v>
      </c>
      <c r="C280" s="265" t="s">
        <v>297</v>
      </c>
      <c r="D280" s="266"/>
      <c r="E280" s="266"/>
      <c r="F280" s="266"/>
      <c r="G280" s="266"/>
      <c r="H280" s="267"/>
      <c r="I280" s="110">
        <f>I345+I329+I317+I307+I297+I286+I281</f>
        <v>506040</v>
      </c>
      <c r="J280" s="110">
        <f>J345+J329+J317+J307+J297+J286+J281</f>
        <v>0</v>
      </c>
      <c r="K280" s="110">
        <f>I280+J280</f>
        <v>506040</v>
      </c>
      <c r="L280" s="200"/>
      <c r="M280" s="110">
        <f>M345+M329+M317+M307+M297+M286+M281</f>
        <v>60712</v>
      </c>
      <c r="N280" s="110">
        <f>N345+N329+N317+N307+N297+N286+N281</f>
        <v>0</v>
      </c>
      <c r="O280" s="110">
        <f>M280+N280</f>
        <v>60712</v>
      </c>
      <c r="P280" s="200"/>
      <c r="Q280" s="47">
        <f t="shared" ref="Q280:Q343" si="40">I280+M280</f>
        <v>566752</v>
      </c>
      <c r="R280" s="47">
        <f t="shared" ref="R280:R343" si="41">J280+N280</f>
        <v>0</v>
      </c>
      <c r="S280" s="47">
        <f t="shared" ref="S280:S343" si="42">K280+O280</f>
        <v>566752</v>
      </c>
    </row>
    <row r="281" spans="2:19" ht="15" x14ac:dyDescent="0.2">
      <c r="B281" s="79">
        <f t="shared" ref="B281:B344" si="43">B280+1</f>
        <v>2</v>
      </c>
      <c r="C281" s="191">
        <v>1</v>
      </c>
      <c r="D281" s="245" t="s">
        <v>192</v>
      </c>
      <c r="E281" s="246"/>
      <c r="F281" s="246"/>
      <c r="G281" s="246"/>
      <c r="H281" s="247"/>
      <c r="I281" s="48">
        <f>I282+I283</f>
        <v>27500</v>
      </c>
      <c r="J281" s="48">
        <f>J282+J283</f>
        <v>0</v>
      </c>
      <c r="K281" s="48">
        <f t="shared" ref="K281:K344" si="44">I281+J281</f>
        <v>27500</v>
      </c>
      <c r="L281" s="201"/>
      <c r="M281" s="48">
        <f>M282+M283</f>
        <v>0</v>
      </c>
      <c r="N281" s="48">
        <f>N282+N283</f>
        <v>0</v>
      </c>
      <c r="O281" s="48">
        <f t="shared" ref="O281:O344" si="45">M281+N281</f>
        <v>0</v>
      </c>
      <c r="P281" s="201"/>
      <c r="Q281" s="48">
        <f t="shared" si="40"/>
        <v>27500</v>
      </c>
      <c r="R281" s="48">
        <f t="shared" si="41"/>
        <v>0</v>
      </c>
      <c r="S281" s="48">
        <f t="shared" si="42"/>
        <v>27500</v>
      </c>
    </row>
    <row r="282" spans="2:19" x14ac:dyDescent="0.2">
      <c r="B282" s="79">
        <f t="shared" si="43"/>
        <v>3</v>
      </c>
      <c r="C282" s="15"/>
      <c r="D282" s="15"/>
      <c r="E282" s="15"/>
      <c r="F282" s="55" t="s">
        <v>75</v>
      </c>
      <c r="G282" s="15">
        <v>620</v>
      </c>
      <c r="H282" s="15" t="s">
        <v>131</v>
      </c>
      <c r="I282" s="52">
        <v>3900</v>
      </c>
      <c r="J282" s="52"/>
      <c r="K282" s="52">
        <f t="shared" si="44"/>
        <v>3900</v>
      </c>
      <c r="L282" s="126"/>
      <c r="M282" s="52"/>
      <c r="N282" s="52"/>
      <c r="O282" s="52">
        <f t="shared" si="45"/>
        <v>0</v>
      </c>
      <c r="P282" s="126"/>
      <c r="Q282" s="52">
        <f t="shared" si="40"/>
        <v>3900</v>
      </c>
      <c r="R282" s="52">
        <f t="shared" si="41"/>
        <v>0</v>
      </c>
      <c r="S282" s="52">
        <f t="shared" si="42"/>
        <v>3900</v>
      </c>
    </row>
    <row r="283" spans="2:19" x14ac:dyDescent="0.2">
      <c r="B283" s="79">
        <f t="shared" si="43"/>
        <v>4</v>
      </c>
      <c r="C283" s="15"/>
      <c r="D283" s="15"/>
      <c r="E283" s="15"/>
      <c r="F283" s="55" t="s">
        <v>75</v>
      </c>
      <c r="G283" s="15">
        <v>630</v>
      </c>
      <c r="H283" s="15" t="s">
        <v>128</v>
      </c>
      <c r="I283" s="52">
        <f>I285+I284</f>
        <v>23600</v>
      </c>
      <c r="J283" s="52">
        <f>J285+J284</f>
        <v>0</v>
      </c>
      <c r="K283" s="52">
        <f t="shared" si="44"/>
        <v>23600</v>
      </c>
      <c r="L283" s="126"/>
      <c r="M283" s="52">
        <f>M285+M284</f>
        <v>0</v>
      </c>
      <c r="N283" s="52">
        <f>N285+N284</f>
        <v>0</v>
      </c>
      <c r="O283" s="52">
        <f t="shared" si="45"/>
        <v>0</v>
      </c>
      <c r="P283" s="126"/>
      <c r="Q283" s="52">
        <f t="shared" si="40"/>
        <v>23600</v>
      </c>
      <c r="R283" s="52">
        <f t="shared" si="41"/>
        <v>0</v>
      </c>
      <c r="S283" s="52">
        <f t="shared" si="42"/>
        <v>23600</v>
      </c>
    </row>
    <row r="284" spans="2:19" x14ac:dyDescent="0.2">
      <c r="B284" s="79">
        <f t="shared" si="43"/>
        <v>5</v>
      </c>
      <c r="C284" s="4"/>
      <c r="D284" s="4"/>
      <c r="E284" s="4"/>
      <c r="F284" s="56" t="s">
        <v>75</v>
      </c>
      <c r="G284" s="4">
        <v>633</v>
      </c>
      <c r="H284" s="4" t="s">
        <v>132</v>
      </c>
      <c r="I284" s="26">
        <v>3100</v>
      </c>
      <c r="J284" s="26"/>
      <c r="K284" s="26">
        <f t="shared" si="44"/>
        <v>3100</v>
      </c>
      <c r="L284" s="80"/>
      <c r="M284" s="26"/>
      <c r="N284" s="26"/>
      <c r="O284" s="26">
        <f t="shared" si="45"/>
        <v>0</v>
      </c>
      <c r="P284" s="80"/>
      <c r="Q284" s="26">
        <f t="shared" si="40"/>
        <v>3100</v>
      </c>
      <c r="R284" s="26">
        <f t="shared" si="41"/>
        <v>0</v>
      </c>
      <c r="S284" s="26">
        <f t="shared" si="42"/>
        <v>3100</v>
      </c>
    </row>
    <row r="285" spans="2:19" x14ac:dyDescent="0.2">
      <c r="B285" s="79">
        <f t="shared" si="43"/>
        <v>6</v>
      </c>
      <c r="C285" s="4"/>
      <c r="D285" s="4"/>
      <c r="E285" s="4"/>
      <c r="F285" s="56" t="s">
        <v>75</v>
      </c>
      <c r="G285" s="4">
        <v>637</v>
      </c>
      <c r="H285" s="4" t="s">
        <v>129</v>
      </c>
      <c r="I285" s="26">
        <v>20500</v>
      </c>
      <c r="J285" s="26"/>
      <c r="K285" s="26">
        <f t="shared" si="44"/>
        <v>20500</v>
      </c>
      <c r="L285" s="80"/>
      <c r="M285" s="26"/>
      <c r="N285" s="26"/>
      <c r="O285" s="26">
        <f t="shared" si="45"/>
        <v>0</v>
      </c>
      <c r="P285" s="80"/>
      <c r="Q285" s="26">
        <f t="shared" si="40"/>
        <v>20500</v>
      </c>
      <c r="R285" s="26">
        <f t="shared" si="41"/>
        <v>0</v>
      </c>
      <c r="S285" s="26">
        <f t="shared" si="42"/>
        <v>20500</v>
      </c>
    </row>
    <row r="286" spans="2:19" ht="15" x14ac:dyDescent="0.2">
      <c r="B286" s="79">
        <f t="shared" si="43"/>
        <v>7</v>
      </c>
      <c r="C286" s="191">
        <v>2</v>
      </c>
      <c r="D286" s="245" t="s">
        <v>196</v>
      </c>
      <c r="E286" s="246"/>
      <c r="F286" s="246"/>
      <c r="G286" s="246"/>
      <c r="H286" s="247"/>
      <c r="I286" s="48">
        <f>I287+I288+I289+I296</f>
        <v>100485</v>
      </c>
      <c r="J286" s="48">
        <f>J287+J288+J289+J296</f>
        <v>0</v>
      </c>
      <c r="K286" s="48">
        <f t="shared" si="44"/>
        <v>100485</v>
      </c>
      <c r="L286" s="201"/>
      <c r="M286" s="48">
        <f>M287+M288+M289+M296</f>
        <v>0</v>
      </c>
      <c r="N286" s="48">
        <f>N287+N288+N289+N296</f>
        <v>0</v>
      </c>
      <c r="O286" s="48">
        <f t="shared" si="45"/>
        <v>0</v>
      </c>
      <c r="P286" s="201"/>
      <c r="Q286" s="48">
        <f t="shared" si="40"/>
        <v>100485</v>
      </c>
      <c r="R286" s="48">
        <f t="shared" si="41"/>
        <v>0</v>
      </c>
      <c r="S286" s="48">
        <f t="shared" si="42"/>
        <v>100485</v>
      </c>
    </row>
    <row r="287" spans="2:19" x14ac:dyDescent="0.2">
      <c r="B287" s="79">
        <f t="shared" si="43"/>
        <v>8</v>
      </c>
      <c r="C287" s="15"/>
      <c r="D287" s="15"/>
      <c r="E287" s="15"/>
      <c r="F287" s="55" t="s">
        <v>195</v>
      </c>
      <c r="G287" s="15">
        <v>610</v>
      </c>
      <c r="H287" s="15" t="s">
        <v>136</v>
      </c>
      <c r="I287" s="52">
        <f>56000+4800-1000</f>
        <v>59800</v>
      </c>
      <c r="J287" s="52"/>
      <c r="K287" s="52">
        <f t="shared" si="44"/>
        <v>59800</v>
      </c>
      <c r="L287" s="126"/>
      <c r="M287" s="52"/>
      <c r="N287" s="52"/>
      <c r="O287" s="52">
        <f t="shared" si="45"/>
        <v>0</v>
      </c>
      <c r="P287" s="126"/>
      <c r="Q287" s="52">
        <f t="shared" si="40"/>
        <v>59800</v>
      </c>
      <c r="R287" s="52">
        <f t="shared" si="41"/>
        <v>0</v>
      </c>
      <c r="S287" s="52">
        <f t="shared" si="42"/>
        <v>59800</v>
      </c>
    </row>
    <row r="288" spans="2:19" x14ac:dyDescent="0.2">
      <c r="B288" s="79">
        <f t="shared" si="43"/>
        <v>9</v>
      </c>
      <c r="C288" s="15"/>
      <c r="D288" s="15"/>
      <c r="E288" s="15"/>
      <c r="F288" s="55" t="s">
        <v>195</v>
      </c>
      <c r="G288" s="15">
        <v>620</v>
      </c>
      <c r="H288" s="15" t="s">
        <v>131</v>
      </c>
      <c r="I288" s="52">
        <f>20900+1772</f>
        <v>22672</v>
      </c>
      <c r="J288" s="52"/>
      <c r="K288" s="52">
        <f t="shared" si="44"/>
        <v>22672</v>
      </c>
      <c r="L288" s="126"/>
      <c r="M288" s="52"/>
      <c r="N288" s="52"/>
      <c r="O288" s="52">
        <f t="shared" si="45"/>
        <v>0</v>
      </c>
      <c r="P288" s="126"/>
      <c r="Q288" s="52">
        <f t="shared" si="40"/>
        <v>22672</v>
      </c>
      <c r="R288" s="52">
        <f t="shared" si="41"/>
        <v>0</v>
      </c>
      <c r="S288" s="52">
        <f t="shared" si="42"/>
        <v>22672</v>
      </c>
    </row>
    <row r="289" spans="2:19" x14ac:dyDescent="0.2">
      <c r="B289" s="79">
        <f t="shared" si="43"/>
        <v>10</v>
      </c>
      <c r="C289" s="15"/>
      <c r="D289" s="15"/>
      <c r="E289" s="15"/>
      <c r="F289" s="55" t="s">
        <v>195</v>
      </c>
      <c r="G289" s="15">
        <v>630</v>
      </c>
      <c r="H289" s="15" t="s">
        <v>128</v>
      </c>
      <c r="I289" s="52">
        <f>I294+I293+I292+I291+I290+I295</f>
        <v>17813</v>
      </c>
      <c r="J289" s="52">
        <f>J294+J293+J292+J291+J290+J295</f>
        <v>0</v>
      </c>
      <c r="K289" s="52">
        <f t="shared" si="44"/>
        <v>17813</v>
      </c>
      <c r="L289" s="126"/>
      <c r="M289" s="52">
        <f>M294+M293+M292+M291+M290</f>
        <v>0</v>
      </c>
      <c r="N289" s="52">
        <f>N294+N293+N292+N291+N290</f>
        <v>0</v>
      </c>
      <c r="O289" s="52">
        <f t="shared" si="45"/>
        <v>0</v>
      </c>
      <c r="P289" s="126"/>
      <c r="Q289" s="52">
        <f t="shared" si="40"/>
        <v>17813</v>
      </c>
      <c r="R289" s="52">
        <f t="shared" si="41"/>
        <v>0</v>
      </c>
      <c r="S289" s="52">
        <f t="shared" si="42"/>
        <v>17813</v>
      </c>
    </row>
    <row r="290" spans="2:19" x14ac:dyDescent="0.2">
      <c r="B290" s="79">
        <f t="shared" si="43"/>
        <v>11</v>
      </c>
      <c r="C290" s="4"/>
      <c r="D290" s="4"/>
      <c r="E290" s="4"/>
      <c r="F290" s="56" t="s">
        <v>195</v>
      </c>
      <c r="G290" s="4">
        <v>631</v>
      </c>
      <c r="H290" s="4" t="s">
        <v>134</v>
      </c>
      <c r="I290" s="26">
        <v>500</v>
      </c>
      <c r="J290" s="26"/>
      <c r="K290" s="26">
        <f t="shared" si="44"/>
        <v>500</v>
      </c>
      <c r="L290" s="80"/>
      <c r="M290" s="26"/>
      <c r="N290" s="26"/>
      <c r="O290" s="26">
        <f t="shared" si="45"/>
        <v>0</v>
      </c>
      <c r="P290" s="80"/>
      <c r="Q290" s="26">
        <f t="shared" si="40"/>
        <v>500</v>
      </c>
      <c r="R290" s="26">
        <f t="shared" si="41"/>
        <v>0</v>
      </c>
      <c r="S290" s="26">
        <f t="shared" si="42"/>
        <v>500</v>
      </c>
    </row>
    <row r="291" spans="2:19" x14ac:dyDescent="0.2">
      <c r="B291" s="79">
        <f t="shared" si="43"/>
        <v>12</v>
      </c>
      <c r="C291" s="4"/>
      <c r="D291" s="4"/>
      <c r="E291" s="4"/>
      <c r="F291" s="56" t="s">
        <v>195</v>
      </c>
      <c r="G291" s="4">
        <v>632</v>
      </c>
      <c r="H291" s="4" t="s">
        <v>139</v>
      </c>
      <c r="I291" s="26">
        <v>1800</v>
      </c>
      <c r="J291" s="26">
        <v>1300</v>
      </c>
      <c r="K291" s="26">
        <f t="shared" si="44"/>
        <v>3100</v>
      </c>
      <c r="L291" s="80"/>
      <c r="M291" s="26"/>
      <c r="N291" s="26"/>
      <c r="O291" s="26">
        <f t="shared" si="45"/>
        <v>0</v>
      </c>
      <c r="P291" s="80"/>
      <c r="Q291" s="26">
        <f t="shared" si="40"/>
        <v>1800</v>
      </c>
      <c r="R291" s="26">
        <f t="shared" si="41"/>
        <v>1300</v>
      </c>
      <c r="S291" s="26">
        <f t="shared" si="42"/>
        <v>3100</v>
      </c>
    </row>
    <row r="292" spans="2:19" x14ac:dyDescent="0.2">
      <c r="B292" s="79">
        <f t="shared" si="43"/>
        <v>13</v>
      </c>
      <c r="C292" s="4"/>
      <c r="D292" s="4"/>
      <c r="E292" s="4"/>
      <c r="F292" s="56" t="s">
        <v>195</v>
      </c>
      <c r="G292" s="4">
        <v>633</v>
      </c>
      <c r="H292" s="4" t="s">
        <v>132</v>
      </c>
      <c r="I292" s="26">
        <f>2800+1000+3362</f>
        <v>7162</v>
      </c>
      <c r="J292" s="26">
        <v>-1300</v>
      </c>
      <c r="K292" s="26">
        <f t="shared" si="44"/>
        <v>5862</v>
      </c>
      <c r="L292" s="80"/>
      <c r="M292" s="26"/>
      <c r="N292" s="26"/>
      <c r="O292" s="26">
        <f t="shared" si="45"/>
        <v>0</v>
      </c>
      <c r="P292" s="80"/>
      <c r="Q292" s="26">
        <f t="shared" si="40"/>
        <v>7162</v>
      </c>
      <c r="R292" s="26">
        <f t="shared" si="41"/>
        <v>-1300</v>
      </c>
      <c r="S292" s="26">
        <f t="shared" si="42"/>
        <v>5862</v>
      </c>
    </row>
    <row r="293" spans="2:19" x14ac:dyDescent="0.2">
      <c r="B293" s="79">
        <f t="shared" si="43"/>
        <v>14</v>
      </c>
      <c r="C293" s="4"/>
      <c r="D293" s="4"/>
      <c r="E293" s="4"/>
      <c r="F293" s="56" t="s">
        <v>195</v>
      </c>
      <c r="G293" s="4">
        <v>635</v>
      </c>
      <c r="H293" s="4" t="s">
        <v>138</v>
      </c>
      <c r="I293" s="26">
        <v>100</v>
      </c>
      <c r="J293" s="26"/>
      <c r="K293" s="26">
        <f t="shared" si="44"/>
        <v>100</v>
      </c>
      <c r="L293" s="80"/>
      <c r="M293" s="26"/>
      <c r="N293" s="26"/>
      <c r="O293" s="26">
        <f t="shared" si="45"/>
        <v>0</v>
      </c>
      <c r="P293" s="80"/>
      <c r="Q293" s="26">
        <f t="shared" si="40"/>
        <v>100</v>
      </c>
      <c r="R293" s="26">
        <f t="shared" si="41"/>
        <v>0</v>
      </c>
      <c r="S293" s="26">
        <f t="shared" si="42"/>
        <v>100</v>
      </c>
    </row>
    <row r="294" spans="2:19" x14ac:dyDescent="0.2">
      <c r="B294" s="79">
        <f t="shared" si="43"/>
        <v>15</v>
      </c>
      <c r="C294" s="4"/>
      <c r="D294" s="4"/>
      <c r="E294" s="4"/>
      <c r="F294" s="56" t="s">
        <v>195</v>
      </c>
      <c r="G294" s="4">
        <v>637</v>
      </c>
      <c r="H294" s="4" t="s">
        <v>129</v>
      </c>
      <c r="I294" s="26">
        <f>6900+200</f>
        <v>7100</v>
      </c>
      <c r="J294" s="26"/>
      <c r="K294" s="26">
        <f t="shared" si="44"/>
        <v>7100</v>
      </c>
      <c r="L294" s="80"/>
      <c r="M294" s="26"/>
      <c r="N294" s="26"/>
      <c r="O294" s="26">
        <f t="shared" si="45"/>
        <v>0</v>
      </c>
      <c r="P294" s="80"/>
      <c r="Q294" s="26">
        <f t="shared" si="40"/>
        <v>7100</v>
      </c>
      <c r="R294" s="26">
        <f t="shared" si="41"/>
        <v>0</v>
      </c>
      <c r="S294" s="26">
        <f t="shared" si="42"/>
        <v>7100</v>
      </c>
    </row>
    <row r="295" spans="2:19" x14ac:dyDescent="0.2">
      <c r="B295" s="79"/>
      <c r="C295" s="4"/>
      <c r="D295" s="4"/>
      <c r="E295" s="4"/>
      <c r="F295" s="56" t="s">
        <v>195</v>
      </c>
      <c r="G295" s="4">
        <v>630</v>
      </c>
      <c r="H295" s="4" t="s">
        <v>598</v>
      </c>
      <c r="I295" s="26">
        <v>1151</v>
      </c>
      <c r="J295" s="26"/>
      <c r="K295" s="26">
        <f t="shared" si="44"/>
        <v>1151</v>
      </c>
      <c r="L295" s="80"/>
      <c r="M295" s="26"/>
      <c r="N295" s="26"/>
      <c r="O295" s="26">
        <f t="shared" si="45"/>
        <v>0</v>
      </c>
      <c r="P295" s="80"/>
      <c r="Q295" s="26">
        <f t="shared" si="40"/>
        <v>1151</v>
      </c>
      <c r="R295" s="26">
        <f t="shared" si="41"/>
        <v>0</v>
      </c>
      <c r="S295" s="26">
        <f t="shared" si="42"/>
        <v>1151</v>
      </c>
    </row>
    <row r="296" spans="2:19" x14ac:dyDescent="0.2">
      <c r="B296" s="79">
        <f>B294+1</f>
        <v>16</v>
      </c>
      <c r="C296" s="15"/>
      <c r="D296" s="15"/>
      <c r="E296" s="15"/>
      <c r="F296" s="55" t="s">
        <v>195</v>
      </c>
      <c r="G296" s="15">
        <v>640</v>
      </c>
      <c r="H296" s="15" t="s">
        <v>135</v>
      </c>
      <c r="I296" s="52">
        <v>200</v>
      </c>
      <c r="J296" s="52"/>
      <c r="K296" s="52">
        <f t="shared" si="44"/>
        <v>200</v>
      </c>
      <c r="L296" s="126"/>
      <c r="M296" s="52"/>
      <c r="N296" s="52"/>
      <c r="O296" s="52">
        <f t="shared" si="45"/>
        <v>0</v>
      </c>
      <c r="P296" s="126"/>
      <c r="Q296" s="52">
        <f t="shared" si="40"/>
        <v>200</v>
      </c>
      <c r="R296" s="52">
        <f t="shared" si="41"/>
        <v>0</v>
      </c>
      <c r="S296" s="52">
        <f t="shared" si="42"/>
        <v>200</v>
      </c>
    </row>
    <row r="297" spans="2:19" ht="15" x14ac:dyDescent="0.2">
      <c r="B297" s="79">
        <f t="shared" si="43"/>
        <v>17</v>
      </c>
      <c r="C297" s="191">
        <v>3</v>
      </c>
      <c r="D297" s="245" t="s">
        <v>178</v>
      </c>
      <c r="E297" s="246"/>
      <c r="F297" s="246"/>
      <c r="G297" s="246"/>
      <c r="H297" s="247"/>
      <c r="I297" s="48">
        <f>I298+I299+I300+I306</f>
        <v>172220</v>
      </c>
      <c r="J297" s="48">
        <f>J298+J299+J300+J306</f>
        <v>0</v>
      </c>
      <c r="K297" s="48">
        <f t="shared" si="44"/>
        <v>172220</v>
      </c>
      <c r="L297" s="201"/>
      <c r="M297" s="48">
        <f>M298+M299+M300+M306</f>
        <v>0</v>
      </c>
      <c r="N297" s="48">
        <f>N298+N299+N300+N306</f>
        <v>0</v>
      </c>
      <c r="O297" s="48">
        <f t="shared" si="45"/>
        <v>0</v>
      </c>
      <c r="P297" s="201"/>
      <c r="Q297" s="48">
        <f t="shared" si="40"/>
        <v>172220</v>
      </c>
      <c r="R297" s="48">
        <f t="shared" si="41"/>
        <v>0</v>
      </c>
      <c r="S297" s="48">
        <f t="shared" si="42"/>
        <v>172220</v>
      </c>
    </row>
    <row r="298" spans="2:19" x14ac:dyDescent="0.2">
      <c r="B298" s="79">
        <f t="shared" si="43"/>
        <v>18</v>
      </c>
      <c r="C298" s="15"/>
      <c r="D298" s="15"/>
      <c r="E298" s="15"/>
      <c r="F298" s="55" t="s">
        <v>74</v>
      </c>
      <c r="G298" s="15">
        <v>610</v>
      </c>
      <c r="H298" s="15" t="s">
        <v>136</v>
      </c>
      <c r="I298" s="52">
        <f>111145+3880-10</f>
        <v>115015</v>
      </c>
      <c r="J298" s="52"/>
      <c r="K298" s="52">
        <f t="shared" si="44"/>
        <v>115015</v>
      </c>
      <c r="L298" s="126"/>
      <c r="M298" s="52"/>
      <c r="N298" s="52"/>
      <c r="O298" s="52">
        <f t="shared" si="45"/>
        <v>0</v>
      </c>
      <c r="P298" s="126"/>
      <c r="Q298" s="52">
        <f t="shared" si="40"/>
        <v>115015</v>
      </c>
      <c r="R298" s="52">
        <f t="shared" si="41"/>
        <v>0</v>
      </c>
      <c r="S298" s="52">
        <f t="shared" si="42"/>
        <v>115015</v>
      </c>
    </row>
    <row r="299" spans="2:19" x14ac:dyDescent="0.2">
      <c r="B299" s="79">
        <f t="shared" si="43"/>
        <v>19</v>
      </c>
      <c r="C299" s="15"/>
      <c r="D299" s="15"/>
      <c r="E299" s="15"/>
      <c r="F299" s="55" t="s">
        <v>74</v>
      </c>
      <c r="G299" s="15">
        <v>620</v>
      </c>
      <c r="H299" s="15" t="s">
        <v>131</v>
      </c>
      <c r="I299" s="52">
        <f>42565-10</f>
        <v>42555</v>
      </c>
      <c r="J299" s="52"/>
      <c r="K299" s="52">
        <f t="shared" si="44"/>
        <v>42555</v>
      </c>
      <c r="L299" s="126"/>
      <c r="M299" s="52"/>
      <c r="N299" s="52"/>
      <c r="O299" s="52">
        <f t="shared" si="45"/>
        <v>0</v>
      </c>
      <c r="P299" s="126"/>
      <c r="Q299" s="52">
        <f t="shared" si="40"/>
        <v>42555</v>
      </c>
      <c r="R299" s="52">
        <f t="shared" si="41"/>
        <v>0</v>
      </c>
      <c r="S299" s="52">
        <f t="shared" si="42"/>
        <v>42555</v>
      </c>
    </row>
    <row r="300" spans="2:19" x14ac:dyDescent="0.2">
      <c r="B300" s="79">
        <f t="shared" si="43"/>
        <v>20</v>
      </c>
      <c r="C300" s="15"/>
      <c r="D300" s="15"/>
      <c r="E300" s="15"/>
      <c r="F300" s="55" t="s">
        <v>74</v>
      </c>
      <c r="G300" s="15">
        <v>630</v>
      </c>
      <c r="H300" s="15" t="s">
        <v>128</v>
      </c>
      <c r="I300" s="52">
        <f>I304+I303+I302+I301+I305</f>
        <v>14250</v>
      </c>
      <c r="J300" s="52">
        <f>J304+J303+J302+J301+J305</f>
        <v>0</v>
      </c>
      <c r="K300" s="52">
        <f t="shared" si="44"/>
        <v>14250</v>
      </c>
      <c r="L300" s="126"/>
      <c r="M300" s="52">
        <f>M304+M303+M302+M301</f>
        <v>0</v>
      </c>
      <c r="N300" s="52">
        <f>N304+N303+N302+N301</f>
        <v>0</v>
      </c>
      <c r="O300" s="52">
        <f t="shared" si="45"/>
        <v>0</v>
      </c>
      <c r="P300" s="126"/>
      <c r="Q300" s="52">
        <f t="shared" si="40"/>
        <v>14250</v>
      </c>
      <c r="R300" s="52">
        <f t="shared" si="41"/>
        <v>0</v>
      </c>
      <c r="S300" s="52">
        <f t="shared" si="42"/>
        <v>14250</v>
      </c>
    </row>
    <row r="301" spans="2:19" x14ac:dyDescent="0.2">
      <c r="B301" s="79">
        <f t="shared" si="43"/>
        <v>21</v>
      </c>
      <c r="C301" s="4"/>
      <c r="D301" s="4"/>
      <c r="E301" s="4"/>
      <c r="F301" s="56" t="s">
        <v>74</v>
      </c>
      <c r="G301" s="4">
        <v>631</v>
      </c>
      <c r="H301" s="4" t="s">
        <v>134</v>
      </c>
      <c r="I301" s="26">
        <v>200</v>
      </c>
      <c r="J301" s="26"/>
      <c r="K301" s="26">
        <f t="shared" si="44"/>
        <v>200</v>
      </c>
      <c r="L301" s="80"/>
      <c r="M301" s="26"/>
      <c r="N301" s="26"/>
      <c r="O301" s="26">
        <f t="shared" si="45"/>
        <v>0</v>
      </c>
      <c r="P301" s="80"/>
      <c r="Q301" s="26">
        <f t="shared" si="40"/>
        <v>200</v>
      </c>
      <c r="R301" s="26">
        <f t="shared" si="41"/>
        <v>0</v>
      </c>
      <c r="S301" s="26">
        <f t="shared" si="42"/>
        <v>200</v>
      </c>
    </row>
    <row r="302" spans="2:19" x14ac:dyDescent="0.2">
      <c r="B302" s="79">
        <f t="shared" si="43"/>
        <v>22</v>
      </c>
      <c r="C302" s="4"/>
      <c r="D302" s="4"/>
      <c r="E302" s="4"/>
      <c r="F302" s="56" t="s">
        <v>74</v>
      </c>
      <c r="G302" s="4">
        <v>632</v>
      </c>
      <c r="H302" s="4" t="s">
        <v>139</v>
      </c>
      <c r="I302" s="26">
        <f>1500</f>
        <v>1500</v>
      </c>
      <c r="J302" s="26"/>
      <c r="K302" s="26">
        <f t="shared" si="44"/>
        <v>1500</v>
      </c>
      <c r="L302" s="80"/>
      <c r="M302" s="26"/>
      <c r="N302" s="26"/>
      <c r="O302" s="26">
        <f t="shared" si="45"/>
        <v>0</v>
      </c>
      <c r="P302" s="80"/>
      <c r="Q302" s="26">
        <f t="shared" si="40"/>
        <v>1500</v>
      </c>
      <c r="R302" s="26">
        <f t="shared" si="41"/>
        <v>0</v>
      </c>
      <c r="S302" s="26">
        <f t="shared" si="42"/>
        <v>1500</v>
      </c>
    </row>
    <row r="303" spans="2:19" x14ac:dyDescent="0.2">
      <c r="B303" s="79">
        <f t="shared" si="43"/>
        <v>23</v>
      </c>
      <c r="C303" s="4"/>
      <c r="D303" s="4"/>
      <c r="E303" s="4"/>
      <c r="F303" s="56" t="s">
        <v>74</v>
      </c>
      <c r="G303" s="4">
        <v>633</v>
      </c>
      <c r="H303" s="4" t="s">
        <v>132</v>
      </c>
      <c r="I303" s="26">
        <f>5680-2000-1900</f>
        <v>1780</v>
      </c>
      <c r="J303" s="26"/>
      <c r="K303" s="26">
        <f t="shared" si="44"/>
        <v>1780</v>
      </c>
      <c r="L303" s="80"/>
      <c r="M303" s="26"/>
      <c r="N303" s="26"/>
      <c r="O303" s="26">
        <f t="shared" si="45"/>
        <v>0</v>
      </c>
      <c r="P303" s="80"/>
      <c r="Q303" s="26">
        <f t="shared" si="40"/>
        <v>1780</v>
      </c>
      <c r="R303" s="26">
        <f t="shared" si="41"/>
        <v>0</v>
      </c>
      <c r="S303" s="26">
        <f t="shared" si="42"/>
        <v>1780</v>
      </c>
    </row>
    <row r="304" spans="2:19" x14ac:dyDescent="0.2">
      <c r="B304" s="79">
        <f t="shared" si="43"/>
        <v>24</v>
      </c>
      <c r="C304" s="4"/>
      <c r="D304" s="4"/>
      <c r="E304" s="4"/>
      <c r="F304" s="56" t="s">
        <v>74</v>
      </c>
      <c r="G304" s="4">
        <v>637</v>
      </c>
      <c r="H304" s="4" t="s">
        <v>129</v>
      </c>
      <c r="I304" s="26">
        <f>8050+1900</f>
        <v>9950</v>
      </c>
      <c r="J304" s="26"/>
      <c r="K304" s="26">
        <f t="shared" si="44"/>
        <v>9950</v>
      </c>
      <c r="L304" s="80"/>
      <c r="M304" s="26"/>
      <c r="N304" s="26"/>
      <c r="O304" s="26">
        <f t="shared" si="45"/>
        <v>0</v>
      </c>
      <c r="P304" s="80"/>
      <c r="Q304" s="26">
        <f t="shared" si="40"/>
        <v>9950</v>
      </c>
      <c r="R304" s="26">
        <f t="shared" si="41"/>
        <v>0</v>
      </c>
      <c r="S304" s="26">
        <f t="shared" si="42"/>
        <v>9950</v>
      </c>
    </row>
    <row r="305" spans="2:19" x14ac:dyDescent="0.2">
      <c r="B305" s="79"/>
      <c r="C305" s="4"/>
      <c r="D305" s="4"/>
      <c r="E305" s="4"/>
      <c r="F305" s="56" t="s">
        <v>74</v>
      </c>
      <c r="G305" s="4">
        <v>630</v>
      </c>
      <c r="H305" s="4" t="s">
        <v>598</v>
      </c>
      <c r="I305" s="26">
        <v>820</v>
      </c>
      <c r="J305" s="26"/>
      <c r="K305" s="26">
        <f t="shared" si="44"/>
        <v>820</v>
      </c>
      <c r="L305" s="80"/>
      <c r="M305" s="26"/>
      <c r="N305" s="26"/>
      <c r="O305" s="26">
        <f t="shared" si="45"/>
        <v>0</v>
      </c>
      <c r="P305" s="80"/>
      <c r="Q305" s="26">
        <f t="shared" si="40"/>
        <v>820</v>
      </c>
      <c r="R305" s="26">
        <f t="shared" si="41"/>
        <v>0</v>
      </c>
      <c r="S305" s="26">
        <f t="shared" si="42"/>
        <v>820</v>
      </c>
    </row>
    <row r="306" spans="2:19" x14ac:dyDescent="0.2">
      <c r="B306" s="79">
        <f>B304+1</f>
        <v>25</v>
      </c>
      <c r="C306" s="15"/>
      <c r="D306" s="15"/>
      <c r="E306" s="15"/>
      <c r="F306" s="55" t="s">
        <v>74</v>
      </c>
      <c r="G306" s="15">
        <v>640</v>
      </c>
      <c r="H306" s="15" t="s">
        <v>135</v>
      </c>
      <c r="I306" s="52">
        <v>400</v>
      </c>
      <c r="J306" s="52"/>
      <c r="K306" s="52">
        <f t="shared" si="44"/>
        <v>400</v>
      </c>
      <c r="L306" s="126"/>
      <c r="M306" s="52"/>
      <c r="N306" s="52"/>
      <c r="O306" s="52">
        <f t="shared" si="45"/>
        <v>0</v>
      </c>
      <c r="P306" s="126"/>
      <c r="Q306" s="52">
        <f t="shared" si="40"/>
        <v>400</v>
      </c>
      <c r="R306" s="52">
        <f t="shared" si="41"/>
        <v>0</v>
      </c>
      <c r="S306" s="52">
        <f t="shared" si="42"/>
        <v>400</v>
      </c>
    </row>
    <row r="307" spans="2:19" ht="15" x14ac:dyDescent="0.2">
      <c r="B307" s="79">
        <f t="shared" si="43"/>
        <v>26</v>
      </c>
      <c r="C307" s="191">
        <v>4</v>
      </c>
      <c r="D307" s="245" t="s">
        <v>259</v>
      </c>
      <c r="E307" s="246"/>
      <c r="F307" s="246"/>
      <c r="G307" s="246"/>
      <c r="H307" s="247"/>
      <c r="I307" s="48">
        <f>I309+I310+I311+I316</f>
        <v>38200</v>
      </c>
      <c r="J307" s="48">
        <f>J309+J310+J311+J316</f>
        <v>0</v>
      </c>
      <c r="K307" s="48">
        <f t="shared" si="44"/>
        <v>38200</v>
      </c>
      <c r="L307" s="201"/>
      <c r="M307" s="48">
        <f>M309+M310+M311+M316</f>
        <v>0</v>
      </c>
      <c r="N307" s="48">
        <f>N309+N310+N311+N316</f>
        <v>0</v>
      </c>
      <c r="O307" s="48">
        <f t="shared" si="45"/>
        <v>0</v>
      </c>
      <c r="P307" s="201"/>
      <c r="Q307" s="48">
        <f t="shared" si="40"/>
        <v>38200</v>
      </c>
      <c r="R307" s="48">
        <f t="shared" si="41"/>
        <v>0</v>
      </c>
      <c r="S307" s="48">
        <f t="shared" si="42"/>
        <v>38200</v>
      </c>
    </row>
    <row r="308" spans="2:19" ht="15" x14ac:dyDescent="0.25">
      <c r="B308" s="79">
        <f t="shared" si="43"/>
        <v>27</v>
      </c>
      <c r="C308" s="18"/>
      <c r="D308" s="18"/>
      <c r="E308" s="18">
        <v>2</v>
      </c>
      <c r="F308" s="53"/>
      <c r="G308" s="18"/>
      <c r="H308" s="18" t="s">
        <v>257</v>
      </c>
      <c r="I308" s="50">
        <f>I307</f>
        <v>38200</v>
      </c>
      <c r="J308" s="50">
        <f>J307</f>
        <v>0</v>
      </c>
      <c r="K308" s="50">
        <f t="shared" si="44"/>
        <v>38200</v>
      </c>
      <c r="L308" s="203"/>
      <c r="M308" s="50">
        <f>M307</f>
        <v>0</v>
      </c>
      <c r="N308" s="50">
        <f>N307</f>
        <v>0</v>
      </c>
      <c r="O308" s="50">
        <f t="shared" si="45"/>
        <v>0</v>
      </c>
      <c r="P308" s="203"/>
      <c r="Q308" s="50">
        <f t="shared" si="40"/>
        <v>38200</v>
      </c>
      <c r="R308" s="50">
        <f t="shared" si="41"/>
        <v>0</v>
      </c>
      <c r="S308" s="50">
        <f t="shared" si="42"/>
        <v>38200</v>
      </c>
    </row>
    <row r="309" spans="2:19" x14ac:dyDescent="0.2">
      <c r="B309" s="79">
        <f t="shared" si="43"/>
        <v>28</v>
      </c>
      <c r="C309" s="15"/>
      <c r="D309" s="15"/>
      <c r="E309" s="15"/>
      <c r="F309" s="55" t="s">
        <v>205</v>
      </c>
      <c r="G309" s="15">
        <v>610</v>
      </c>
      <c r="H309" s="15" t="s">
        <v>136</v>
      </c>
      <c r="I309" s="52">
        <v>18400</v>
      </c>
      <c r="J309" s="52"/>
      <c r="K309" s="52">
        <f t="shared" si="44"/>
        <v>18400</v>
      </c>
      <c r="L309" s="126"/>
      <c r="M309" s="52"/>
      <c r="N309" s="52"/>
      <c r="O309" s="52">
        <f t="shared" si="45"/>
        <v>0</v>
      </c>
      <c r="P309" s="126"/>
      <c r="Q309" s="52">
        <f t="shared" si="40"/>
        <v>18400</v>
      </c>
      <c r="R309" s="52">
        <f t="shared" si="41"/>
        <v>0</v>
      </c>
      <c r="S309" s="52">
        <f t="shared" si="42"/>
        <v>18400</v>
      </c>
    </row>
    <row r="310" spans="2:19" x14ac:dyDescent="0.2">
      <c r="B310" s="79">
        <f t="shared" si="43"/>
        <v>29</v>
      </c>
      <c r="C310" s="15"/>
      <c r="D310" s="15"/>
      <c r="E310" s="15"/>
      <c r="F310" s="55" t="s">
        <v>205</v>
      </c>
      <c r="G310" s="15">
        <v>620</v>
      </c>
      <c r="H310" s="15" t="s">
        <v>131</v>
      </c>
      <c r="I310" s="52">
        <v>6465</v>
      </c>
      <c r="J310" s="52"/>
      <c r="K310" s="52">
        <f t="shared" si="44"/>
        <v>6465</v>
      </c>
      <c r="L310" s="126"/>
      <c r="M310" s="52"/>
      <c r="N310" s="52"/>
      <c r="O310" s="52">
        <f t="shared" si="45"/>
        <v>0</v>
      </c>
      <c r="P310" s="126"/>
      <c r="Q310" s="52">
        <f t="shared" si="40"/>
        <v>6465</v>
      </c>
      <c r="R310" s="52">
        <f t="shared" si="41"/>
        <v>0</v>
      </c>
      <c r="S310" s="52">
        <f t="shared" si="42"/>
        <v>6465</v>
      </c>
    </row>
    <row r="311" spans="2:19" x14ac:dyDescent="0.2">
      <c r="B311" s="79">
        <f t="shared" si="43"/>
        <v>30</v>
      </c>
      <c r="C311" s="15"/>
      <c r="D311" s="15"/>
      <c r="E311" s="15"/>
      <c r="F311" s="55" t="s">
        <v>205</v>
      </c>
      <c r="G311" s="15">
        <v>630</v>
      </c>
      <c r="H311" s="15" t="s">
        <v>128</v>
      </c>
      <c r="I311" s="52">
        <f>I315+I314+I313+I312</f>
        <v>13285</v>
      </c>
      <c r="J311" s="52">
        <f>J315+J314+J313+J312</f>
        <v>0</v>
      </c>
      <c r="K311" s="52">
        <f t="shared" si="44"/>
        <v>13285</v>
      </c>
      <c r="L311" s="126"/>
      <c r="M311" s="52">
        <f>M315+M314+M313+M312</f>
        <v>0</v>
      </c>
      <c r="N311" s="52">
        <f>N315+N314+N313+N312</f>
        <v>0</v>
      </c>
      <c r="O311" s="52">
        <f t="shared" si="45"/>
        <v>0</v>
      </c>
      <c r="P311" s="126"/>
      <c r="Q311" s="52">
        <f t="shared" si="40"/>
        <v>13285</v>
      </c>
      <c r="R311" s="52">
        <f t="shared" si="41"/>
        <v>0</v>
      </c>
      <c r="S311" s="52">
        <f t="shared" si="42"/>
        <v>13285</v>
      </c>
    </row>
    <row r="312" spans="2:19" x14ac:dyDescent="0.2">
      <c r="B312" s="79">
        <f t="shared" si="43"/>
        <v>31</v>
      </c>
      <c r="C312" s="4"/>
      <c r="D312" s="4"/>
      <c r="E312" s="4"/>
      <c r="F312" s="56" t="s">
        <v>205</v>
      </c>
      <c r="G312" s="4">
        <v>632</v>
      </c>
      <c r="H312" s="4" t="s">
        <v>139</v>
      </c>
      <c r="I312" s="26">
        <v>7940</v>
      </c>
      <c r="J312" s="26"/>
      <c r="K312" s="26">
        <f t="shared" si="44"/>
        <v>7940</v>
      </c>
      <c r="L312" s="80"/>
      <c r="M312" s="26"/>
      <c r="N312" s="26"/>
      <c r="O312" s="26">
        <f t="shared" si="45"/>
        <v>0</v>
      </c>
      <c r="P312" s="80"/>
      <c r="Q312" s="26">
        <f t="shared" si="40"/>
        <v>7940</v>
      </c>
      <c r="R312" s="26">
        <f t="shared" si="41"/>
        <v>0</v>
      </c>
      <c r="S312" s="26">
        <f t="shared" si="42"/>
        <v>7940</v>
      </c>
    </row>
    <row r="313" spans="2:19" x14ac:dyDescent="0.2">
      <c r="B313" s="79">
        <f t="shared" si="43"/>
        <v>32</v>
      </c>
      <c r="C313" s="4"/>
      <c r="D313" s="4"/>
      <c r="E313" s="4"/>
      <c r="F313" s="56" t="s">
        <v>205</v>
      </c>
      <c r="G313" s="4">
        <v>633</v>
      </c>
      <c r="H313" s="4" t="s">
        <v>132</v>
      </c>
      <c r="I313" s="26">
        <v>1730</v>
      </c>
      <c r="J313" s="26"/>
      <c r="K313" s="26">
        <f t="shared" si="44"/>
        <v>1730</v>
      </c>
      <c r="L313" s="80"/>
      <c r="M313" s="26"/>
      <c r="N313" s="26"/>
      <c r="O313" s="26">
        <f t="shared" si="45"/>
        <v>0</v>
      </c>
      <c r="P313" s="80"/>
      <c r="Q313" s="26">
        <f t="shared" si="40"/>
        <v>1730</v>
      </c>
      <c r="R313" s="26">
        <f t="shared" si="41"/>
        <v>0</v>
      </c>
      <c r="S313" s="26">
        <f t="shared" si="42"/>
        <v>1730</v>
      </c>
    </row>
    <row r="314" spans="2:19" x14ac:dyDescent="0.2">
      <c r="B314" s="79">
        <f t="shared" si="43"/>
        <v>33</v>
      </c>
      <c r="C314" s="4"/>
      <c r="D314" s="4"/>
      <c r="E314" s="4"/>
      <c r="F314" s="56" t="s">
        <v>205</v>
      </c>
      <c r="G314" s="4">
        <v>635</v>
      </c>
      <c r="H314" s="4" t="s">
        <v>138</v>
      </c>
      <c r="I314" s="26">
        <v>400</v>
      </c>
      <c r="J314" s="26"/>
      <c r="K314" s="26">
        <f t="shared" si="44"/>
        <v>400</v>
      </c>
      <c r="L314" s="80"/>
      <c r="M314" s="26"/>
      <c r="N314" s="26"/>
      <c r="O314" s="26">
        <f t="shared" si="45"/>
        <v>0</v>
      </c>
      <c r="P314" s="80"/>
      <c r="Q314" s="26">
        <f t="shared" si="40"/>
        <v>400</v>
      </c>
      <c r="R314" s="26">
        <f t="shared" si="41"/>
        <v>0</v>
      </c>
      <c r="S314" s="26">
        <f t="shared" si="42"/>
        <v>400</v>
      </c>
    </row>
    <row r="315" spans="2:19" x14ac:dyDescent="0.2">
      <c r="B315" s="79">
        <f t="shared" si="43"/>
        <v>34</v>
      </c>
      <c r="C315" s="4"/>
      <c r="D315" s="4"/>
      <c r="E315" s="4"/>
      <c r="F315" s="56" t="s">
        <v>205</v>
      </c>
      <c r="G315" s="4">
        <v>637</v>
      </c>
      <c r="H315" s="4" t="s">
        <v>129</v>
      </c>
      <c r="I315" s="26">
        <v>3215</v>
      </c>
      <c r="J315" s="26"/>
      <c r="K315" s="26">
        <f t="shared" si="44"/>
        <v>3215</v>
      </c>
      <c r="L315" s="80"/>
      <c r="M315" s="26"/>
      <c r="N315" s="26"/>
      <c r="O315" s="26">
        <f t="shared" si="45"/>
        <v>0</v>
      </c>
      <c r="P315" s="80"/>
      <c r="Q315" s="26">
        <f t="shared" si="40"/>
        <v>3215</v>
      </c>
      <c r="R315" s="26">
        <f t="shared" si="41"/>
        <v>0</v>
      </c>
      <c r="S315" s="26">
        <f t="shared" si="42"/>
        <v>3215</v>
      </c>
    </row>
    <row r="316" spans="2:19" x14ac:dyDescent="0.2">
      <c r="B316" s="79">
        <f t="shared" si="43"/>
        <v>35</v>
      </c>
      <c r="C316" s="15"/>
      <c r="D316" s="15"/>
      <c r="E316" s="15"/>
      <c r="F316" s="55" t="s">
        <v>205</v>
      </c>
      <c r="G316" s="15">
        <v>640</v>
      </c>
      <c r="H316" s="15" t="s">
        <v>135</v>
      </c>
      <c r="I316" s="52">
        <v>50</v>
      </c>
      <c r="J316" s="52"/>
      <c r="K316" s="52">
        <f t="shared" si="44"/>
        <v>50</v>
      </c>
      <c r="L316" s="126"/>
      <c r="M316" s="52"/>
      <c r="N316" s="52"/>
      <c r="O316" s="52">
        <f t="shared" si="45"/>
        <v>0</v>
      </c>
      <c r="P316" s="126"/>
      <c r="Q316" s="52">
        <f t="shared" si="40"/>
        <v>50</v>
      </c>
      <c r="R316" s="52">
        <f t="shared" si="41"/>
        <v>0</v>
      </c>
      <c r="S316" s="52">
        <f t="shared" si="42"/>
        <v>50</v>
      </c>
    </row>
    <row r="317" spans="2:19" ht="15" x14ac:dyDescent="0.2">
      <c r="B317" s="79">
        <f t="shared" si="43"/>
        <v>36</v>
      </c>
      <c r="C317" s="191">
        <v>5</v>
      </c>
      <c r="D317" s="245" t="s">
        <v>1</v>
      </c>
      <c r="E317" s="246"/>
      <c r="F317" s="246"/>
      <c r="G317" s="246"/>
      <c r="H317" s="247"/>
      <c r="I317" s="48">
        <f>I318</f>
        <v>28700</v>
      </c>
      <c r="J317" s="48">
        <f>J318</f>
        <v>0</v>
      </c>
      <c r="K317" s="48">
        <f t="shared" si="44"/>
        <v>28700</v>
      </c>
      <c r="L317" s="201"/>
      <c r="M317" s="48">
        <f>M318</f>
        <v>0</v>
      </c>
      <c r="N317" s="48">
        <f>N318</f>
        <v>0</v>
      </c>
      <c r="O317" s="48">
        <f t="shared" si="45"/>
        <v>0</v>
      </c>
      <c r="P317" s="201"/>
      <c r="Q317" s="48">
        <f t="shared" si="40"/>
        <v>28700</v>
      </c>
      <c r="R317" s="48">
        <f t="shared" si="41"/>
        <v>0</v>
      </c>
      <c r="S317" s="48">
        <f t="shared" si="42"/>
        <v>28700</v>
      </c>
    </row>
    <row r="318" spans="2:19" ht="15" x14ac:dyDescent="0.25">
      <c r="B318" s="79">
        <f t="shared" si="43"/>
        <v>37</v>
      </c>
      <c r="C318" s="18"/>
      <c r="D318" s="18"/>
      <c r="E318" s="18">
        <v>2</v>
      </c>
      <c r="F318" s="53"/>
      <c r="G318" s="18"/>
      <c r="H318" s="18" t="s">
        <v>257</v>
      </c>
      <c r="I318" s="50">
        <f>I319+I320+I321+I327</f>
        <v>28700</v>
      </c>
      <c r="J318" s="50">
        <f>J319+J320+J321+J327</f>
        <v>0</v>
      </c>
      <c r="K318" s="50">
        <f t="shared" si="44"/>
        <v>28700</v>
      </c>
      <c r="L318" s="203"/>
      <c r="M318" s="50">
        <f>M319+M320+M321+M327</f>
        <v>0</v>
      </c>
      <c r="N318" s="50">
        <f>N319+N320+N321+N327</f>
        <v>0</v>
      </c>
      <c r="O318" s="50">
        <f t="shared" si="45"/>
        <v>0</v>
      </c>
      <c r="P318" s="203"/>
      <c r="Q318" s="50">
        <f t="shared" si="40"/>
        <v>28700</v>
      </c>
      <c r="R318" s="50">
        <f t="shared" si="41"/>
        <v>0</v>
      </c>
      <c r="S318" s="50">
        <f t="shared" si="42"/>
        <v>28700</v>
      </c>
    </row>
    <row r="319" spans="2:19" x14ac:dyDescent="0.2">
      <c r="B319" s="79">
        <f t="shared" si="43"/>
        <v>38</v>
      </c>
      <c r="C319" s="15"/>
      <c r="D319" s="15"/>
      <c r="E319" s="15"/>
      <c r="F319" s="55" t="s">
        <v>205</v>
      </c>
      <c r="G319" s="15">
        <v>610</v>
      </c>
      <c r="H319" s="15" t="s">
        <v>136</v>
      </c>
      <c r="I319" s="52">
        <v>6600</v>
      </c>
      <c r="J319" s="52"/>
      <c r="K319" s="52">
        <f t="shared" si="44"/>
        <v>6600</v>
      </c>
      <c r="L319" s="126"/>
      <c r="M319" s="52"/>
      <c r="N319" s="52"/>
      <c r="O319" s="52">
        <f t="shared" si="45"/>
        <v>0</v>
      </c>
      <c r="P319" s="126"/>
      <c r="Q319" s="52">
        <f t="shared" si="40"/>
        <v>6600</v>
      </c>
      <c r="R319" s="52">
        <f t="shared" si="41"/>
        <v>0</v>
      </c>
      <c r="S319" s="52">
        <f t="shared" si="42"/>
        <v>6600</v>
      </c>
    </row>
    <row r="320" spans="2:19" ht="12.75" customHeight="1" x14ac:dyDescent="0.2">
      <c r="B320" s="79">
        <f t="shared" si="43"/>
        <v>39</v>
      </c>
      <c r="C320" s="15"/>
      <c r="D320" s="15"/>
      <c r="E320" s="15"/>
      <c r="F320" s="55" t="s">
        <v>205</v>
      </c>
      <c r="G320" s="15">
        <v>620</v>
      </c>
      <c r="H320" s="15" t="s">
        <v>131</v>
      </c>
      <c r="I320" s="52">
        <v>2950</v>
      </c>
      <c r="J320" s="52"/>
      <c r="K320" s="52">
        <f t="shared" si="44"/>
        <v>2950</v>
      </c>
      <c r="L320" s="126"/>
      <c r="M320" s="52"/>
      <c r="N320" s="52"/>
      <c r="O320" s="52">
        <f t="shared" si="45"/>
        <v>0</v>
      </c>
      <c r="P320" s="126"/>
      <c r="Q320" s="52">
        <f t="shared" si="40"/>
        <v>2950</v>
      </c>
      <c r="R320" s="52">
        <f t="shared" si="41"/>
        <v>0</v>
      </c>
      <c r="S320" s="52">
        <f t="shared" si="42"/>
        <v>2950</v>
      </c>
    </row>
    <row r="321" spans="2:19" ht="12.75" customHeight="1" x14ac:dyDescent="0.2">
      <c r="B321" s="79">
        <f t="shared" si="43"/>
        <v>40</v>
      </c>
      <c r="C321" s="15"/>
      <c r="D321" s="15"/>
      <c r="E321" s="15"/>
      <c r="F321" s="55" t="s">
        <v>205</v>
      </c>
      <c r="G321" s="15">
        <v>630</v>
      </c>
      <c r="H321" s="15" t="s">
        <v>128</v>
      </c>
      <c r="I321" s="52">
        <f>I326+I325+I324+I323+I322</f>
        <v>18700</v>
      </c>
      <c r="J321" s="52">
        <f>J326+J325+J324+J323+J322</f>
        <v>0</v>
      </c>
      <c r="K321" s="52">
        <f t="shared" si="44"/>
        <v>18700</v>
      </c>
      <c r="L321" s="126"/>
      <c r="M321" s="52">
        <f>M326+M325+M324+M323+M322</f>
        <v>0</v>
      </c>
      <c r="N321" s="52">
        <f>N326+N325+N324+N323+N322</f>
        <v>0</v>
      </c>
      <c r="O321" s="52">
        <f t="shared" si="45"/>
        <v>0</v>
      </c>
      <c r="P321" s="126"/>
      <c r="Q321" s="52">
        <f t="shared" si="40"/>
        <v>18700</v>
      </c>
      <c r="R321" s="52">
        <f t="shared" si="41"/>
        <v>0</v>
      </c>
      <c r="S321" s="52">
        <f t="shared" si="42"/>
        <v>18700</v>
      </c>
    </row>
    <row r="322" spans="2:19" x14ac:dyDescent="0.2">
      <c r="B322" s="79">
        <f t="shared" si="43"/>
        <v>41</v>
      </c>
      <c r="C322" s="4"/>
      <c r="D322" s="4"/>
      <c r="E322" s="4"/>
      <c r="F322" s="56" t="s">
        <v>205</v>
      </c>
      <c r="G322" s="4">
        <v>632</v>
      </c>
      <c r="H322" s="4" t="s">
        <v>139</v>
      </c>
      <c r="I322" s="26">
        <v>6600</v>
      </c>
      <c r="J322" s="26"/>
      <c r="K322" s="26">
        <f t="shared" si="44"/>
        <v>6600</v>
      </c>
      <c r="L322" s="80"/>
      <c r="M322" s="26"/>
      <c r="N322" s="26"/>
      <c r="O322" s="26">
        <f t="shared" si="45"/>
        <v>0</v>
      </c>
      <c r="P322" s="80"/>
      <c r="Q322" s="26">
        <f t="shared" si="40"/>
        <v>6600</v>
      </c>
      <c r="R322" s="26">
        <f t="shared" si="41"/>
        <v>0</v>
      </c>
      <c r="S322" s="26">
        <f t="shared" si="42"/>
        <v>6600</v>
      </c>
    </row>
    <row r="323" spans="2:19" ht="20.25" customHeight="1" x14ac:dyDescent="0.2">
      <c r="B323" s="79">
        <f t="shared" si="43"/>
        <v>42</v>
      </c>
      <c r="C323" s="4"/>
      <c r="D323" s="4"/>
      <c r="E323" s="4"/>
      <c r="F323" s="56" t="s">
        <v>205</v>
      </c>
      <c r="G323" s="4">
        <v>633</v>
      </c>
      <c r="H323" s="4" t="s">
        <v>132</v>
      </c>
      <c r="I323" s="26">
        <f>500-100</f>
        <v>400</v>
      </c>
      <c r="J323" s="26"/>
      <c r="K323" s="26">
        <f t="shared" si="44"/>
        <v>400</v>
      </c>
      <c r="L323" s="80"/>
      <c r="M323" s="26"/>
      <c r="N323" s="26"/>
      <c r="O323" s="26">
        <f t="shared" si="45"/>
        <v>0</v>
      </c>
      <c r="P323" s="80"/>
      <c r="Q323" s="26">
        <f t="shared" si="40"/>
        <v>400</v>
      </c>
      <c r="R323" s="26">
        <f t="shared" si="41"/>
        <v>0</v>
      </c>
      <c r="S323" s="26">
        <f t="shared" si="42"/>
        <v>400</v>
      </c>
    </row>
    <row r="324" spans="2:19" ht="20.25" customHeight="1" x14ac:dyDescent="0.2">
      <c r="B324" s="79">
        <f t="shared" si="43"/>
        <v>43</v>
      </c>
      <c r="C324" s="4"/>
      <c r="D324" s="4"/>
      <c r="E324" s="4"/>
      <c r="F324" s="56" t="s">
        <v>205</v>
      </c>
      <c r="G324" s="4">
        <v>635</v>
      </c>
      <c r="H324" s="4" t="s">
        <v>138</v>
      </c>
      <c r="I324" s="26">
        <f>100+100</f>
        <v>200</v>
      </c>
      <c r="J324" s="26"/>
      <c r="K324" s="26">
        <f t="shared" si="44"/>
        <v>200</v>
      </c>
      <c r="L324" s="80"/>
      <c r="M324" s="26"/>
      <c r="N324" s="26"/>
      <c r="O324" s="26">
        <f t="shared" si="45"/>
        <v>0</v>
      </c>
      <c r="P324" s="80"/>
      <c r="Q324" s="26">
        <f t="shared" si="40"/>
        <v>200</v>
      </c>
      <c r="R324" s="26">
        <f t="shared" si="41"/>
        <v>0</v>
      </c>
      <c r="S324" s="26">
        <f t="shared" si="42"/>
        <v>200</v>
      </c>
    </row>
    <row r="325" spans="2:19" x14ac:dyDescent="0.2">
      <c r="B325" s="79">
        <f t="shared" si="43"/>
        <v>44</v>
      </c>
      <c r="C325" s="4"/>
      <c r="D325" s="4"/>
      <c r="E325" s="4"/>
      <c r="F325" s="56" t="s">
        <v>205</v>
      </c>
      <c r="G325" s="4">
        <v>636</v>
      </c>
      <c r="H325" s="4" t="s">
        <v>133</v>
      </c>
      <c r="I325" s="26">
        <v>1200</v>
      </c>
      <c r="J325" s="26"/>
      <c r="K325" s="26">
        <f t="shared" si="44"/>
        <v>1200</v>
      </c>
      <c r="L325" s="80"/>
      <c r="M325" s="26"/>
      <c r="N325" s="26"/>
      <c r="O325" s="26">
        <f t="shared" si="45"/>
        <v>0</v>
      </c>
      <c r="P325" s="80"/>
      <c r="Q325" s="26">
        <f t="shared" si="40"/>
        <v>1200</v>
      </c>
      <c r="R325" s="26">
        <f t="shared" si="41"/>
        <v>0</v>
      </c>
      <c r="S325" s="26">
        <f t="shared" si="42"/>
        <v>1200</v>
      </c>
    </row>
    <row r="326" spans="2:19" x14ac:dyDescent="0.2">
      <c r="B326" s="79">
        <f t="shared" si="43"/>
        <v>45</v>
      </c>
      <c r="C326" s="4"/>
      <c r="D326" s="4"/>
      <c r="E326" s="4"/>
      <c r="F326" s="56" t="s">
        <v>205</v>
      </c>
      <c r="G326" s="4">
        <v>637</v>
      </c>
      <c r="H326" s="4" t="s">
        <v>129</v>
      </c>
      <c r="I326" s="26">
        <v>10300</v>
      </c>
      <c r="J326" s="26"/>
      <c r="K326" s="26">
        <f t="shared" si="44"/>
        <v>10300</v>
      </c>
      <c r="L326" s="80"/>
      <c r="M326" s="26"/>
      <c r="N326" s="26"/>
      <c r="O326" s="26">
        <f t="shared" si="45"/>
        <v>0</v>
      </c>
      <c r="P326" s="80"/>
      <c r="Q326" s="26">
        <f t="shared" si="40"/>
        <v>10300</v>
      </c>
      <c r="R326" s="26">
        <f t="shared" si="41"/>
        <v>0</v>
      </c>
      <c r="S326" s="26">
        <f t="shared" si="42"/>
        <v>10300</v>
      </c>
    </row>
    <row r="327" spans="2:19" x14ac:dyDescent="0.2">
      <c r="B327" s="79">
        <f t="shared" si="43"/>
        <v>46</v>
      </c>
      <c r="C327" s="15"/>
      <c r="D327" s="15"/>
      <c r="E327" s="15"/>
      <c r="F327" s="55" t="s">
        <v>159</v>
      </c>
      <c r="G327" s="15">
        <v>630</v>
      </c>
      <c r="H327" s="15" t="s">
        <v>128</v>
      </c>
      <c r="I327" s="52">
        <f>I328</f>
        <v>450</v>
      </c>
      <c r="J327" s="52">
        <f>J328</f>
        <v>0</v>
      </c>
      <c r="K327" s="52">
        <f t="shared" si="44"/>
        <v>450</v>
      </c>
      <c r="L327" s="126"/>
      <c r="M327" s="52">
        <f>M328</f>
        <v>0</v>
      </c>
      <c r="N327" s="52">
        <f>N328</f>
        <v>0</v>
      </c>
      <c r="O327" s="52">
        <f t="shared" si="45"/>
        <v>0</v>
      </c>
      <c r="P327" s="126"/>
      <c r="Q327" s="52">
        <f t="shared" si="40"/>
        <v>450</v>
      </c>
      <c r="R327" s="52">
        <f t="shared" si="41"/>
        <v>0</v>
      </c>
      <c r="S327" s="52">
        <f t="shared" si="42"/>
        <v>450</v>
      </c>
    </row>
    <row r="328" spans="2:19" x14ac:dyDescent="0.2">
      <c r="B328" s="79">
        <f t="shared" si="43"/>
        <v>47</v>
      </c>
      <c r="C328" s="4"/>
      <c r="D328" s="4"/>
      <c r="E328" s="4"/>
      <c r="F328" s="56" t="s">
        <v>159</v>
      </c>
      <c r="G328" s="4">
        <v>636</v>
      </c>
      <c r="H328" s="4" t="s">
        <v>133</v>
      </c>
      <c r="I328" s="26">
        <v>450</v>
      </c>
      <c r="J328" s="26"/>
      <c r="K328" s="26">
        <f t="shared" si="44"/>
        <v>450</v>
      </c>
      <c r="L328" s="80"/>
      <c r="M328" s="26"/>
      <c r="N328" s="26"/>
      <c r="O328" s="26">
        <f t="shared" si="45"/>
        <v>0</v>
      </c>
      <c r="P328" s="80"/>
      <c r="Q328" s="26">
        <f t="shared" si="40"/>
        <v>450</v>
      </c>
      <c r="R328" s="26">
        <f t="shared" si="41"/>
        <v>0</v>
      </c>
      <c r="S328" s="26">
        <f t="shared" si="42"/>
        <v>450</v>
      </c>
    </row>
    <row r="329" spans="2:19" ht="15" x14ac:dyDescent="0.2">
      <c r="B329" s="79">
        <f t="shared" si="43"/>
        <v>48</v>
      </c>
      <c r="C329" s="191">
        <v>6</v>
      </c>
      <c r="D329" s="245" t="s">
        <v>151</v>
      </c>
      <c r="E329" s="246"/>
      <c r="F329" s="246"/>
      <c r="G329" s="246"/>
      <c r="H329" s="247"/>
      <c r="I329" s="48">
        <f>I330+I336</f>
        <v>136065</v>
      </c>
      <c r="J329" s="48">
        <f>J330+J336</f>
        <v>0</v>
      </c>
      <c r="K329" s="48">
        <f t="shared" si="44"/>
        <v>136065</v>
      </c>
      <c r="L329" s="201"/>
      <c r="M329" s="48">
        <f>M330+M336</f>
        <v>60712</v>
      </c>
      <c r="N329" s="48">
        <f>N330+N336</f>
        <v>0</v>
      </c>
      <c r="O329" s="48">
        <f t="shared" si="45"/>
        <v>60712</v>
      </c>
      <c r="P329" s="201"/>
      <c r="Q329" s="48">
        <f t="shared" si="40"/>
        <v>196777</v>
      </c>
      <c r="R329" s="48">
        <f t="shared" si="41"/>
        <v>0</v>
      </c>
      <c r="S329" s="48">
        <f t="shared" si="42"/>
        <v>196777</v>
      </c>
    </row>
    <row r="330" spans="2:19" x14ac:dyDescent="0.2">
      <c r="B330" s="79">
        <f t="shared" si="43"/>
        <v>49</v>
      </c>
      <c r="C330" s="15"/>
      <c r="D330" s="15"/>
      <c r="E330" s="15"/>
      <c r="F330" s="55" t="s">
        <v>150</v>
      </c>
      <c r="G330" s="15">
        <v>630</v>
      </c>
      <c r="H330" s="15" t="s">
        <v>128</v>
      </c>
      <c r="I330" s="52">
        <f>I333+I331+I334+I332+I335</f>
        <v>136065</v>
      </c>
      <c r="J330" s="52">
        <f>J333+J331+J334+J332+J335</f>
        <v>0</v>
      </c>
      <c r="K330" s="52">
        <f t="shared" si="44"/>
        <v>136065</v>
      </c>
      <c r="L330" s="126"/>
      <c r="M330" s="52">
        <f>M333+M331</f>
        <v>0</v>
      </c>
      <c r="N330" s="52">
        <f>N333+N331</f>
        <v>0</v>
      </c>
      <c r="O330" s="52">
        <f t="shared" si="45"/>
        <v>0</v>
      </c>
      <c r="P330" s="126"/>
      <c r="Q330" s="52">
        <f t="shared" si="40"/>
        <v>136065</v>
      </c>
      <c r="R330" s="52">
        <f t="shared" si="41"/>
        <v>0</v>
      </c>
      <c r="S330" s="52">
        <f t="shared" si="42"/>
        <v>136065</v>
      </c>
    </row>
    <row r="331" spans="2:19" x14ac:dyDescent="0.2">
      <c r="B331" s="79">
        <f t="shared" si="43"/>
        <v>50</v>
      </c>
      <c r="C331" s="4"/>
      <c r="D331" s="4"/>
      <c r="E331" s="4"/>
      <c r="F331" s="56" t="s">
        <v>150</v>
      </c>
      <c r="G331" s="4">
        <v>632</v>
      </c>
      <c r="H331" s="4" t="s">
        <v>139</v>
      </c>
      <c r="I331" s="26">
        <v>27000</v>
      </c>
      <c r="J331" s="26"/>
      <c r="K331" s="26">
        <f t="shared" si="44"/>
        <v>27000</v>
      </c>
      <c r="L331" s="80"/>
      <c r="M331" s="26"/>
      <c r="N331" s="26"/>
      <c r="O331" s="26">
        <f t="shared" si="45"/>
        <v>0</v>
      </c>
      <c r="P331" s="80"/>
      <c r="Q331" s="26">
        <f t="shared" si="40"/>
        <v>27000</v>
      </c>
      <c r="R331" s="26">
        <f t="shared" si="41"/>
        <v>0</v>
      </c>
      <c r="S331" s="26">
        <f t="shared" si="42"/>
        <v>27000</v>
      </c>
    </row>
    <row r="332" spans="2:19" x14ac:dyDescent="0.2">
      <c r="B332" s="79">
        <f t="shared" si="43"/>
        <v>51</v>
      </c>
      <c r="C332" s="4"/>
      <c r="D332" s="4"/>
      <c r="E332" s="4"/>
      <c r="F332" s="56" t="s">
        <v>150</v>
      </c>
      <c r="G332" s="4">
        <v>633</v>
      </c>
      <c r="H332" s="4" t="s">
        <v>132</v>
      </c>
      <c r="I332" s="26">
        <v>300</v>
      </c>
      <c r="J332" s="26"/>
      <c r="K332" s="26">
        <f t="shared" si="44"/>
        <v>300</v>
      </c>
      <c r="L332" s="80"/>
      <c r="M332" s="26"/>
      <c r="N332" s="26"/>
      <c r="O332" s="26">
        <f t="shared" si="45"/>
        <v>0</v>
      </c>
      <c r="P332" s="80"/>
      <c r="Q332" s="26">
        <f t="shared" si="40"/>
        <v>300</v>
      </c>
      <c r="R332" s="26">
        <f t="shared" si="41"/>
        <v>0</v>
      </c>
      <c r="S332" s="26">
        <f t="shared" si="42"/>
        <v>300</v>
      </c>
    </row>
    <row r="333" spans="2:19" x14ac:dyDescent="0.2">
      <c r="B333" s="79">
        <f t="shared" si="43"/>
        <v>52</v>
      </c>
      <c r="C333" s="4"/>
      <c r="D333" s="4"/>
      <c r="E333" s="4"/>
      <c r="F333" s="56" t="s">
        <v>150</v>
      </c>
      <c r="G333" s="4">
        <v>637</v>
      </c>
      <c r="H333" s="4" t="s">
        <v>129</v>
      </c>
      <c r="I333" s="26">
        <f>117630-300-13700-4000</f>
        <v>99630</v>
      </c>
      <c r="J333" s="26"/>
      <c r="K333" s="26">
        <f t="shared" si="44"/>
        <v>99630</v>
      </c>
      <c r="L333" s="80"/>
      <c r="M333" s="26"/>
      <c r="N333" s="26"/>
      <c r="O333" s="26">
        <f t="shared" si="45"/>
        <v>0</v>
      </c>
      <c r="P333" s="80"/>
      <c r="Q333" s="26">
        <f t="shared" si="40"/>
        <v>99630</v>
      </c>
      <c r="R333" s="26">
        <f t="shared" si="41"/>
        <v>0</v>
      </c>
      <c r="S333" s="26">
        <f t="shared" si="42"/>
        <v>99630</v>
      </c>
    </row>
    <row r="334" spans="2:19" x14ac:dyDescent="0.2">
      <c r="B334" s="79">
        <f t="shared" si="43"/>
        <v>53</v>
      </c>
      <c r="C334" s="4"/>
      <c r="D334" s="4"/>
      <c r="E334" s="4"/>
      <c r="F334" s="56" t="s">
        <v>150</v>
      </c>
      <c r="G334" s="4">
        <v>637</v>
      </c>
      <c r="H334" s="4" t="s">
        <v>521</v>
      </c>
      <c r="I334" s="26">
        <v>7135</v>
      </c>
      <c r="J334" s="26"/>
      <c r="K334" s="26">
        <f t="shared" si="44"/>
        <v>7135</v>
      </c>
      <c r="L334" s="80"/>
      <c r="M334" s="26"/>
      <c r="N334" s="26"/>
      <c r="O334" s="26">
        <f t="shared" si="45"/>
        <v>0</v>
      </c>
      <c r="P334" s="80"/>
      <c r="Q334" s="26">
        <f t="shared" si="40"/>
        <v>7135</v>
      </c>
      <c r="R334" s="26">
        <f t="shared" si="41"/>
        <v>0</v>
      </c>
      <c r="S334" s="26">
        <f t="shared" si="42"/>
        <v>7135</v>
      </c>
    </row>
    <row r="335" spans="2:19" ht="24" x14ac:dyDescent="0.2">
      <c r="B335" s="79">
        <f t="shared" si="43"/>
        <v>54</v>
      </c>
      <c r="C335" s="4"/>
      <c r="D335" s="4"/>
      <c r="E335" s="4"/>
      <c r="F335" s="56"/>
      <c r="G335" s="4">
        <v>637</v>
      </c>
      <c r="H335" s="142" t="s">
        <v>703</v>
      </c>
      <c r="I335" s="143">
        <v>2000</v>
      </c>
      <c r="J335" s="143"/>
      <c r="K335" s="143">
        <f t="shared" si="44"/>
        <v>2000</v>
      </c>
      <c r="L335" s="166"/>
      <c r="M335" s="143"/>
      <c r="N335" s="143"/>
      <c r="O335" s="143">
        <f t="shared" si="45"/>
        <v>0</v>
      </c>
      <c r="P335" s="166"/>
      <c r="Q335" s="143">
        <f t="shared" si="40"/>
        <v>2000</v>
      </c>
      <c r="R335" s="143">
        <f t="shared" si="41"/>
        <v>0</v>
      </c>
      <c r="S335" s="143">
        <f t="shared" si="42"/>
        <v>2000</v>
      </c>
    </row>
    <row r="336" spans="2:19" x14ac:dyDescent="0.2">
      <c r="B336" s="79">
        <f t="shared" si="43"/>
        <v>55</v>
      </c>
      <c r="C336" s="15"/>
      <c r="D336" s="15"/>
      <c r="E336" s="15"/>
      <c r="F336" s="55" t="s">
        <v>150</v>
      </c>
      <c r="G336" s="15">
        <v>710</v>
      </c>
      <c r="H336" s="15" t="s">
        <v>184</v>
      </c>
      <c r="I336" s="52">
        <f>I340+I337</f>
        <v>0</v>
      </c>
      <c r="J336" s="52">
        <f>J340+J337</f>
        <v>0</v>
      </c>
      <c r="K336" s="52">
        <f t="shared" si="44"/>
        <v>0</v>
      </c>
      <c r="L336" s="126"/>
      <c r="M336" s="52">
        <f>M340+M337</f>
        <v>60712</v>
      </c>
      <c r="N336" s="52">
        <f>N340+N337</f>
        <v>0</v>
      </c>
      <c r="O336" s="52">
        <f t="shared" si="45"/>
        <v>60712</v>
      </c>
      <c r="P336" s="126"/>
      <c r="Q336" s="52">
        <f t="shared" si="40"/>
        <v>60712</v>
      </c>
      <c r="R336" s="52">
        <f t="shared" si="41"/>
        <v>0</v>
      </c>
      <c r="S336" s="52">
        <f t="shared" si="42"/>
        <v>60712</v>
      </c>
    </row>
    <row r="337" spans="2:19" x14ac:dyDescent="0.2">
      <c r="B337" s="79">
        <f t="shared" si="43"/>
        <v>56</v>
      </c>
      <c r="C337" s="4"/>
      <c r="D337" s="4"/>
      <c r="E337" s="4"/>
      <c r="F337" s="89" t="s">
        <v>150</v>
      </c>
      <c r="G337" s="90">
        <v>716</v>
      </c>
      <c r="H337" s="90" t="s">
        <v>0</v>
      </c>
      <c r="I337" s="91"/>
      <c r="J337" s="91"/>
      <c r="K337" s="91">
        <f t="shared" si="44"/>
        <v>0</v>
      </c>
      <c r="L337" s="80"/>
      <c r="M337" s="91">
        <f>SUM(M338:M339)</f>
        <v>10000</v>
      </c>
      <c r="N337" s="91">
        <f>SUM(N338:N339)</f>
        <v>0</v>
      </c>
      <c r="O337" s="91">
        <f t="shared" si="45"/>
        <v>10000</v>
      </c>
      <c r="P337" s="80"/>
      <c r="Q337" s="91">
        <f t="shared" si="40"/>
        <v>10000</v>
      </c>
      <c r="R337" s="91">
        <f t="shared" si="41"/>
        <v>0</v>
      </c>
      <c r="S337" s="91">
        <f t="shared" si="42"/>
        <v>10000</v>
      </c>
    </row>
    <row r="338" spans="2:19" ht="24" x14ac:dyDescent="0.2">
      <c r="B338" s="79">
        <f t="shared" si="43"/>
        <v>57</v>
      </c>
      <c r="C338" s="82"/>
      <c r="D338" s="82"/>
      <c r="E338" s="82"/>
      <c r="F338" s="83"/>
      <c r="G338" s="82"/>
      <c r="H338" s="84" t="s">
        <v>497</v>
      </c>
      <c r="I338" s="66"/>
      <c r="J338" s="66"/>
      <c r="K338" s="66">
        <f t="shared" si="44"/>
        <v>0</v>
      </c>
      <c r="L338" s="166"/>
      <c r="M338" s="66">
        <f>2250-2250</f>
        <v>0</v>
      </c>
      <c r="N338" s="66"/>
      <c r="O338" s="66">
        <f t="shared" si="45"/>
        <v>0</v>
      </c>
      <c r="P338" s="166"/>
      <c r="Q338" s="66">
        <f t="shared" si="40"/>
        <v>0</v>
      </c>
      <c r="R338" s="66">
        <f t="shared" si="41"/>
        <v>0</v>
      </c>
      <c r="S338" s="66">
        <f t="shared" si="42"/>
        <v>0</v>
      </c>
    </row>
    <row r="339" spans="2:19" x14ac:dyDescent="0.2">
      <c r="B339" s="79">
        <f t="shared" si="43"/>
        <v>58</v>
      </c>
      <c r="C339" s="82"/>
      <c r="D339" s="82"/>
      <c r="E339" s="82"/>
      <c r="F339" s="83"/>
      <c r="G339" s="82"/>
      <c r="H339" s="84" t="s">
        <v>498</v>
      </c>
      <c r="I339" s="66"/>
      <c r="J339" s="66"/>
      <c r="K339" s="66">
        <f t="shared" si="44"/>
        <v>0</v>
      </c>
      <c r="L339" s="166"/>
      <c r="M339" s="66">
        <f>1750+8250</f>
        <v>10000</v>
      </c>
      <c r="N339" s="66"/>
      <c r="O339" s="66">
        <f t="shared" si="45"/>
        <v>10000</v>
      </c>
      <c r="P339" s="166"/>
      <c r="Q339" s="66">
        <f t="shared" si="40"/>
        <v>10000</v>
      </c>
      <c r="R339" s="66">
        <f t="shared" si="41"/>
        <v>0</v>
      </c>
      <c r="S339" s="66">
        <f t="shared" si="42"/>
        <v>10000</v>
      </c>
    </row>
    <row r="340" spans="2:19" x14ac:dyDescent="0.2">
      <c r="B340" s="79">
        <f t="shared" si="43"/>
        <v>59</v>
      </c>
      <c r="C340" s="82"/>
      <c r="D340" s="82"/>
      <c r="E340" s="82"/>
      <c r="F340" s="115" t="s">
        <v>150</v>
      </c>
      <c r="G340" s="116">
        <v>717</v>
      </c>
      <c r="H340" s="116" t="s">
        <v>194</v>
      </c>
      <c r="I340" s="117"/>
      <c r="J340" s="117"/>
      <c r="K340" s="117">
        <f t="shared" si="44"/>
        <v>0</v>
      </c>
      <c r="L340" s="166"/>
      <c r="M340" s="117">
        <f>SUM(M341:M344)</f>
        <v>50712</v>
      </c>
      <c r="N340" s="117">
        <f>SUM(N341:N344)</f>
        <v>0</v>
      </c>
      <c r="O340" s="117">
        <f t="shared" si="45"/>
        <v>50712</v>
      </c>
      <c r="P340" s="166"/>
      <c r="Q340" s="117">
        <f t="shared" si="40"/>
        <v>50712</v>
      </c>
      <c r="R340" s="117">
        <f t="shared" si="41"/>
        <v>0</v>
      </c>
      <c r="S340" s="117">
        <f t="shared" si="42"/>
        <v>50712</v>
      </c>
    </row>
    <row r="341" spans="2:19" ht="24" x14ac:dyDescent="0.2">
      <c r="B341" s="79">
        <f t="shared" si="43"/>
        <v>60</v>
      </c>
      <c r="C341" s="82"/>
      <c r="D341" s="118"/>
      <c r="E341" s="82"/>
      <c r="F341" s="83"/>
      <c r="G341" s="82"/>
      <c r="H341" s="119" t="s">
        <v>446</v>
      </c>
      <c r="I341" s="66"/>
      <c r="J341" s="66"/>
      <c r="K341" s="66">
        <f t="shared" si="44"/>
        <v>0</v>
      </c>
      <c r="L341" s="166"/>
      <c r="M341" s="66">
        <v>19000</v>
      </c>
      <c r="N341" s="66"/>
      <c r="O341" s="66">
        <f t="shared" si="45"/>
        <v>19000</v>
      </c>
      <c r="P341" s="166"/>
      <c r="Q341" s="66">
        <f t="shared" si="40"/>
        <v>19000</v>
      </c>
      <c r="R341" s="66">
        <f t="shared" si="41"/>
        <v>0</v>
      </c>
      <c r="S341" s="66">
        <f t="shared" si="42"/>
        <v>19000</v>
      </c>
    </row>
    <row r="342" spans="2:19" x14ac:dyDescent="0.2">
      <c r="B342" s="79">
        <f t="shared" si="43"/>
        <v>61</v>
      </c>
      <c r="C342" s="82"/>
      <c r="D342" s="118"/>
      <c r="E342" s="82"/>
      <c r="F342" s="83"/>
      <c r="G342" s="82"/>
      <c r="H342" s="119" t="s">
        <v>447</v>
      </c>
      <c r="I342" s="66"/>
      <c r="J342" s="66"/>
      <c r="K342" s="66">
        <f t="shared" si="44"/>
        <v>0</v>
      </c>
      <c r="L342" s="166"/>
      <c r="M342" s="66">
        <f>3712+7000</f>
        <v>10712</v>
      </c>
      <c r="N342" s="66"/>
      <c r="O342" s="66">
        <f t="shared" si="45"/>
        <v>10712</v>
      </c>
      <c r="P342" s="166"/>
      <c r="Q342" s="66">
        <f t="shared" si="40"/>
        <v>10712</v>
      </c>
      <c r="R342" s="66">
        <f t="shared" si="41"/>
        <v>0</v>
      </c>
      <c r="S342" s="66">
        <f t="shared" si="42"/>
        <v>10712</v>
      </c>
    </row>
    <row r="343" spans="2:19" ht="24" x14ac:dyDescent="0.2">
      <c r="B343" s="79">
        <f t="shared" si="43"/>
        <v>62</v>
      </c>
      <c r="C343" s="82"/>
      <c r="D343" s="118"/>
      <c r="E343" s="82"/>
      <c r="F343" s="83"/>
      <c r="G343" s="82"/>
      <c r="H343" s="142" t="s">
        <v>564</v>
      </c>
      <c r="I343" s="143"/>
      <c r="J343" s="143"/>
      <c r="K343" s="143">
        <f t="shared" si="44"/>
        <v>0</v>
      </c>
      <c r="L343" s="166"/>
      <c r="M343" s="143">
        <f>4000+8000</f>
        <v>12000</v>
      </c>
      <c r="N343" s="143"/>
      <c r="O343" s="143">
        <f t="shared" si="45"/>
        <v>12000</v>
      </c>
      <c r="P343" s="166"/>
      <c r="Q343" s="143">
        <f t="shared" si="40"/>
        <v>12000</v>
      </c>
      <c r="R343" s="143">
        <f t="shared" si="41"/>
        <v>0</v>
      </c>
      <c r="S343" s="143">
        <f t="shared" si="42"/>
        <v>12000</v>
      </c>
    </row>
    <row r="344" spans="2:19" x14ac:dyDescent="0.2">
      <c r="B344" s="79">
        <f t="shared" si="43"/>
        <v>63</v>
      </c>
      <c r="C344" s="82"/>
      <c r="D344" s="118"/>
      <c r="E344" s="82"/>
      <c r="F344" s="83"/>
      <c r="G344" s="82"/>
      <c r="H344" s="119" t="s">
        <v>499</v>
      </c>
      <c r="I344" s="66"/>
      <c r="J344" s="66"/>
      <c r="K344" s="66">
        <f t="shared" si="44"/>
        <v>0</v>
      </c>
      <c r="L344" s="166"/>
      <c r="M344" s="66">
        <f>7500+2250-750</f>
        <v>9000</v>
      </c>
      <c r="N344" s="66"/>
      <c r="O344" s="66">
        <f t="shared" si="45"/>
        <v>9000</v>
      </c>
      <c r="P344" s="166"/>
      <c r="Q344" s="66">
        <f t="shared" ref="Q344:Q349" si="46">I344+M344</f>
        <v>9000</v>
      </c>
      <c r="R344" s="66">
        <f t="shared" ref="R344:R354" si="47">J344+N344</f>
        <v>0</v>
      </c>
      <c r="S344" s="66">
        <f t="shared" ref="S344:S354" si="48">K344+O344</f>
        <v>9000</v>
      </c>
    </row>
    <row r="345" spans="2:19" ht="15" x14ac:dyDescent="0.2">
      <c r="B345" s="79">
        <f t="shared" ref="B345:B354" si="49">B344+1</f>
        <v>64</v>
      </c>
      <c r="C345" s="191">
        <v>7</v>
      </c>
      <c r="D345" s="245" t="s">
        <v>279</v>
      </c>
      <c r="E345" s="246"/>
      <c r="F345" s="246"/>
      <c r="G345" s="246"/>
      <c r="H345" s="247"/>
      <c r="I345" s="48">
        <f>I346</f>
        <v>2870</v>
      </c>
      <c r="J345" s="48">
        <f>J346</f>
        <v>0</v>
      </c>
      <c r="K345" s="48">
        <f t="shared" ref="K345:K354" si="50">I345+J345</f>
        <v>2870</v>
      </c>
      <c r="L345" s="201"/>
      <c r="M345" s="48">
        <f>M346</f>
        <v>0</v>
      </c>
      <c r="N345" s="48">
        <f>N346</f>
        <v>0</v>
      </c>
      <c r="O345" s="48">
        <f t="shared" ref="O345:O354" si="51">M345+N345</f>
        <v>0</v>
      </c>
      <c r="P345" s="201"/>
      <c r="Q345" s="48">
        <f t="shared" si="46"/>
        <v>2870</v>
      </c>
      <c r="R345" s="48">
        <f t="shared" si="47"/>
        <v>0</v>
      </c>
      <c r="S345" s="48">
        <f t="shared" si="48"/>
        <v>2870</v>
      </c>
    </row>
    <row r="346" spans="2:19" ht="15" x14ac:dyDescent="0.25">
      <c r="B346" s="79">
        <f t="shared" si="49"/>
        <v>65</v>
      </c>
      <c r="C346" s="18"/>
      <c r="D346" s="18"/>
      <c r="E346" s="18">
        <v>2</v>
      </c>
      <c r="F346" s="53"/>
      <c r="G346" s="18"/>
      <c r="H346" s="18" t="s">
        <v>257</v>
      </c>
      <c r="I346" s="50">
        <f>I347+I348+I349</f>
        <v>2870</v>
      </c>
      <c r="J346" s="50">
        <f>J347+J348+J349</f>
        <v>0</v>
      </c>
      <c r="K346" s="50">
        <f t="shared" si="50"/>
        <v>2870</v>
      </c>
      <c r="L346" s="203"/>
      <c r="M346" s="50">
        <f>M347+M348+M349</f>
        <v>0</v>
      </c>
      <c r="N346" s="50">
        <f>N347+N348+N349</f>
        <v>0</v>
      </c>
      <c r="O346" s="50">
        <f t="shared" si="51"/>
        <v>0</v>
      </c>
      <c r="P346" s="203"/>
      <c r="Q346" s="50">
        <f t="shared" si="46"/>
        <v>2870</v>
      </c>
      <c r="R346" s="50">
        <f t="shared" si="47"/>
        <v>0</v>
      </c>
      <c r="S346" s="50">
        <f t="shared" si="48"/>
        <v>2870</v>
      </c>
    </row>
    <row r="347" spans="2:19" x14ac:dyDescent="0.2">
      <c r="B347" s="79">
        <f t="shared" si="49"/>
        <v>66</v>
      </c>
      <c r="C347" s="15"/>
      <c r="D347" s="15"/>
      <c r="E347" s="15"/>
      <c r="F347" s="55" t="s">
        <v>2</v>
      </c>
      <c r="G347" s="15">
        <v>610</v>
      </c>
      <c r="H347" s="15" t="s">
        <v>136</v>
      </c>
      <c r="I347" s="52">
        <v>700</v>
      </c>
      <c r="J347" s="52"/>
      <c r="K347" s="52">
        <f t="shared" si="50"/>
        <v>700</v>
      </c>
      <c r="L347" s="126"/>
      <c r="M347" s="52"/>
      <c r="N347" s="52"/>
      <c r="O347" s="52">
        <f t="shared" si="51"/>
        <v>0</v>
      </c>
      <c r="P347" s="126"/>
      <c r="Q347" s="52">
        <f t="shared" si="46"/>
        <v>700</v>
      </c>
      <c r="R347" s="52">
        <f t="shared" si="47"/>
        <v>0</v>
      </c>
      <c r="S347" s="52">
        <f t="shared" si="48"/>
        <v>700</v>
      </c>
    </row>
    <row r="348" spans="2:19" x14ac:dyDescent="0.2">
      <c r="B348" s="79">
        <f t="shared" si="49"/>
        <v>67</v>
      </c>
      <c r="C348" s="15"/>
      <c r="D348" s="15"/>
      <c r="E348" s="15"/>
      <c r="F348" s="55" t="s">
        <v>2</v>
      </c>
      <c r="G348" s="15">
        <v>620</v>
      </c>
      <c r="H348" s="15" t="s">
        <v>131</v>
      </c>
      <c r="I348" s="52">
        <v>240</v>
      </c>
      <c r="J348" s="52"/>
      <c r="K348" s="52">
        <f t="shared" si="50"/>
        <v>240</v>
      </c>
      <c r="L348" s="126"/>
      <c r="M348" s="52"/>
      <c r="N348" s="52"/>
      <c r="O348" s="52">
        <f t="shared" si="51"/>
        <v>0</v>
      </c>
      <c r="P348" s="126"/>
      <c r="Q348" s="52">
        <f t="shared" si="46"/>
        <v>240</v>
      </c>
      <c r="R348" s="52">
        <f t="shared" si="47"/>
        <v>0</v>
      </c>
      <c r="S348" s="52">
        <f t="shared" si="48"/>
        <v>240</v>
      </c>
    </row>
    <row r="349" spans="2:19" x14ac:dyDescent="0.2">
      <c r="B349" s="79">
        <f t="shared" si="49"/>
        <v>68</v>
      </c>
      <c r="C349" s="15"/>
      <c r="D349" s="15"/>
      <c r="E349" s="15"/>
      <c r="F349" s="55" t="s">
        <v>2</v>
      </c>
      <c r="G349" s="15">
        <v>630</v>
      </c>
      <c r="H349" s="15" t="s">
        <v>128</v>
      </c>
      <c r="I349" s="52">
        <f>I353+I352+I351+I350</f>
        <v>1930</v>
      </c>
      <c r="J349" s="52">
        <f>J353+J352+J351+J350</f>
        <v>0</v>
      </c>
      <c r="K349" s="52">
        <f t="shared" si="50"/>
        <v>1930</v>
      </c>
      <c r="L349" s="126"/>
      <c r="M349" s="52">
        <f>M353+M352+M351+M350</f>
        <v>0</v>
      </c>
      <c r="N349" s="52">
        <f>N353+N352+N351+N350</f>
        <v>0</v>
      </c>
      <c r="O349" s="52">
        <f t="shared" si="51"/>
        <v>0</v>
      </c>
      <c r="P349" s="126"/>
      <c r="Q349" s="52">
        <f t="shared" si="46"/>
        <v>1930</v>
      </c>
      <c r="R349" s="52">
        <f t="shared" si="47"/>
        <v>0</v>
      </c>
      <c r="S349" s="52">
        <f t="shared" si="48"/>
        <v>1930</v>
      </c>
    </row>
    <row r="350" spans="2:19" x14ac:dyDescent="0.2">
      <c r="B350" s="79">
        <f t="shared" si="49"/>
        <v>69</v>
      </c>
      <c r="C350" s="4"/>
      <c r="D350" s="4"/>
      <c r="E350" s="4"/>
      <c r="F350" s="56" t="s">
        <v>2</v>
      </c>
      <c r="G350" s="4">
        <v>633</v>
      </c>
      <c r="H350" s="4" t="s">
        <v>132</v>
      </c>
      <c r="I350" s="26">
        <v>800</v>
      </c>
      <c r="J350" s="26"/>
      <c r="K350" s="26">
        <f t="shared" si="50"/>
        <v>800</v>
      </c>
      <c r="L350" s="80"/>
      <c r="M350" s="26"/>
      <c r="N350" s="26"/>
      <c r="O350" s="26">
        <f t="shared" si="51"/>
        <v>0</v>
      </c>
      <c r="P350" s="80"/>
      <c r="Q350" s="26">
        <f>I350+M350</f>
        <v>800</v>
      </c>
      <c r="R350" s="26">
        <f t="shared" si="47"/>
        <v>0</v>
      </c>
      <c r="S350" s="26">
        <f t="shared" si="48"/>
        <v>800</v>
      </c>
    </row>
    <row r="351" spans="2:19" x14ac:dyDescent="0.2">
      <c r="B351" s="79">
        <f t="shared" si="49"/>
        <v>70</v>
      </c>
      <c r="C351" s="4"/>
      <c r="D351" s="4"/>
      <c r="E351" s="4"/>
      <c r="F351" s="56" t="s">
        <v>2</v>
      </c>
      <c r="G351" s="4">
        <v>634</v>
      </c>
      <c r="H351" s="4" t="s">
        <v>137</v>
      </c>
      <c r="I351" s="26">
        <v>450</v>
      </c>
      <c r="J351" s="26"/>
      <c r="K351" s="26">
        <f t="shared" si="50"/>
        <v>450</v>
      </c>
      <c r="L351" s="80"/>
      <c r="M351" s="26"/>
      <c r="N351" s="26"/>
      <c r="O351" s="26">
        <f t="shared" si="51"/>
        <v>0</v>
      </c>
      <c r="P351" s="80"/>
      <c r="Q351" s="26">
        <f>I351+M351</f>
        <v>450</v>
      </c>
      <c r="R351" s="26">
        <f t="shared" si="47"/>
        <v>0</v>
      </c>
      <c r="S351" s="26">
        <f t="shared" si="48"/>
        <v>450</v>
      </c>
    </row>
    <row r="352" spans="2:19" x14ac:dyDescent="0.2">
      <c r="B352" s="79">
        <f t="shared" si="49"/>
        <v>71</v>
      </c>
      <c r="C352" s="4"/>
      <c r="D352" s="4"/>
      <c r="E352" s="4"/>
      <c r="F352" s="56" t="s">
        <v>2</v>
      </c>
      <c r="G352" s="4">
        <v>635</v>
      </c>
      <c r="H352" s="4" t="s">
        <v>138</v>
      </c>
      <c r="I352" s="26">
        <v>350</v>
      </c>
      <c r="J352" s="26"/>
      <c r="K352" s="26">
        <f t="shared" si="50"/>
        <v>350</v>
      </c>
      <c r="L352" s="80"/>
      <c r="M352" s="26"/>
      <c r="N352" s="26"/>
      <c r="O352" s="26">
        <f t="shared" si="51"/>
        <v>0</v>
      </c>
      <c r="P352" s="80"/>
      <c r="Q352" s="26">
        <f>I352+M352</f>
        <v>350</v>
      </c>
      <c r="R352" s="26">
        <f t="shared" si="47"/>
        <v>0</v>
      </c>
      <c r="S352" s="26">
        <f t="shared" si="48"/>
        <v>350</v>
      </c>
    </row>
    <row r="353" spans="2:19" x14ac:dyDescent="0.2">
      <c r="B353" s="79">
        <f t="shared" si="49"/>
        <v>72</v>
      </c>
      <c r="C353" s="4"/>
      <c r="D353" s="4"/>
      <c r="E353" s="4"/>
      <c r="F353" s="56" t="s">
        <v>2</v>
      </c>
      <c r="G353" s="4">
        <v>637</v>
      </c>
      <c r="H353" s="4" t="s">
        <v>129</v>
      </c>
      <c r="I353" s="26">
        <v>330</v>
      </c>
      <c r="J353" s="26"/>
      <c r="K353" s="26">
        <f t="shared" si="50"/>
        <v>330</v>
      </c>
      <c r="L353" s="80"/>
      <c r="M353" s="26"/>
      <c r="N353" s="26"/>
      <c r="O353" s="26">
        <f t="shared" si="51"/>
        <v>0</v>
      </c>
      <c r="P353" s="80"/>
      <c r="Q353" s="26">
        <f>I353+M353</f>
        <v>330</v>
      </c>
      <c r="R353" s="26">
        <f t="shared" si="47"/>
        <v>0</v>
      </c>
      <c r="S353" s="26">
        <f t="shared" si="48"/>
        <v>330</v>
      </c>
    </row>
    <row r="354" spans="2:19" ht="15" x14ac:dyDescent="0.2">
      <c r="B354" s="79">
        <f t="shared" si="49"/>
        <v>73</v>
      </c>
      <c r="C354" s="191">
        <v>8</v>
      </c>
      <c r="D354" s="245" t="s">
        <v>355</v>
      </c>
      <c r="E354" s="246"/>
      <c r="F354" s="246"/>
      <c r="G354" s="246"/>
      <c r="H354" s="247"/>
      <c r="I354" s="48">
        <v>0</v>
      </c>
      <c r="J354" s="48">
        <v>0</v>
      </c>
      <c r="K354" s="48">
        <f t="shared" si="50"/>
        <v>0</v>
      </c>
      <c r="L354" s="201"/>
      <c r="M354" s="48">
        <v>0</v>
      </c>
      <c r="N354" s="48"/>
      <c r="O354" s="48">
        <f t="shared" si="51"/>
        <v>0</v>
      </c>
      <c r="P354" s="201"/>
      <c r="Q354" s="48">
        <f>I354+M354</f>
        <v>0</v>
      </c>
      <c r="R354" s="48">
        <f t="shared" si="47"/>
        <v>0</v>
      </c>
      <c r="S354" s="48">
        <f t="shared" si="48"/>
        <v>0</v>
      </c>
    </row>
    <row r="410" spans="2:19" ht="27" x14ac:dyDescent="0.35">
      <c r="B410" s="248" t="s">
        <v>299</v>
      </c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M410" s="249"/>
      <c r="N410" s="249"/>
      <c r="O410" s="249"/>
      <c r="P410" s="249"/>
      <c r="Q410" s="249"/>
    </row>
    <row r="411" spans="2:19" ht="12.75" customHeight="1" x14ac:dyDescent="0.2">
      <c r="B411" s="260" t="s">
        <v>281</v>
      </c>
      <c r="C411" s="261"/>
      <c r="D411" s="261"/>
      <c r="E411" s="261"/>
      <c r="F411" s="261"/>
      <c r="G411" s="261"/>
      <c r="H411" s="261"/>
      <c r="I411" s="261"/>
      <c r="J411" s="261"/>
      <c r="K411" s="261"/>
      <c r="L411" s="261"/>
      <c r="M411" s="261"/>
      <c r="N411" s="261"/>
      <c r="O411" s="262"/>
      <c r="P411" s="208"/>
      <c r="Q411" s="250" t="s">
        <v>779</v>
      </c>
      <c r="R411" s="250" t="s">
        <v>773</v>
      </c>
      <c r="S411" s="250" t="s">
        <v>774</v>
      </c>
    </row>
    <row r="412" spans="2:19" ht="12.75" customHeight="1" x14ac:dyDescent="0.2">
      <c r="B412" s="253" t="s">
        <v>112</v>
      </c>
      <c r="C412" s="255" t="s">
        <v>120</v>
      </c>
      <c r="D412" s="255" t="s">
        <v>121</v>
      </c>
      <c r="E412" s="257" t="s">
        <v>125</v>
      </c>
      <c r="F412" s="255" t="s">
        <v>122</v>
      </c>
      <c r="G412" s="255" t="s">
        <v>123</v>
      </c>
      <c r="H412" s="263" t="s">
        <v>124</v>
      </c>
      <c r="I412" s="250" t="s">
        <v>777</v>
      </c>
      <c r="J412" s="251" t="s">
        <v>773</v>
      </c>
      <c r="K412" s="251" t="s">
        <v>775</v>
      </c>
      <c r="L412" s="197"/>
      <c r="M412" s="250" t="s">
        <v>778</v>
      </c>
      <c r="N412" s="251" t="s">
        <v>773</v>
      </c>
      <c r="O412" s="251" t="s">
        <v>776</v>
      </c>
      <c r="P412" s="198"/>
      <c r="Q412" s="251"/>
      <c r="R412" s="251"/>
      <c r="S412" s="251"/>
    </row>
    <row r="413" spans="2:19" x14ac:dyDescent="0.2">
      <c r="B413" s="253"/>
      <c r="C413" s="255"/>
      <c r="D413" s="255"/>
      <c r="E413" s="258"/>
      <c r="F413" s="255"/>
      <c r="G413" s="255"/>
      <c r="H413" s="263"/>
      <c r="I413" s="251"/>
      <c r="J413" s="251"/>
      <c r="K413" s="251"/>
      <c r="L413" s="198"/>
      <c r="M413" s="251"/>
      <c r="N413" s="251"/>
      <c r="O413" s="251"/>
      <c r="P413" s="198"/>
      <c r="Q413" s="251"/>
      <c r="R413" s="251"/>
      <c r="S413" s="251"/>
    </row>
    <row r="414" spans="2:19" x14ac:dyDescent="0.2">
      <c r="B414" s="253"/>
      <c r="C414" s="255"/>
      <c r="D414" s="255"/>
      <c r="E414" s="258"/>
      <c r="F414" s="255"/>
      <c r="G414" s="255"/>
      <c r="H414" s="263"/>
      <c r="I414" s="251"/>
      <c r="J414" s="251"/>
      <c r="K414" s="251"/>
      <c r="L414" s="198"/>
      <c r="M414" s="251"/>
      <c r="N414" s="251"/>
      <c r="O414" s="251"/>
      <c r="P414" s="198"/>
      <c r="Q414" s="251"/>
      <c r="R414" s="251"/>
      <c r="S414" s="251"/>
    </row>
    <row r="415" spans="2:19" ht="13.5" thickBot="1" x14ac:dyDescent="0.25">
      <c r="B415" s="254"/>
      <c r="C415" s="256"/>
      <c r="D415" s="256"/>
      <c r="E415" s="259"/>
      <c r="F415" s="256"/>
      <c r="G415" s="256"/>
      <c r="H415" s="264"/>
      <c r="I415" s="252"/>
      <c r="J415" s="252"/>
      <c r="K415" s="252"/>
      <c r="L415" s="199"/>
      <c r="M415" s="252"/>
      <c r="N415" s="252"/>
      <c r="O415" s="252"/>
      <c r="P415" s="199"/>
      <c r="Q415" s="252"/>
      <c r="R415" s="252"/>
      <c r="S415" s="252"/>
    </row>
    <row r="416" spans="2:19" ht="16.5" thickTop="1" x14ac:dyDescent="0.2">
      <c r="B416" s="78">
        <v>1</v>
      </c>
      <c r="C416" s="265" t="s">
        <v>299</v>
      </c>
      <c r="D416" s="266"/>
      <c r="E416" s="266"/>
      <c r="F416" s="266"/>
      <c r="G416" s="266"/>
      <c r="H416" s="267"/>
      <c r="I416" s="110">
        <f>I417+I436+I461+I469+I472</f>
        <v>1549500</v>
      </c>
      <c r="J416" s="110">
        <f>J417+J436+J461+J469+J472</f>
        <v>3870</v>
      </c>
      <c r="K416" s="110">
        <f>I416+J416</f>
        <v>1553370</v>
      </c>
      <c r="L416" s="200"/>
      <c r="M416" s="110">
        <f>M417+M436+M461+M469+M472</f>
        <v>147827</v>
      </c>
      <c r="N416" s="110">
        <f>N417+N436+N461+N469+N472</f>
        <v>13085</v>
      </c>
      <c r="O416" s="110">
        <f>M416+N416</f>
        <v>160912</v>
      </c>
      <c r="P416" s="200"/>
      <c r="Q416" s="47">
        <f t="shared" ref="Q416:Q480" si="52">M416+I416</f>
        <v>1697327</v>
      </c>
      <c r="R416" s="47">
        <f t="shared" ref="R416:R439" si="53">N416+J416</f>
        <v>16955</v>
      </c>
      <c r="S416" s="47">
        <f t="shared" ref="S416:S439" si="54">O416+K416</f>
        <v>1714282</v>
      </c>
    </row>
    <row r="417" spans="1:19" ht="15" x14ac:dyDescent="0.2">
      <c r="B417" s="79">
        <f t="shared" ref="B417:B481" si="55">B416+1</f>
        <v>2</v>
      </c>
      <c r="C417" s="191">
        <v>1</v>
      </c>
      <c r="D417" s="245" t="s">
        <v>157</v>
      </c>
      <c r="E417" s="246"/>
      <c r="F417" s="246"/>
      <c r="G417" s="246"/>
      <c r="H417" s="247"/>
      <c r="I417" s="48">
        <f>I418+I419+I420+I427+I428+I430</f>
        <v>1014700</v>
      </c>
      <c r="J417" s="48">
        <f>J418+J419+J420+J427+J428+J430</f>
        <v>3870</v>
      </c>
      <c r="K417" s="48">
        <f t="shared" ref="K417:K481" si="56">I417+J417</f>
        <v>1018570</v>
      </c>
      <c r="L417" s="201"/>
      <c r="M417" s="48">
        <f>M418+M419+M420+M427+M428+M430</f>
        <v>30100</v>
      </c>
      <c r="N417" s="48">
        <f>N418+N419+N420+N427+N428+N430</f>
        <v>13085</v>
      </c>
      <c r="O417" s="48">
        <f t="shared" ref="O417:O481" si="57">M417+N417</f>
        <v>43185</v>
      </c>
      <c r="P417" s="201"/>
      <c r="Q417" s="48">
        <f t="shared" si="52"/>
        <v>1044800</v>
      </c>
      <c r="R417" s="48">
        <f t="shared" si="53"/>
        <v>16955</v>
      </c>
      <c r="S417" s="48">
        <f t="shared" si="54"/>
        <v>1061755</v>
      </c>
    </row>
    <row r="418" spans="1:19" x14ac:dyDescent="0.2">
      <c r="B418" s="79">
        <f t="shared" si="55"/>
        <v>3</v>
      </c>
      <c r="C418" s="15"/>
      <c r="D418" s="15"/>
      <c r="E418" s="15"/>
      <c r="F418" s="55" t="s">
        <v>156</v>
      </c>
      <c r="G418" s="15">
        <v>610</v>
      </c>
      <c r="H418" s="15" t="s">
        <v>136</v>
      </c>
      <c r="I418" s="52">
        <f>582000+29250-6000-3100+15000-5500+4000</f>
        <v>615650</v>
      </c>
      <c r="J418" s="52"/>
      <c r="K418" s="52">
        <f t="shared" si="56"/>
        <v>615650</v>
      </c>
      <c r="L418" s="126"/>
      <c r="M418" s="52"/>
      <c r="N418" s="52"/>
      <c r="O418" s="52">
        <f t="shared" si="57"/>
        <v>0</v>
      </c>
      <c r="P418" s="126"/>
      <c r="Q418" s="52">
        <f t="shared" si="52"/>
        <v>615650</v>
      </c>
      <c r="R418" s="52">
        <f t="shared" si="53"/>
        <v>0</v>
      </c>
      <c r="S418" s="52">
        <f t="shared" si="54"/>
        <v>615650</v>
      </c>
    </row>
    <row r="419" spans="1:19" x14ac:dyDescent="0.2">
      <c r="B419" s="79">
        <f t="shared" si="55"/>
        <v>4</v>
      </c>
      <c r="C419" s="15"/>
      <c r="D419" s="15"/>
      <c r="E419" s="15"/>
      <c r="F419" s="55" t="s">
        <v>156</v>
      </c>
      <c r="G419" s="15">
        <v>620</v>
      </c>
      <c r="H419" s="15" t="s">
        <v>131</v>
      </c>
      <c r="I419" s="52">
        <f>210000+15750+4300+1400-1500</f>
        <v>229950</v>
      </c>
      <c r="J419" s="52"/>
      <c r="K419" s="52">
        <f t="shared" si="56"/>
        <v>229950</v>
      </c>
      <c r="L419" s="126"/>
      <c r="M419" s="52"/>
      <c r="N419" s="52"/>
      <c r="O419" s="52">
        <f t="shared" si="57"/>
        <v>0</v>
      </c>
      <c r="P419" s="126"/>
      <c r="Q419" s="52">
        <f t="shared" si="52"/>
        <v>229950</v>
      </c>
      <c r="R419" s="52">
        <f t="shared" si="53"/>
        <v>0</v>
      </c>
      <c r="S419" s="52">
        <f t="shared" si="54"/>
        <v>229950</v>
      </c>
    </row>
    <row r="420" spans="1:19" x14ac:dyDescent="0.2">
      <c r="B420" s="79">
        <f t="shared" si="55"/>
        <v>5</v>
      </c>
      <c r="C420" s="15"/>
      <c r="D420" s="15"/>
      <c r="E420" s="15"/>
      <c r="F420" s="55" t="s">
        <v>156</v>
      </c>
      <c r="G420" s="15">
        <v>630</v>
      </c>
      <c r="H420" s="15" t="s">
        <v>128</v>
      </c>
      <c r="I420" s="52">
        <f>I426+I425+I424+I423+I422+I421</f>
        <v>161430</v>
      </c>
      <c r="J420" s="52">
        <f>J426+J425+J424+J423+J422+J421</f>
        <v>3870</v>
      </c>
      <c r="K420" s="52">
        <f t="shared" si="56"/>
        <v>165300</v>
      </c>
      <c r="L420" s="126"/>
      <c r="M420" s="52">
        <f>M426+M425+M424+M423+M422+M421</f>
        <v>0</v>
      </c>
      <c r="N420" s="52">
        <f>N426+N425+N424+N423+N422+N421</f>
        <v>0</v>
      </c>
      <c r="O420" s="52">
        <f t="shared" si="57"/>
        <v>0</v>
      </c>
      <c r="P420" s="126"/>
      <c r="Q420" s="52">
        <f t="shared" si="52"/>
        <v>161430</v>
      </c>
      <c r="R420" s="52">
        <f t="shared" si="53"/>
        <v>3870</v>
      </c>
      <c r="S420" s="52">
        <f t="shared" si="54"/>
        <v>165300</v>
      </c>
    </row>
    <row r="421" spans="1:19" x14ac:dyDescent="0.2">
      <c r="B421" s="79">
        <f t="shared" si="55"/>
        <v>6</v>
      </c>
      <c r="C421" s="4"/>
      <c r="D421" s="4"/>
      <c r="E421" s="4"/>
      <c r="F421" s="56" t="s">
        <v>156</v>
      </c>
      <c r="G421" s="4">
        <v>631</v>
      </c>
      <c r="H421" s="4" t="s">
        <v>134</v>
      </c>
      <c r="I421" s="26">
        <f>2370+6000+2800+2000</f>
        <v>13170</v>
      </c>
      <c r="J421" s="26"/>
      <c r="K421" s="26">
        <f t="shared" si="56"/>
        <v>13170</v>
      </c>
      <c r="L421" s="80"/>
      <c r="M421" s="26"/>
      <c r="N421" s="26"/>
      <c r="O421" s="26">
        <f t="shared" si="57"/>
        <v>0</v>
      </c>
      <c r="P421" s="80"/>
      <c r="Q421" s="26">
        <f t="shared" si="52"/>
        <v>13170</v>
      </c>
      <c r="R421" s="26">
        <f t="shared" si="53"/>
        <v>0</v>
      </c>
      <c r="S421" s="26">
        <f t="shared" si="54"/>
        <v>13170</v>
      </c>
    </row>
    <row r="422" spans="1:19" x14ac:dyDescent="0.2">
      <c r="B422" s="79">
        <f t="shared" si="55"/>
        <v>7</v>
      </c>
      <c r="C422" s="4"/>
      <c r="D422" s="4"/>
      <c r="E422" s="4"/>
      <c r="F422" s="56" t="s">
        <v>156</v>
      </c>
      <c r="G422" s="4">
        <v>632</v>
      </c>
      <c r="H422" s="4" t="s">
        <v>139</v>
      </c>
      <c r="I422" s="26">
        <v>25000</v>
      </c>
      <c r="J422" s="26"/>
      <c r="K422" s="26">
        <f t="shared" si="56"/>
        <v>25000</v>
      </c>
      <c r="L422" s="80"/>
      <c r="M422" s="26"/>
      <c r="N422" s="26"/>
      <c r="O422" s="26">
        <f t="shared" si="57"/>
        <v>0</v>
      </c>
      <c r="P422" s="80"/>
      <c r="Q422" s="26">
        <f t="shared" si="52"/>
        <v>25000</v>
      </c>
      <c r="R422" s="26">
        <f t="shared" si="53"/>
        <v>0</v>
      </c>
      <c r="S422" s="26">
        <f t="shared" si="54"/>
        <v>25000</v>
      </c>
    </row>
    <row r="423" spans="1:19" x14ac:dyDescent="0.2">
      <c r="B423" s="79">
        <f t="shared" si="55"/>
        <v>8</v>
      </c>
      <c r="C423" s="4"/>
      <c r="D423" s="4"/>
      <c r="E423" s="4"/>
      <c r="F423" s="56" t="s">
        <v>156</v>
      </c>
      <c r="G423" s="4">
        <v>633</v>
      </c>
      <c r="H423" s="4" t="s">
        <v>132</v>
      </c>
      <c r="I423" s="26">
        <f>40000-1700+5400+900+8600-8800</f>
        <v>44400</v>
      </c>
      <c r="J423" s="26"/>
      <c r="K423" s="26">
        <f t="shared" si="56"/>
        <v>44400</v>
      </c>
      <c r="L423" s="80"/>
      <c r="M423" s="26"/>
      <c r="N423" s="26"/>
      <c r="O423" s="26">
        <f t="shared" si="57"/>
        <v>0</v>
      </c>
      <c r="P423" s="80"/>
      <c r="Q423" s="26">
        <f t="shared" si="52"/>
        <v>44400</v>
      </c>
      <c r="R423" s="26">
        <f t="shared" si="53"/>
        <v>0</v>
      </c>
      <c r="S423" s="26">
        <f t="shared" si="54"/>
        <v>44400</v>
      </c>
    </row>
    <row r="424" spans="1:19" x14ac:dyDescent="0.2">
      <c r="B424" s="79">
        <f t="shared" si="55"/>
        <v>9</v>
      </c>
      <c r="C424" s="4"/>
      <c r="D424" s="4"/>
      <c r="E424" s="4"/>
      <c r="F424" s="56" t="s">
        <v>156</v>
      </c>
      <c r="G424" s="4">
        <v>634</v>
      </c>
      <c r="H424" s="4" t="s">
        <v>137</v>
      </c>
      <c r="I424" s="26">
        <f>31980-4000</f>
        <v>27980</v>
      </c>
      <c r="J424" s="26"/>
      <c r="K424" s="26">
        <f t="shared" si="56"/>
        <v>27980</v>
      </c>
      <c r="L424" s="80"/>
      <c r="M424" s="26"/>
      <c r="N424" s="26"/>
      <c r="O424" s="26">
        <f t="shared" si="57"/>
        <v>0</v>
      </c>
      <c r="P424" s="80"/>
      <c r="Q424" s="26">
        <f t="shared" si="52"/>
        <v>27980</v>
      </c>
      <c r="R424" s="26">
        <f t="shared" si="53"/>
        <v>0</v>
      </c>
      <c r="S424" s="26">
        <f t="shared" si="54"/>
        <v>27980</v>
      </c>
    </row>
    <row r="425" spans="1:19" x14ac:dyDescent="0.2">
      <c r="B425" s="79">
        <f t="shared" si="55"/>
        <v>10</v>
      </c>
      <c r="C425" s="4"/>
      <c r="D425" s="4"/>
      <c r="E425" s="4"/>
      <c r="F425" s="56" t="s">
        <v>156</v>
      </c>
      <c r="G425" s="4">
        <v>635</v>
      </c>
      <c r="H425" s="4" t="s">
        <v>138</v>
      </c>
      <c r="I425" s="26">
        <f>1800+800</f>
        <v>2600</v>
      </c>
      <c r="J425" s="26">
        <v>3870</v>
      </c>
      <c r="K425" s="26">
        <f t="shared" si="56"/>
        <v>6470</v>
      </c>
      <c r="L425" s="80"/>
      <c r="M425" s="26"/>
      <c r="N425" s="26"/>
      <c r="O425" s="26">
        <f t="shared" si="57"/>
        <v>0</v>
      </c>
      <c r="P425" s="80"/>
      <c r="Q425" s="26">
        <f t="shared" si="52"/>
        <v>2600</v>
      </c>
      <c r="R425" s="26">
        <f t="shared" si="53"/>
        <v>3870</v>
      </c>
      <c r="S425" s="26">
        <f t="shared" si="54"/>
        <v>6470</v>
      </c>
    </row>
    <row r="426" spans="1:19" x14ac:dyDescent="0.2">
      <c r="B426" s="79">
        <f t="shared" si="55"/>
        <v>11</v>
      </c>
      <c r="C426" s="4"/>
      <c r="D426" s="4"/>
      <c r="E426" s="4"/>
      <c r="F426" s="56" t="s">
        <v>156</v>
      </c>
      <c r="G426" s="4">
        <v>637</v>
      </c>
      <c r="H426" s="4" t="s">
        <v>129</v>
      </c>
      <c r="I426" s="26">
        <f>44880+2500+900</f>
        <v>48280</v>
      </c>
      <c r="J426" s="26"/>
      <c r="K426" s="26">
        <f t="shared" si="56"/>
        <v>48280</v>
      </c>
      <c r="L426" s="80"/>
      <c r="M426" s="26"/>
      <c r="N426" s="26"/>
      <c r="O426" s="26">
        <f t="shared" si="57"/>
        <v>0</v>
      </c>
      <c r="P426" s="80"/>
      <c r="Q426" s="26">
        <f t="shared" si="52"/>
        <v>48280</v>
      </c>
      <c r="R426" s="26">
        <f t="shared" si="53"/>
        <v>0</v>
      </c>
      <c r="S426" s="26">
        <f t="shared" si="54"/>
        <v>48280</v>
      </c>
    </row>
    <row r="427" spans="1:19" x14ac:dyDescent="0.2">
      <c r="B427" s="79">
        <f t="shared" si="55"/>
        <v>12</v>
      </c>
      <c r="C427" s="15"/>
      <c r="D427" s="15"/>
      <c r="E427" s="15"/>
      <c r="F427" s="55" t="s">
        <v>156</v>
      </c>
      <c r="G427" s="15">
        <v>640</v>
      </c>
      <c r="H427" s="15" t="s">
        <v>135</v>
      </c>
      <c r="I427" s="52">
        <f>170+5500+1500</f>
        <v>7170</v>
      </c>
      <c r="J427" s="52"/>
      <c r="K427" s="52">
        <f t="shared" si="56"/>
        <v>7170</v>
      </c>
      <c r="L427" s="126"/>
      <c r="M427" s="52"/>
      <c r="N427" s="52"/>
      <c r="O427" s="52">
        <f t="shared" si="57"/>
        <v>0</v>
      </c>
      <c r="P427" s="126"/>
      <c r="Q427" s="52">
        <f t="shared" si="52"/>
        <v>7170</v>
      </c>
      <c r="R427" s="52">
        <f t="shared" si="53"/>
        <v>0</v>
      </c>
      <c r="S427" s="52">
        <f t="shared" si="54"/>
        <v>7170</v>
      </c>
    </row>
    <row r="428" spans="1:19" s="75" customFormat="1" x14ac:dyDescent="0.2">
      <c r="A428" s="71"/>
      <c r="B428" s="79">
        <f t="shared" si="55"/>
        <v>13</v>
      </c>
      <c r="C428" s="15"/>
      <c r="D428" s="15"/>
      <c r="E428" s="15"/>
      <c r="F428" s="55" t="s">
        <v>164</v>
      </c>
      <c r="G428" s="15">
        <v>630</v>
      </c>
      <c r="H428" s="15" t="s">
        <v>128</v>
      </c>
      <c r="I428" s="52">
        <f>I429</f>
        <v>500</v>
      </c>
      <c r="J428" s="52">
        <f>J429</f>
        <v>0</v>
      </c>
      <c r="K428" s="52">
        <f t="shared" si="56"/>
        <v>500</v>
      </c>
      <c r="L428" s="126"/>
      <c r="M428" s="52">
        <f>M429</f>
        <v>0</v>
      </c>
      <c r="N428" s="52">
        <f>N429</f>
        <v>0</v>
      </c>
      <c r="O428" s="52">
        <f t="shared" si="57"/>
        <v>0</v>
      </c>
      <c r="P428" s="126"/>
      <c r="Q428" s="52">
        <f t="shared" si="52"/>
        <v>500</v>
      </c>
      <c r="R428" s="52">
        <f t="shared" si="53"/>
        <v>0</v>
      </c>
      <c r="S428" s="52">
        <f t="shared" si="54"/>
        <v>500</v>
      </c>
    </row>
    <row r="429" spans="1:19" s="75" customFormat="1" x14ac:dyDescent="0.2">
      <c r="A429" s="71"/>
      <c r="B429" s="79">
        <f t="shared" si="55"/>
        <v>14</v>
      </c>
      <c r="C429" s="4"/>
      <c r="D429" s="4"/>
      <c r="E429" s="4"/>
      <c r="F429" s="56" t="s">
        <v>164</v>
      </c>
      <c r="G429" s="4">
        <v>637</v>
      </c>
      <c r="H429" s="4" t="s">
        <v>129</v>
      </c>
      <c r="I429" s="26">
        <v>500</v>
      </c>
      <c r="J429" s="26"/>
      <c r="K429" s="26">
        <f t="shared" si="56"/>
        <v>500</v>
      </c>
      <c r="L429" s="80"/>
      <c r="M429" s="26"/>
      <c r="N429" s="26"/>
      <c r="O429" s="26">
        <f t="shared" si="57"/>
        <v>0</v>
      </c>
      <c r="P429" s="80"/>
      <c r="Q429" s="26">
        <f t="shared" si="52"/>
        <v>500</v>
      </c>
      <c r="R429" s="26">
        <f t="shared" si="53"/>
        <v>0</v>
      </c>
      <c r="S429" s="26">
        <f t="shared" si="54"/>
        <v>500</v>
      </c>
    </row>
    <row r="430" spans="1:19" s="75" customFormat="1" x14ac:dyDescent="0.2">
      <c r="A430" s="71"/>
      <c r="B430" s="79">
        <f t="shared" si="55"/>
        <v>15</v>
      </c>
      <c r="C430" s="15"/>
      <c r="D430" s="15"/>
      <c r="E430" s="15"/>
      <c r="F430" s="55" t="s">
        <v>156</v>
      </c>
      <c r="G430" s="15">
        <v>710</v>
      </c>
      <c r="H430" s="15" t="s">
        <v>184</v>
      </c>
      <c r="I430" s="52">
        <f>I435+I433</f>
        <v>0</v>
      </c>
      <c r="J430" s="52">
        <f>J435+J433</f>
        <v>0</v>
      </c>
      <c r="K430" s="52">
        <f t="shared" si="56"/>
        <v>0</v>
      </c>
      <c r="L430" s="126"/>
      <c r="M430" s="52">
        <f>M435+M433</f>
        <v>30100</v>
      </c>
      <c r="N430" s="52">
        <f>N435+N433+N431</f>
        <v>13085</v>
      </c>
      <c r="O430" s="52">
        <f t="shared" si="57"/>
        <v>43185</v>
      </c>
      <c r="P430" s="126"/>
      <c r="Q430" s="52">
        <f t="shared" si="52"/>
        <v>30100</v>
      </c>
      <c r="R430" s="52">
        <f t="shared" si="53"/>
        <v>13085</v>
      </c>
      <c r="S430" s="52">
        <f t="shared" si="54"/>
        <v>43185</v>
      </c>
    </row>
    <row r="431" spans="1:19" s="75" customFormat="1" x14ac:dyDescent="0.2">
      <c r="A431" s="71"/>
      <c r="B431" s="79">
        <f t="shared" si="55"/>
        <v>16</v>
      </c>
      <c r="C431" s="15"/>
      <c r="D431" s="15"/>
      <c r="E431" s="15"/>
      <c r="F431" s="89" t="s">
        <v>156</v>
      </c>
      <c r="G431" s="90">
        <v>711</v>
      </c>
      <c r="H431" s="90" t="s">
        <v>223</v>
      </c>
      <c r="I431" s="91"/>
      <c r="J431" s="91"/>
      <c r="K431" s="91">
        <f t="shared" ref="K431:K432" si="58">I431+J431</f>
        <v>0</v>
      </c>
      <c r="L431" s="80"/>
      <c r="M431" s="91">
        <f>M432</f>
        <v>0</v>
      </c>
      <c r="N431" s="91">
        <f>N432</f>
        <v>13085</v>
      </c>
      <c r="O431" s="91">
        <f t="shared" ref="O431" si="59">M431+N431</f>
        <v>13085</v>
      </c>
      <c r="P431" s="80"/>
      <c r="Q431" s="91">
        <f t="shared" ref="Q431:Q432" si="60">M431+I431</f>
        <v>0</v>
      </c>
      <c r="R431" s="91">
        <f t="shared" ref="R431:R432" si="61">N431+J431</f>
        <v>13085</v>
      </c>
      <c r="S431" s="91">
        <f t="shared" ref="S431:S432" si="62">O431+K431</f>
        <v>13085</v>
      </c>
    </row>
    <row r="432" spans="1:19" s="75" customFormat="1" x14ac:dyDescent="0.2">
      <c r="A432" s="71"/>
      <c r="B432" s="79">
        <f t="shared" si="55"/>
        <v>17</v>
      </c>
      <c r="C432" s="15"/>
      <c r="D432" s="15"/>
      <c r="E432" s="15"/>
      <c r="F432" s="56"/>
      <c r="G432" s="4"/>
      <c r="H432" s="4" t="s">
        <v>783</v>
      </c>
      <c r="I432" s="26"/>
      <c r="J432" s="26"/>
      <c r="K432" s="26">
        <f t="shared" si="58"/>
        <v>0</v>
      </c>
      <c r="L432" s="80"/>
      <c r="M432" s="26">
        <v>0</v>
      </c>
      <c r="N432" s="26">
        <v>13085</v>
      </c>
      <c r="O432" s="26">
        <f>N432+M432</f>
        <v>13085</v>
      </c>
      <c r="P432" s="80"/>
      <c r="Q432" s="26">
        <f t="shared" si="60"/>
        <v>0</v>
      </c>
      <c r="R432" s="26">
        <f t="shared" si="61"/>
        <v>13085</v>
      </c>
      <c r="S432" s="26">
        <f t="shared" si="62"/>
        <v>13085</v>
      </c>
    </row>
    <row r="433" spans="1:19" s="75" customFormat="1" x14ac:dyDescent="0.2">
      <c r="A433" s="71"/>
      <c r="B433" s="79">
        <f t="shared" si="55"/>
        <v>18</v>
      </c>
      <c r="C433" s="4"/>
      <c r="D433" s="4"/>
      <c r="E433" s="4"/>
      <c r="F433" s="89" t="s">
        <v>156</v>
      </c>
      <c r="G433" s="90">
        <v>713</v>
      </c>
      <c r="H433" s="90" t="s">
        <v>4</v>
      </c>
      <c r="I433" s="91"/>
      <c r="J433" s="91"/>
      <c r="K433" s="91">
        <f t="shared" si="56"/>
        <v>0</v>
      </c>
      <c r="L433" s="80"/>
      <c r="M433" s="91">
        <f>M434</f>
        <v>4800</v>
      </c>
      <c r="N433" s="91">
        <f>N434</f>
        <v>0</v>
      </c>
      <c r="O433" s="91">
        <f t="shared" si="57"/>
        <v>4800</v>
      </c>
      <c r="P433" s="80"/>
      <c r="Q433" s="91">
        <f t="shared" si="52"/>
        <v>4800</v>
      </c>
      <c r="R433" s="91">
        <f t="shared" si="53"/>
        <v>0</v>
      </c>
      <c r="S433" s="91">
        <f t="shared" si="54"/>
        <v>4800</v>
      </c>
    </row>
    <row r="434" spans="1:19" s="75" customFormat="1" x14ac:dyDescent="0.2">
      <c r="A434" s="71"/>
      <c r="B434" s="79">
        <f t="shared" si="55"/>
        <v>19</v>
      </c>
      <c r="C434" s="4"/>
      <c r="D434" s="4"/>
      <c r="E434" s="4"/>
      <c r="F434" s="56"/>
      <c r="G434" s="4"/>
      <c r="H434" s="4" t="s">
        <v>372</v>
      </c>
      <c r="I434" s="26"/>
      <c r="J434" s="26"/>
      <c r="K434" s="26">
        <f t="shared" si="56"/>
        <v>0</v>
      </c>
      <c r="L434" s="80"/>
      <c r="M434" s="26">
        <f>1700+3100</f>
        <v>4800</v>
      </c>
      <c r="N434" s="26"/>
      <c r="O434" s="26">
        <f t="shared" si="57"/>
        <v>4800</v>
      </c>
      <c r="P434" s="80"/>
      <c r="Q434" s="26">
        <f t="shared" si="52"/>
        <v>4800</v>
      </c>
      <c r="R434" s="26">
        <f t="shared" si="53"/>
        <v>0</v>
      </c>
      <c r="S434" s="26">
        <f t="shared" si="54"/>
        <v>4800</v>
      </c>
    </row>
    <row r="435" spans="1:19" s="75" customFormat="1" x14ac:dyDescent="0.2">
      <c r="A435" s="71"/>
      <c r="B435" s="79">
        <f t="shared" si="55"/>
        <v>20</v>
      </c>
      <c r="C435" s="4"/>
      <c r="D435" s="4"/>
      <c r="E435" s="4"/>
      <c r="F435" s="89" t="s">
        <v>156</v>
      </c>
      <c r="G435" s="90">
        <v>714</v>
      </c>
      <c r="H435" s="90" t="s">
        <v>185</v>
      </c>
      <c r="I435" s="91"/>
      <c r="J435" s="91"/>
      <c r="K435" s="91">
        <f t="shared" si="56"/>
        <v>0</v>
      </c>
      <c r="L435" s="80"/>
      <c r="M435" s="91">
        <f>12500+12800</f>
        <v>25300</v>
      </c>
      <c r="N435" s="91"/>
      <c r="O435" s="91">
        <f t="shared" si="57"/>
        <v>25300</v>
      </c>
      <c r="P435" s="80"/>
      <c r="Q435" s="91">
        <f t="shared" si="52"/>
        <v>25300</v>
      </c>
      <c r="R435" s="91">
        <f t="shared" si="53"/>
        <v>0</v>
      </c>
      <c r="S435" s="91">
        <f t="shared" si="54"/>
        <v>25300</v>
      </c>
    </row>
    <row r="436" spans="1:19" ht="15" x14ac:dyDescent="0.2">
      <c r="B436" s="79">
        <f t="shared" si="55"/>
        <v>21</v>
      </c>
      <c r="C436" s="191">
        <v>2</v>
      </c>
      <c r="D436" s="245" t="s">
        <v>219</v>
      </c>
      <c r="E436" s="246"/>
      <c r="F436" s="246"/>
      <c r="G436" s="246"/>
      <c r="H436" s="247"/>
      <c r="I436" s="48">
        <f>I437+I439+I449</f>
        <v>497200</v>
      </c>
      <c r="J436" s="48">
        <f>J437+J439+J449</f>
        <v>0</v>
      </c>
      <c r="K436" s="48">
        <f t="shared" si="56"/>
        <v>497200</v>
      </c>
      <c r="L436" s="201"/>
      <c r="M436" s="48">
        <f>M437+M439+M449</f>
        <v>99650</v>
      </c>
      <c r="N436" s="48">
        <f>N437+N439+N449</f>
        <v>0</v>
      </c>
      <c r="O436" s="48">
        <f t="shared" si="57"/>
        <v>99650</v>
      </c>
      <c r="P436" s="201"/>
      <c r="Q436" s="48">
        <f t="shared" si="52"/>
        <v>596850</v>
      </c>
      <c r="R436" s="48">
        <f t="shared" si="53"/>
        <v>0</v>
      </c>
      <c r="S436" s="48">
        <f t="shared" si="54"/>
        <v>596850</v>
      </c>
    </row>
    <row r="437" spans="1:19" x14ac:dyDescent="0.2">
      <c r="B437" s="79">
        <f t="shared" si="55"/>
        <v>22</v>
      </c>
      <c r="C437" s="15"/>
      <c r="D437" s="15"/>
      <c r="E437" s="15"/>
      <c r="F437" s="55" t="s">
        <v>218</v>
      </c>
      <c r="G437" s="15">
        <v>630</v>
      </c>
      <c r="H437" s="15" t="s">
        <v>128</v>
      </c>
      <c r="I437" s="52">
        <f>I438</f>
        <v>400000</v>
      </c>
      <c r="J437" s="52">
        <f>J438</f>
        <v>0</v>
      </c>
      <c r="K437" s="52">
        <f t="shared" si="56"/>
        <v>400000</v>
      </c>
      <c r="L437" s="126"/>
      <c r="M437" s="52">
        <v>0</v>
      </c>
      <c r="N437" s="52"/>
      <c r="O437" s="52">
        <f t="shared" si="57"/>
        <v>0</v>
      </c>
      <c r="P437" s="126"/>
      <c r="Q437" s="52">
        <f t="shared" si="52"/>
        <v>400000</v>
      </c>
      <c r="R437" s="52">
        <f t="shared" si="53"/>
        <v>0</v>
      </c>
      <c r="S437" s="52">
        <f t="shared" si="54"/>
        <v>400000</v>
      </c>
    </row>
    <row r="438" spans="1:19" x14ac:dyDescent="0.2">
      <c r="B438" s="79">
        <f t="shared" si="55"/>
        <v>23</v>
      </c>
      <c r="C438" s="4"/>
      <c r="D438" s="4"/>
      <c r="E438" s="4"/>
      <c r="F438" s="56" t="s">
        <v>218</v>
      </c>
      <c r="G438" s="4">
        <v>632</v>
      </c>
      <c r="H438" s="4" t="s">
        <v>139</v>
      </c>
      <c r="I438" s="26">
        <v>400000</v>
      </c>
      <c r="J438" s="26"/>
      <c r="K438" s="26">
        <f t="shared" si="56"/>
        <v>400000</v>
      </c>
      <c r="L438" s="80"/>
      <c r="M438" s="26"/>
      <c r="N438" s="26"/>
      <c r="O438" s="26">
        <f t="shared" si="57"/>
        <v>0</v>
      </c>
      <c r="P438" s="80"/>
      <c r="Q438" s="26">
        <f t="shared" si="52"/>
        <v>400000</v>
      </c>
      <c r="R438" s="26">
        <f t="shared" si="53"/>
        <v>0</v>
      </c>
      <c r="S438" s="26">
        <f t="shared" si="54"/>
        <v>400000</v>
      </c>
    </row>
    <row r="439" spans="1:19" x14ac:dyDescent="0.2">
      <c r="B439" s="79">
        <f t="shared" si="55"/>
        <v>24</v>
      </c>
      <c r="C439" s="15"/>
      <c r="D439" s="15"/>
      <c r="E439" s="15"/>
      <c r="F439" s="55" t="s">
        <v>218</v>
      </c>
      <c r="G439" s="15">
        <v>710</v>
      </c>
      <c r="H439" s="15" t="s">
        <v>184</v>
      </c>
      <c r="I439" s="52">
        <f>I442</f>
        <v>0</v>
      </c>
      <c r="J439" s="52">
        <f>J442</f>
        <v>0</v>
      </c>
      <c r="K439" s="52">
        <f t="shared" si="56"/>
        <v>0</v>
      </c>
      <c r="L439" s="126"/>
      <c r="M439" s="52">
        <f>M442+M440</f>
        <v>93650</v>
      </c>
      <c r="N439" s="52">
        <f>N442+N440</f>
        <v>0</v>
      </c>
      <c r="O439" s="52">
        <f t="shared" si="57"/>
        <v>93650</v>
      </c>
      <c r="P439" s="126"/>
      <c r="Q439" s="52">
        <f t="shared" si="52"/>
        <v>93650</v>
      </c>
      <c r="R439" s="52">
        <f t="shared" si="53"/>
        <v>0</v>
      </c>
      <c r="S439" s="52">
        <f t="shared" si="54"/>
        <v>93650</v>
      </c>
    </row>
    <row r="440" spans="1:19" x14ac:dyDescent="0.2">
      <c r="B440" s="79">
        <f t="shared" si="55"/>
        <v>25</v>
      </c>
      <c r="C440" s="15"/>
      <c r="D440" s="15"/>
      <c r="E440" s="15"/>
      <c r="F440" s="89" t="s">
        <v>218</v>
      </c>
      <c r="G440" s="90">
        <v>716</v>
      </c>
      <c r="H440" s="90" t="s">
        <v>0</v>
      </c>
      <c r="I440" s="91"/>
      <c r="J440" s="91"/>
      <c r="K440" s="91">
        <f t="shared" si="56"/>
        <v>0</v>
      </c>
      <c r="L440" s="80"/>
      <c r="M440" s="91">
        <f>M441</f>
        <v>2000</v>
      </c>
      <c r="N440" s="91">
        <f>N441</f>
        <v>0</v>
      </c>
      <c r="O440" s="91">
        <f t="shared" si="57"/>
        <v>2000</v>
      </c>
      <c r="P440" s="80"/>
      <c r="Q440" s="91">
        <f t="shared" ref="Q440:Q441" si="63">I440+M440</f>
        <v>2000</v>
      </c>
      <c r="R440" s="91">
        <f t="shared" ref="R440:R441" si="64">J440+N440</f>
        <v>0</v>
      </c>
      <c r="S440" s="91">
        <f t="shared" ref="S440:S441" si="65">K440+O440</f>
        <v>2000</v>
      </c>
    </row>
    <row r="441" spans="1:19" x14ac:dyDescent="0.2">
      <c r="B441" s="79">
        <f t="shared" si="55"/>
        <v>26</v>
      </c>
      <c r="C441" s="15"/>
      <c r="D441" s="15"/>
      <c r="E441" s="15"/>
      <c r="F441" s="56"/>
      <c r="G441" s="4"/>
      <c r="H441" s="4" t="s">
        <v>659</v>
      </c>
      <c r="I441" s="26"/>
      <c r="J441" s="26"/>
      <c r="K441" s="26">
        <f t="shared" si="56"/>
        <v>0</v>
      </c>
      <c r="L441" s="80"/>
      <c r="M441" s="26">
        <v>2000</v>
      </c>
      <c r="N441" s="26"/>
      <c r="O441" s="26">
        <f t="shared" si="57"/>
        <v>2000</v>
      </c>
      <c r="P441" s="80"/>
      <c r="Q441" s="26">
        <f t="shared" si="63"/>
        <v>2000</v>
      </c>
      <c r="R441" s="26">
        <f t="shared" si="64"/>
        <v>0</v>
      </c>
      <c r="S441" s="26">
        <f t="shared" si="65"/>
        <v>2000</v>
      </c>
    </row>
    <row r="442" spans="1:19" x14ac:dyDescent="0.2">
      <c r="B442" s="79">
        <f t="shared" si="55"/>
        <v>27</v>
      </c>
      <c r="C442" s="4"/>
      <c r="D442" s="4"/>
      <c r="E442" s="4"/>
      <c r="F442" s="89" t="s">
        <v>218</v>
      </c>
      <c r="G442" s="90">
        <v>717</v>
      </c>
      <c r="H442" s="90" t="s">
        <v>194</v>
      </c>
      <c r="I442" s="91"/>
      <c r="J442" s="91"/>
      <c r="K442" s="91">
        <f t="shared" si="56"/>
        <v>0</v>
      </c>
      <c r="L442" s="80"/>
      <c r="M442" s="91">
        <f>SUM(M443:M448)</f>
        <v>91650</v>
      </c>
      <c r="N442" s="91">
        <f>SUM(N443:N448)</f>
        <v>0</v>
      </c>
      <c r="O442" s="91">
        <f t="shared" si="57"/>
        <v>91650</v>
      </c>
      <c r="P442" s="80"/>
      <c r="Q442" s="91">
        <f t="shared" si="52"/>
        <v>91650</v>
      </c>
      <c r="R442" s="91">
        <f t="shared" ref="R442:R484" si="66">N442+J442</f>
        <v>0</v>
      </c>
      <c r="S442" s="91">
        <f t="shared" ref="S442:S484" si="67">O442+K442</f>
        <v>91650</v>
      </c>
    </row>
    <row r="443" spans="1:19" x14ac:dyDescent="0.2">
      <c r="B443" s="79">
        <f t="shared" si="55"/>
        <v>28</v>
      </c>
      <c r="C443" s="4"/>
      <c r="D443" s="4"/>
      <c r="E443" s="4"/>
      <c r="F443" s="56"/>
      <c r="G443" s="4"/>
      <c r="H443" s="4" t="s">
        <v>484</v>
      </c>
      <c r="I443" s="26"/>
      <c r="J443" s="26"/>
      <c r="K443" s="26">
        <f t="shared" si="56"/>
        <v>0</v>
      </c>
      <c r="L443" s="80"/>
      <c r="M443" s="26">
        <f>19500-17300</f>
        <v>2200</v>
      </c>
      <c r="N443" s="26"/>
      <c r="O443" s="26">
        <f t="shared" si="57"/>
        <v>2200</v>
      </c>
      <c r="P443" s="80"/>
      <c r="Q443" s="26">
        <f t="shared" si="52"/>
        <v>2200</v>
      </c>
      <c r="R443" s="26">
        <f t="shared" si="66"/>
        <v>0</v>
      </c>
      <c r="S443" s="26">
        <f t="shared" si="67"/>
        <v>2200</v>
      </c>
    </row>
    <row r="444" spans="1:19" x14ac:dyDescent="0.2">
      <c r="B444" s="79">
        <f t="shared" si="55"/>
        <v>29</v>
      </c>
      <c r="C444" s="4"/>
      <c r="D444" s="4"/>
      <c r="E444" s="4"/>
      <c r="F444" s="56"/>
      <c r="G444" s="4"/>
      <c r="H444" s="4" t="s">
        <v>485</v>
      </c>
      <c r="I444" s="26"/>
      <c r="J444" s="26"/>
      <c r="K444" s="26">
        <f t="shared" si="56"/>
        <v>0</v>
      </c>
      <c r="L444" s="80"/>
      <c r="M444" s="26">
        <f>20000-16750</f>
        <v>3250</v>
      </c>
      <c r="N444" s="26"/>
      <c r="O444" s="26">
        <f t="shared" si="57"/>
        <v>3250</v>
      </c>
      <c r="P444" s="80"/>
      <c r="Q444" s="26">
        <f t="shared" si="52"/>
        <v>3250</v>
      </c>
      <c r="R444" s="26">
        <f t="shared" si="66"/>
        <v>0</v>
      </c>
      <c r="S444" s="26">
        <f t="shared" si="67"/>
        <v>3250</v>
      </c>
    </row>
    <row r="445" spans="1:19" x14ac:dyDescent="0.2">
      <c r="B445" s="79">
        <f t="shared" si="55"/>
        <v>30</v>
      </c>
      <c r="C445" s="4"/>
      <c r="D445" s="4"/>
      <c r="E445" s="4"/>
      <c r="F445" s="56"/>
      <c r="G445" s="4"/>
      <c r="H445" s="4" t="s">
        <v>599</v>
      </c>
      <c r="I445" s="26"/>
      <c r="J445" s="26"/>
      <c r="K445" s="26">
        <f t="shared" si="56"/>
        <v>0</v>
      </c>
      <c r="L445" s="80"/>
      <c r="M445" s="26">
        <f>70000-2000</f>
        <v>68000</v>
      </c>
      <c r="N445" s="26"/>
      <c r="O445" s="26">
        <f t="shared" si="57"/>
        <v>68000</v>
      </c>
      <c r="P445" s="80"/>
      <c r="Q445" s="26">
        <f t="shared" si="52"/>
        <v>68000</v>
      </c>
      <c r="R445" s="26">
        <f t="shared" si="66"/>
        <v>0</v>
      </c>
      <c r="S445" s="26">
        <f t="shared" si="67"/>
        <v>68000</v>
      </c>
    </row>
    <row r="446" spans="1:19" x14ac:dyDescent="0.2">
      <c r="B446" s="79">
        <f t="shared" si="55"/>
        <v>31</v>
      </c>
      <c r="C446" s="4"/>
      <c r="D446" s="4"/>
      <c r="E446" s="4"/>
      <c r="F446" s="56"/>
      <c r="G446" s="4"/>
      <c r="H446" s="129" t="s">
        <v>533</v>
      </c>
      <c r="I446" s="128"/>
      <c r="J446" s="128"/>
      <c r="K446" s="128">
        <f t="shared" si="56"/>
        <v>0</v>
      </c>
      <c r="L446" s="80"/>
      <c r="M446" s="128">
        <f>7500+2500-500-1500</f>
        <v>8000</v>
      </c>
      <c r="N446" s="128"/>
      <c r="O446" s="128">
        <f t="shared" si="57"/>
        <v>8000</v>
      </c>
      <c r="P446" s="80"/>
      <c r="Q446" s="128">
        <f t="shared" si="52"/>
        <v>8000</v>
      </c>
      <c r="R446" s="128">
        <f t="shared" si="66"/>
        <v>0</v>
      </c>
      <c r="S446" s="128">
        <f t="shared" si="67"/>
        <v>8000</v>
      </c>
    </row>
    <row r="447" spans="1:19" ht="24" x14ac:dyDescent="0.2">
      <c r="B447" s="78">
        <f t="shared" si="55"/>
        <v>32</v>
      </c>
      <c r="C447" s="82"/>
      <c r="D447" s="82"/>
      <c r="E447" s="82"/>
      <c r="F447" s="83"/>
      <c r="G447" s="82"/>
      <c r="H447" s="135" t="s">
        <v>534</v>
      </c>
      <c r="I447" s="131"/>
      <c r="J447" s="131"/>
      <c r="K447" s="131">
        <f t="shared" si="56"/>
        <v>0</v>
      </c>
      <c r="L447" s="166"/>
      <c r="M447" s="131">
        <f>5000-1800</f>
        <v>3200</v>
      </c>
      <c r="N447" s="131"/>
      <c r="O447" s="131">
        <f t="shared" si="57"/>
        <v>3200</v>
      </c>
      <c r="P447" s="166"/>
      <c r="Q447" s="131">
        <f t="shared" si="52"/>
        <v>3200</v>
      </c>
      <c r="R447" s="131">
        <f t="shared" si="66"/>
        <v>0</v>
      </c>
      <c r="S447" s="131">
        <f t="shared" si="67"/>
        <v>3200</v>
      </c>
    </row>
    <row r="448" spans="1:19" x14ac:dyDescent="0.2">
      <c r="B448" s="79">
        <f t="shared" si="55"/>
        <v>33</v>
      </c>
      <c r="C448" s="4"/>
      <c r="D448" s="4"/>
      <c r="E448" s="4"/>
      <c r="F448" s="56"/>
      <c r="G448" s="4"/>
      <c r="H448" s="129" t="s">
        <v>535</v>
      </c>
      <c r="I448" s="128"/>
      <c r="J448" s="128"/>
      <c r="K448" s="128">
        <f t="shared" si="56"/>
        <v>0</v>
      </c>
      <c r="L448" s="80"/>
      <c r="M448" s="128">
        <f>5000+1500+500</f>
        <v>7000</v>
      </c>
      <c r="N448" s="128"/>
      <c r="O448" s="128">
        <f t="shared" si="57"/>
        <v>7000</v>
      </c>
      <c r="P448" s="80"/>
      <c r="Q448" s="128">
        <f t="shared" si="52"/>
        <v>7000</v>
      </c>
      <c r="R448" s="128">
        <f t="shared" si="66"/>
        <v>0</v>
      </c>
      <c r="S448" s="128">
        <f t="shared" si="67"/>
        <v>7000</v>
      </c>
    </row>
    <row r="449" spans="2:19" ht="15" x14ac:dyDescent="0.25">
      <c r="B449" s="79">
        <f t="shared" si="55"/>
        <v>34</v>
      </c>
      <c r="C449" s="18"/>
      <c r="D449" s="18"/>
      <c r="E449" s="18">
        <v>2</v>
      </c>
      <c r="F449" s="53"/>
      <c r="G449" s="18"/>
      <c r="H449" s="18" t="s">
        <v>257</v>
      </c>
      <c r="I449" s="50">
        <f>I450+I451+I452+I458+I457</f>
        <v>97200</v>
      </c>
      <c r="J449" s="50">
        <f>J450+J451+J452+J458+J457</f>
        <v>0</v>
      </c>
      <c r="K449" s="50">
        <f t="shared" si="56"/>
        <v>97200</v>
      </c>
      <c r="L449" s="203"/>
      <c r="M449" s="50">
        <f>M450+M451+M452+M458</f>
        <v>6000</v>
      </c>
      <c r="N449" s="50">
        <f>N450+N451+N452+N458</f>
        <v>0</v>
      </c>
      <c r="O449" s="50">
        <f t="shared" si="57"/>
        <v>6000</v>
      </c>
      <c r="P449" s="203"/>
      <c r="Q449" s="50">
        <f t="shared" si="52"/>
        <v>103200</v>
      </c>
      <c r="R449" s="50">
        <f t="shared" si="66"/>
        <v>0</v>
      </c>
      <c r="S449" s="50">
        <f t="shared" si="67"/>
        <v>103200</v>
      </c>
    </row>
    <row r="450" spans="2:19" x14ac:dyDescent="0.2">
      <c r="B450" s="79">
        <f t="shared" si="55"/>
        <v>35</v>
      </c>
      <c r="C450" s="15"/>
      <c r="D450" s="15"/>
      <c r="E450" s="15"/>
      <c r="F450" s="55" t="s">
        <v>218</v>
      </c>
      <c r="G450" s="15">
        <v>610</v>
      </c>
      <c r="H450" s="15" t="s">
        <v>136</v>
      </c>
      <c r="I450" s="52">
        <v>29300</v>
      </c>
      <c r="J450" s="52"/>
      <c r="K450" s="52">
        <f t="shared" si="56"/>
        <v>29300</v>
      </c>
      <c r="L450" s="126"/>
      <c r="M450" s="52"/>
      <c r="N450" s="52"/>
      <c r="O450" s="52">
        <f t="shared" si="57"/>
        <v>0</v>
      </c>
      <c r="P450" s="126"/>
      <c r="Q450" s="52">
        <f t="shared" si="52"/>
        <v>29300</v>
      </c>
      <c r="R450" s="52">
        <f t="shared" si="66"/>
        <v>0</v>
      </c>
      <c r="S450" s="52">
        <f t="shared" si="67"/>
        <v>29300</v>
      </c>
    </row>
    <row r="451" spans="2:19" x14ac:dyDescent="0.2">
      <c r="B451" s="79">
        <f t="shared" si="55"/>
        <v>36</v>
      </c>
      <c r="C451" s="15"/>
      <c r="D451" s="15"/>
      <c r="E451" s="15"/>
      <c r="F451" s="55" t="s">
        <v>218</v>
      </c>
      <c r="G451" s="15">
        <v>620</v>
      </c>
      <c r="H451" s="15" t="s">
        <v>131</v>
      </c>
      <c r="I451" s="52">
        <v>15300</v>
      </c>
      <c r="J451" s="52"/>
      <c r="K451" s="52">
        <f t="shared" si="56"/>
        <v>15300</v>
      </c>
      <c r="L451" s="126"/>
      <c r="M451" s="52"/>
      <c r="N451" s="52"/>
      <c r="O451" s="52">
        <f t="shared" si="57"/>
        <v>0</v>
      </c>
      <c r="P451" s="126"/>
      <c r="Q451" s="52">
        <f t="shared" si="52"/>
        <v>15300</v>
      </c>
      <c r="R451" s="52">
        <f t="shared" si="66"/>
        <v>0</v>
      </c>
      <c r="S451" s="52">
        <f t="shared" si="67"/>
        <v>15300</v>
      </c>
    </row>
    <row r="452" spans="2:19" x14ac:dyDescent="0.2">
      <c r="B452" s="79">
        <f t="shared" si="55"/>
        <v>37</v>
      </c>
      <c r="C452" s="15"/>
      <c r="D452" s="15"/>
      <c r="E452" s="15"/>
      <c r="F452" s="55" t="s">
        <v>218</v>
      </c>
      <c r="G452" s="15">
        <v>630</v>
      </c>
      <c r="H452" s="15" t="s">
        <v>128</v>
      </c>
      <c r="I452" s="52">
        <f>I456+I455+I454+I453</f>
        <v>52500</v>
      </c>
      <c r="J452" s="52">
        <f>J456+J455+J454+J453</f>
        <v>0</v>
      </c>
      <c r="K452" s="52">
        <f t="shared" si="56"/>
        <v>52500</v>
      </c>
      <c r="L452" s="126"/>
      <c r="M452" s="52">
        <f>M456+M455+M454+M453</f>
        <v>0</v>
      </c>
      <c r="N452" s="52">
        <f>N456+N455+N454+N453</f>
        <v>0</v>
      </c>
      <c r="O452" s="52">
        <f t="shared" si="57"/>
        <v>0</v>
      </c>
      <c r="P452" s="126"/>
      <c r="Q452" s="52">
        <f t="shared" si="52"/>
        <v>52500</v>
      </c>
      <c r="R452" s="52">
        <f t="shared" si="66"/>
        <v>0</v>
      </c>
      <c r="S452" s="52">
        <f t="shared" si="67"/>
        <v>52500</v>
      </c>
    </row>
    <row r="453" spans="2:19" x14ac:dyDescent="0.2">
      <c r="B453" s="79">
        <f t="shared" si="55"/>
        <v>38</v>
      </c>
      <c r="C453" s="4"/>
      <c r="D453" s="4"/>
      <c r="E453" s="4"/>
      <c r="F453" s="56" t="s">
        <v>218</v>
      </c>
      <c r="G453" s="4">
        <v>633</v>
      </c>
      <c r="H453" s="4" t="s">
        <v>132</v>
      </c>
      <c r="I453" s="26">
        <f>14400+4000</f>
        <v>18400</v>
      </c>
      <c r="J453" s="26"/>
      <c r="K453" s="26">
        <f t="shared" si="56"/>
        <v>18400</v>
      </c>
      <c r="L453" s="80"/>
      <c r="M453" s="26"/>
      <c r="N453" s="26"/>
      <c r="O453" s="26">
        <f t="shared" si="57"/>
        <v>0</v>
      </c>
      <c r="P453" s="80"/>
      <c r="Q453" s="26">
        <f t="shared" si="52"/>
        <v>18400</v>
      </c>
      <c r="R453" s="26">
        <f t="shared" si="66"/>
        <v>0</v>
      </c>
      <c r="S453" s="26">
        <f t="shared" si="67"/>
        <v>18400</v>
      </c>
    </row>
    <row r="454" spans="2:19" x14ac:dyDescent="0.2">
      <c r="B454" s="79">
        <f t="shared" si="55"/>
        <v>39</v>
      </c>
      <c r="C454" s="4"/>
      <c r="D454" s="4"/>
      <c r="E454" s="4"/>
      <c r="F454" s="56" t="s">
        <v>218</v>
      </c>
      <c r="G454" s="4">
        <v>634</v>
      </c>
      <c r="H454" s="4" t="s">
        <v>137</v>
      </c>
      <c r="I454" s="26">
        <v>6100</v>
      </c>
      <c r="J454" s="26"/>
      <c r="K454" s="26">
        <f t="shared" si="56"/>
        <v>6100</v>
      </c>
      <c r="L454" s="80"/>
      <c r="M454" s="26"/>
      <c r="N454" s="26"/>
      <c r="O454" s="26">
        <f t="shared" si="57"/>
        <v>0</v>
      </c>
      <c r="P454" s="80"/>
      <c r="Q454" s="26">
        <f t="shared" si="52"/>
        <v>6100</v>
      </c>
      <c r="R454" s="26">
        <f t="shared" si="66"/>
        <v>0</v>
      </c>
      <c r="S454" s="26">
        <f t="shared" si="67"/>
        <v>6100</v>
      </c>
    </row>
    <row r="455" spans="2:19" x14ac:dyDescent="0.2">
      <c r="B455" s="79">
        <f t="shared" si="55"/>
        <v>40</v>
      </c>
      <c r="C455" s="4"/>
      <c r="D455" s="4"/>
      <c r="E455" s="4"/>
      <c r="F455" s="56" t="s">
        <v>218</v>
      </c>
      <c r="G455" s="4">
        <v>635</v>
      </c>
      <c r="H455" s="4" t="s">
        <v>138</v>
      </c>
      <c r="I455" s="26">
        <v>9000</v>
      </c>
      <c r="J455" s="26"/>
      <c r="K455" s="26">
        <f t="shared" si="56"/>
        <v>9000</v>
      </c>
      <c r="L455" s="80"/>
      <c r="M455" s="26"/>
      <c r="N455" s="26"/>
      <c r="O455" s="26">
        <f t="shared" si="57"/>
        <v>0</v>
      </c>
      <c r="P455" s="80"/>
      <c r="Q455" s="26">
        <f t="shared" si="52"/>
        <v>9000</v>
      </c>
      <c r="R455" s="26">
        <f t="shared" si="66"/>
        <v>0</v>
      </c>
      <c r="S455" s="26">
        <f t="shared" si="67"/>
        <v>9000</v>
      </c>
    </row>
    <row r="456" spans="2:19" x14ac:dyDescent="0.2">
      <c r="B456" s="79">
        <f t="shared" si="55"/>
        <v>41</v>
      </c>
      <c r="C456" s="4"/>
      <c r="D456" s="4"/>
      <c r="E456" s="4"/>
      <c r="F456" s="56" t="s">
        <v>218</v>
      </c>
      <c r="G456" s="4">
        <v>637</v>
      </c>
      <c r="H456" s="4" t="s">
        <v>129</v>
      </c>
      <c r="I456" s="26">
        <f>25600-2500-100-4000</f>
        <v>19000</v>
      </c>
      <c r="J456" s="26"/>
      <c r="K456" s="26">
        <f t="shared" si="56"/>
        <v>19000</v>
      </c>
      <c r="L456" s="80"/>
      <c r="M456" s="26"/>
      <c r="N456" s="26"/>
      <c r="O456" s="26">
        <f t="shared" si="57"/>
        <v>0</v>
      </c>
      <c r="P456" s="80"/>
      <c r="Q456" s="26">
        <f t="shared" si="52"/>
        <v>19000</v>
      </c>
      <c r="R456" s="26">
        <f t="shared" si="66"/>
        <v>0</v>
      </c>
      <c r="S456" s="26">
        <f t="shared" si="67"/>
        <v>19000</v>
      </c>
    </row>
    <row r="457" spans="2:19" x14ac:dyDescent="0.2">
      <c r="B457" s="79">
        <f t="shared" si="55"/>
        <v>42</v>
      </c>
      <c r="C457" s="4"/>
      <c r="D457" s="4"/>
      <c r="E457" s="4"/>
      <c r="F457" s="106" t="s">
        <v>218</v>
      </c>
      <c r="G457" s="3">
        <v>640</v>
      </c>
      <c r="H457" s="3" t="s">
        <v>135</v>
      </c>
      <c r="I457" s="25">
        <v>100</v>
      </c>
      <c r="J457" s="25"/>
      <c r="K457" s="25">
        <f t="shared" si="56"/>
        <v>100</v>
      </c>
      <c r="L457" s="126"/>
      <c r="M457" s="25"/>
      <c r="N457" s="25"/>
      <c r="O457" s="25">
        <f t="shared" si="57"/>
        <v>0</v>
      </c>
      <c r="P457" s="126"/>
      <c r="Q457" s="25">
        <f t="shared" si="52"/>
        <v>100</v>
      </c>
      <c r="R457" s="25">
        <f t="shared" si="66"/>
        <v>0</v>
      </c>
      <c r="S457" s="25">
        <f t="shared" si="67"/>
        <v>100</v>
      </c>
    </row>
    <row r="458" spans="2:19" x14ac:dyDescent="0.2">
      <c r="B458" s="79">
        <f t="shared" si="55"/>
        <v>43</v>
      </c>
      <c r="C458" s="15"/>
      <c r="D458" s="15"/>
      <c r="E458" s="15"/>
      <c r="F458" s="55" t="s">
        <v>218</v>
      </c>
      <c r="G458" s="15">
        <v>710</v>
      </c>
      <c r="H458" s="15" t="s">
        <v>184</v>
      </c>
      <c r="I458" s="52">
        <f>I459</f>
        <v>0</v>
      </c>
      <c r="J458" s="52">
        <f>J459</f>
        <v>0</v>
      </c>
      <c r="K458" s="52">
        <f t="shared" si="56"/>
        <v>0</v>
      </c>
      <c r="L458" s="126"/>
      <c r="M458" s="52">
        <f>M459</f>
        <v>6000</v>
      </c>
      <c r="N458" s="52">
        <f>N459</f>
        <v>0</v>
      </c>
      <c r="O458" s="52">
        <f t="shared" si="57"/>
        <v>6000</v>
      </c>
      <c r="P458" s="126"/>
      <c r="Q458" s="52">
        <f t="shared" si="52"/>
        <v>6000</v>
      </c>
      <c r="R458" s="52">
        <f t="shared" si="66"/>
        <v>0</v>
      </c>
      <c r="S458" s="52">
        <f t="shared" si="67"/>
        <v>6000</v>
      </c>
    </row>
    <row r="459" spans="2:19" x14ac:dyDescent="0.2">
      <c r="B459" s="79">
        <f t="shared" si="55"/>
        <v>44</v>
      </c>
      <c r="C459" s="4"/>
      <c r="D459" s="4"/>
      <c r="E459" s="4"/>
      <c r="F459" s="89" t="s">
        <v>218</v>
      </c>
      <c r="G459" s="90">
        <v>713</v>
      </c>
      <c r="H459" s="90" t="s">
        <v>4</v>
      </c>
      <c r="I459" s="91"/>
      <c r="J459" s="91"/>
      <c r="K459" s="91">
        <f t="shared" si="56"/>
        <v>0</v>
      </c>
      <c r="L459" s="80"/>
      <c r="M459" s="91">
        <f>M460</f>
        <v>6000</v>
      </c>
      <c r="N459" s="91">
        <f>N460</f>
        <v>0</v>
      </c>
      <c r="O459" s="91">
        <f t="shared" si="57"/>
        <v>6000</v>
      </c>
      <c r="P459" s="80"/>
      <c r="Q459" s="91">
        <f t="shared" si="52"/>
        <v>6000</v>
      </c>
      <c r="R459" s="91">
        <f t="shared" si="66"/>
        <v>0</v>
      </c>
      <c r="S459" s="91">
        <f t="shared" si="67"/>
        <v>6000</v>
      </c>
    </row>
    <row r="460" spans="2:19" x14ac:dyDescent="0.2">
      <c r="B460" s="79">
        <f t="shared" si="55"/>
        <v>45</v>
      </c>
      <c r="C460" s="4"/>
      <c r="D460" s="58"/>
      <c r="E460" s="4"/>
      <c r="F460" s="56"/>
      <c r="G460" s="4"/>
      <c r="H460" s="38" t="s">
        <v>385</v>
      </c>
      <c r="I460" s="26"/>
      <c r="J460" s="26"/>
      <c r="K460" s="26">
        <f t="shared" si="56"/>
        <v>0</v>
      </c>
      <c r="L460" s="80"/>
      <c r="M460" s="26">
        <v>6000</v>
      </c>
      <c r="N460" s="26"/>
      <c r="O460" s="26">
        <f t="shared" si="57"/>
        <v>6000</v>
      </c>
      <c r="P460" s="80"/>
      <c r="Q460" s="26">
        <f t="shared" si="52"/>
        <v>6000</v>
      </c>
      <c r="R460" s="26">
        <f t="shared" si="66"/>
        <v>0</v>
      </c>
      <c r="S460" s="26">
        <f t="shared" si="67"/>
        <v>6000</v>
      </c>
    </row>
    <row r="461" spans="2:19" ht="15" x14ac:dyDescent="0.2">
      <c r="B461" s="79">
        <f t="shared" si="55"/>
        <v>46</v>
      </c>
      <c r="C461" s="191">
        <v>3</v>
      </c>
      <c r="D461" s="245" t="s">
        <v>14</v>
      </c>
      <c r="E461" s="246"/>
      <c r="F461" s="246"/>
      <c r="G461" s="246"/>
      <c r="H461" s="247"/>
      <c r="I461" s="48">
        <f>I462+I464</f>
        <v>8000</v>
      </c>
      <c r="J461" s="48">
        <f>J462+J464</f>
        <v>0</v>
      </c>
      <c r="K461" s="48">
        <f t="shared" si="56"/>
        <v>8000</v>
      </c>
      <c r="L461" s="201"/>
      <c r="M461" s="48">
        <f>M462+M464+M467</f>
        <v>2377</v>
      </c>
      <c r="N461" s="48">
        <f>N462+N464+N467</f>
        <v>0</v>
      </c>
      <c r="O461" s="48">
        <f t="shared" si="57"/>
        <v>2377</v>
      </c>
      <c r="P461" s="201"/>
      <c r="Q461" s="48">
        <f t="shared" si="52"/>
        <v>10377</v>
      </c>
      <c r="R461" s="48">
        <f t="shared" si="66"/>
        <v>0</v>
      </c>
      <c r="S461" s="48">
        <f t="shared" si="67"/>
        <v>10377</v>
      </c>
    </row>
    <row r="462" spans="2:19" x14ac:dyDescent="0.2">
      <c r="B462" s="79">
        <f t="shared" si="55"/>
        <v>47</v>
      </c>
      <c r="C462" s="15"/>
      <c r="D462" s="15"/>
      <c r="E462" s="15"/>
      <c r="F462" s="55" t="s">
        <v>205</v>
      </c>
      <c r="G462" s="15">
        <v>630</v>
      </c>
      <c r="H462" s="15" t="s">
        <v>128</v>
      </c>
      <c r="I462" s="52">
        <f>I463</f>
        <v>8000</v>
      </c>
      <c r="J462" s="52">
        <f>J463</f>
        <v>0</v>
      </c>
      <c r="K462" s="52">
        <f t="shared" si="56"/>
        <v>8000</v>
      </c>
      <c r="L462" s="126"/>
      <c r="M462" s="52">
        <f>M463</f>
        <v>0</v>
      </c>
      <c r="N462" s="52">
        <f>N463</f>
        <v>0</v>
      </c>
      <c r="O462" s="52">
        <f t="shared" si="57"/>
        <v>0</v>
      </c>
      <c r="P462" s="126"/>
      <c r="Q462" s="52">
        <f t="shared" si="52"/>
        <v>8000</v>
      </c>
      <c r="R462" s="52">
        <f t="shared" si="66"/>
        <v>0</v>
      </c>
      <c r="S462" s="52">
        <f t="shared" si="67"/>
        <v>8000</v>
      </c>
    </row>
    <row r="463" spans="2:19" x14ac:dyDescent="0.2">
      <c r="B463" s="79">
        <f t="shared" si="55"/>
        <v>48</v>
      </c>
      <c r="C463" s="4"/>
      <c r="D463" s="4"/>
      <c r="E463" s="4"/>
      <c r="F463" s="56" t="s">
        <v>205</v>
      </c>
      <c r="G463" s="4">
        <v>635</v>
      </c>
      <c r="H463" s="4" t="s">
        <v>138</v>
      </c>
      <c r="I463" s="26">
        <f>5000+3000</f>
        <v>8000</v>
      </c>
      <c r="J463" s="26"/>
      <c r="K463" s="26">
        <f t="shared" si="56"/>
        <v>8000</v>
      </c>
      <c r="L463" s="80"/>
      <c r="M463" s="26"/>
      <c r="N463" s="26"/>
      <c r="O463" s="26">
        <f t="shared" si="57"/>
        <v>0</v>
      </c>
      <c r="P463" s="80"/>
      <c r="Q463" s="26">
        <f t="shared" si="52"/>
        <v>8000</v>
      </c>
      <c r="R463" s="26">
        <f t="shared" si="66"/>
        <v>0</v>
      </c>
      <c r="S463" s="26">
        <f t="shared" si="67"/>
        <v>8000</v>
      </c>
    </row>
    <row r="464" spans="2:19" x14ac:dyDescent="0.2">
      <c r="B464" s="79">
        <f t="shared" si="55"/>
        <v>49</v>
      </c>
      <c r="C464" s="15"/>
      <c r="D464" s="15"/>
      <c r="E464" s="15"/>
      <c r="F464" s="55" t="s">
        <v>205</v>
      </c>
      <c r="G464" s="15">
        <v>710</v>
      </c>
      <c r="H464" s="15" t="s">
        <v>184</v>
      </c>
      <c r="I464" s="52">
        <f>I465</f>
        <v>0</v>
      </c>
      <c r="J464" s="52">
        <f>J465</f>
        <v>0</v>
      </c>
      <c r="K464" s="52">
        <f t="shared" si="56"/>
        <v>0</v>
      </c>
      <c r="L464" s="126"/>
      <c r="M464" s="52">
        <f>M465</f>
        <v>2000</v>
      </c>
      <c r="N464" s="52">
        <f>N465</f>
        <v>0</v>
      </c>
      <c r="O464" s="52">
        <f t="shared" si="57"/>
        <v>2000</v>
      </c>
      <c r="P464" s="126"/>
      <c r="Q464" s="52">
        <f t="shared" si="52"/>
        <v>2000</v>
      </c>
      <c r="R464" s="52">
        <f t="shared" si="66"/>
        <v>0</v>
      </c>
      <c r="S464" s="52">
        <f t="shared" si="67"/>
        <v>2000</v>
      </c>
    </row>
    <row r="465" spans="2:19" x14ac:dyDescent="0.2">
      <c r="B465" s="79">
        <f t="shared" si="55"/>
        <v>50</v>
      </c>
      <c r="C465" s="4"/>
      <c r="D465" s="4"/>
      <c r="E465" s="4"/>
      <c r="F465" s="89" t="s">
        <v>205</v>
      </c>
      <c r="G465" s="90">
        <v>713</v>
      </c>
      <c r="H465" s="90" t="s">
        <v>4</v>
      </c>
      <c r="I465" s="91"/>
      <c r="J465" s="91"/>
      <c r="K465" s="91">
        <f t="shared" si="56"/>
        <v>0</v>
      </c>
      <c r="L465" s="80"/>
      <c r="M465" s="91">
        <f>M466</f>
        <v>2000</v>
      </c>
      <c r="N465" s="91">
        <f>N466</f>
        <v>0</v>
      </c>
      <c r="O465" s="91">
        <f t="shared" si="57"/>
        <v>2000</v>
      </c>
      <c r="P465" s="80"/>
      <c r="Q465" s="91">
        <f t="shared" si="52"/>
        <v>2000</v>
      </c>
      <c r="R465" s="91">
        <f t="shared" si="66"/>
        <v>0</v>
      </c>
      <c r="S465" s="91">
        <f t="shared" si="67"/>
        <v>2000</v>
      </c>
    </row>
    <row r="466" spans="2:19" x14ac:dyDescent="0.2">
      <c r="B466" s="79">
        <f t="shared" si="55"/>
        <v>51</v>
      </c>
      <c r="C466" s="4"/>
      <c r="D466" s="58"/>
      <c r="E466" s="4"/>
      <c r="F466" s="56"/>
      <c r="G466" s="4"/>
      <c r="H466" s="4" t="s">
        <v>373</v>
      </c>
      <c r="I466" s="26"/>
      <c r="J466" s="26"/>
      <c r="K466" s="26">
        <f t="shared" si="56"/>
        <v>0</v>
      </c>
      <c r="L466" s="80"/>
      <c r="M466" s="26">
        <f>5000-3000</f>
        <v>2000</v>
      </c>
      <c r="N466" s="26"/>
      <c r="O466" s="26">
        <f t="shared" si="57"/>
        <v>2000</v>
      </c>
      <c r="P466" s="80"/>
      <c r="Q466" s="26">
        <f t="shared" si="52"/>
        <v>2000</v>
      </c>
      <c r="R466" s="26">
        <f t="shared" si="66"/>
        <v>0</v>
      </c>
      <c r="S466" s="26">
        <f t="shared" si="67"/>
        <v>2000</v>
      </c>
    </row>
    <row r="467" spans="2:19" x14ac:dyDescent="0.2">
      <c r="B467" s="79">
        <f t="shared" si="55"/>
        <v>52</v>
      </c>
      <c r="C467" s="4"/>
      <c r="D467" s="58"/>
      <c r="E467" s="4"/>
      <c r="F467" s="89" t="s">
        <v>205</v>
      </c>
      <c r="G467" s="90">
        <v>719</v>
      </c>
      <c r="H467" s="90" t="s">
        <v>600</v>
      </c>
      <c r="I467" s="91"/>
      <c r="J467" s="91"/>
      <c r="K467" s="91">
        <f t="shared" si="56"/>
        <v>0</v>
      </c>
      <c r="L467" s="80"/>
      <c r="M467" s="91">
        <f>M468</f>
        <v>377</v>
      </c>
      <c r="N467" s="91">
        <f>N468</f>
        <v>0</v>
      </c>
      <c r="O467" s="91">
        <f t="shared" si="57"/>
        <v>377</v>
      </c>
      <c r="P467" s="80"/>
      <c r="Q467" s="91">
        <f t="shared" si="52"/>
        <v>377</v>
      </c>
      <c r="R467" s="91">
        <f t="shared" si="66"/>
        <v>0</v>
      </c>
      <c r="S467" s="91">
        <f t="shared" si="67"/>
        <v>377</v>
      </c>
    </row>
    <row r="468" spans="2:19" x14ac:dyDescent="0.2">
      <c r="B468" s="79">
        <f t="shared" si="55"/>
        <v>53</v>
      </c>
      <c r="C468" s="4"/>
      <c r="D468" s="58"/>
      <c r="E468" s="4"/>
      <c r="F468" s="56"/>
      <c r="G468" s="4"/>
      <c r="H468" s="4" t="s">
        <v>601</v>
      </c>
      <c r="I468" s="26"/>
      <c r="J468" s="26"/>
      <c r="K468" s="26">
        <f t="shared" si="56"/>
        <v>0</v>
      </c>
      <c r="L468" s="80"/>
      <c r="M468" s="26">
        <v>377</v>
      </c>
      <c r="N468" s="26"/>
      <c r="O468" s="26">
        <f t="shared" si="57"/>
        <v>377</v>
      </c>
      <c r="P468" s="80"/>
      <c r="Q468" s="26">
        <f t="shared" si="52"/>
        <v>377</v>
      </c>
      <c r="R468" s="26">
        <f t="shared" si="66"/>
        <v>0</v>
      </c>
      <c r="S468" s="26">
        <f t="shared" si="67"/>
        <v>377</v>
      </c>
    </row>
    <row r="469" spans="2:19" ht="15" x14ac:dyDescent="0.2">
      <c r="B469" s="79">
        <f t="shared" si="55"/>
        <v>54</v>
      </c>
      <c r="C469" s="191">
        <v>4</v>
      </c>
      <c r="D469" s="245" t="s">
        <v>163</v>
      </c>
      <c r="E469" s="246"/>
      <c r="F469" s="246"/>
      <c r="G469" s="246"/>
      <c r="H469" s="247"/>
      <c r="I469" s="48">
        <f>I470</f>
        <v>7000</v>
      </c>
      <c r="J469" s="48">
        <f>J470</f>
        <v>0</v>
      </c>
      <c r="K469" s="48">
        <f t="shared" si="56"/>
        <v>7000</v>
      </c>
      <c r="L469" s="201"/>
      <c r="M469" s="48">
        <f>M470</f>
        <v>0</v>
      </c>
      <c r="N469" s="48">
        <f>N470</f>
        <v>0</v>
      </c>
      <c r="O469" s="48">
        <f t="shared" si="57"/>
        <v>0</v>
      </c>
      <c r="P469" s="201"/>
      <c r="Q469" s="48">
        <f t="shared" si="52"/>
        <v>7000</v>
      </c>
      <c r="R469" s="48">
        <f t="shared" si="66"/>
        <v>0</v>
      </c>
      <c r="S469" s="48">
        <f t="shared" si="67"/>
        <v>7000</v>
      </c>
    </row>
    <row r="470" spans="2:19" x14ac:dyDescent="0.2">
      <c r="B470" s="79">
        <f t="shared" si="55"/>
        <v>55</v>
      </c>
      <c r="C470" s="15"/>
      <c r="D470" s="15"/>
      <c r="E470" s="15"/>
      <c r="F470" s="55" t="s">
        <v>162</v>
      </c>
      <c r="G470" s="15">
        <v>630</v>
      </c>
      <c r="H470" s="15" t="s">
        <v>128</v>
      </c>
      <c r="I470" s="52">
        <f>I471</f>
        <v>7000</v>
      </c>
      <c r="J470" s="52">
        <f>J471</f>
        <v>0</v>
      </c>
      <c r="K470" s="52">
        <f t="shared" si="56"/>
        <v>7000</v>
      </c>
      <c r="L470" s="126"/>
      <c r="M470" s="52">
        <v>0</v>
      </c>
      <c r="N470" s="52"/>
      <c r="O470" s="52">
        <f t="shared" si="57"/>
        <v>0</v>
      </c>
      <c r="P470" s="126"/>
      <c r="Q470" s="52">
        <f t="shared" si="52"/>
        <v>7000</v>
      </c>
      <c r="R470" s="52">
        <f t="shared" si="66"/>
        <v>0</v>
      </c>
      <c r="S470" s="52">
        <f t="shared" si="67"/>
        <v>7000</v>
      </c>
    </row>
    <row r="471" spans="2:19" x14ac:dyDescent="0.2">
      <c r="B471" s="79">
        <f t="shared" si="55"/>
        <v>56</v>
      </c>
      <c r="C471" s="4"/>
      <c r="D471" s="4"/>
      <c r="E471" s="4"/>
      <c r="F471" s="56" t="s">
        <v>162</v>
      </c>
      <c r="G471" s="4">
        <v>637</v>
      </c>
      <c r="H471" s="4" t="s">
        <v>129</v>
      </c>
      <c r="I471" s="26">
        <v>7000</v>
      </c>
      <c r="J471" s="26"/>
      <c r="K471" s="26">
        <f t="shared" si="56"/>
        <v>7000</v>
      </c>
      <c r="L471" s="80"/>
      <c r="M471" s="26"/>
      <c r="N471" s="26"/>
      <c r="O471" s="26">
        <f t="shared" si="57"/>
        <v>0</v>
      </c>
      <c r="P471" s="80"/>
      <c r="Q471" s="26">
        <f t="shared" si="52"/>
        <v>7000</v>
      </c>
      <c r="R471" s="26">
        <f t="shared" si="66"/>
        <v>0</v>
      </c>
      <c r="S471" s="26">
        <f t="shared" si="67"/>
        <v>7000</v>
      </c>
    </row>
    <row r="472" spans="2:19" ht="15" x14ac:dyDescent="0.2">
      <c r="B472" s="79">
        <f t="shared" si="55"/>
        <v>57</v>
      </c>
      <c r="C472" s="191">
        <v>5</v>
      </c>
      <c r="D472" s="245" t="s">
        <v>153</v>
      </c>
      <c r="E472" s="246"/>
      <c r="F472" s="246"/>
      <c r="G472" s="246"/>
      <c r="H472" s="247"/>
      <c r="I472" s="48">
        <f>I473+I479</f>
        <v>22600</v>
      </c>
      <c r="J472" s="48">
        <f>J473+J479</f>
        <v>0</v>
      </c>
      <c r="K472" s="48">
        <f t="shared" si="56"/>
        <v>22600</v>
      </c>
      <c r="L472" s="201"/>
      <c r="M472" s="48">
        <f>M483+M486</f>
        <v>15700</v>
      </c>
      <c r="N472" s="48">
        <f>N483+N486</f>
        <v>0</v>
      </c>
      <c r="O472" s="48">
        <f t="shared" si="57"/>
        <v>15700</v>
      </c>
      <c r="P472" s="201"/>
      <c r="Q472" s="48">
        <f t="shared" si="52"/>
        <v>38300</v>
      </c>
      <c r="R472" s="48">
        <f t="shared" si="66"/>
        <v>0</v>
      </c>
      <c r="S472" s="48">
        <f t="shared" si="67"/>
        <v>38300</v>
      </c>
    </row>
    <row r="473" spans="2:19" x14ac:dyDescent="0.2">
      <c r="B473" s="79">
        <f t="shared" si="55"/>
        <v>58</v>
      </c>
      <c r="C473" s="15"/>
      <c r="D473" s="15"/>
      <c r="E473" s="15"/>
      <c r="F473" s="55" t="s">
        <v>152</v>
      </c>
      <c r="G473" s="15">
        <v>630</v>
      </c>
      <c r="H473" s="15" t="s">
        <v>128</v>
      </c>
      <c r="I473" s="52">
        <f>I478+I477+I474+I475+I476</f>
        <v>13600</v>
      </c>
      <c r="J473" s="52">
        <f>J478+J477+J474+J475+J476</f>
        <v>0</v>
      </c>
      <c r="K473" s="52">
        <f t="shared" si="56"/>
        <v>13600</v>
      </c>
      <c r="L473" s="126"/>
      <c r="M473" s="52">
        <f>M478+M477</f>
        <v>0</v>
      </c>
      <c r="N473" s="52">
        <f>N478+N477</f>
        <v>0</v>
      </c>
      <c r="O473" s="52">
        <f t="shared" si="57"/>
        <v>0</v>
      </c>
      <c r="P473" s="126"/>
      <c r="Q473" s="52">
        <f t="shared" si="52"/>
        <v>13600</v>
      </c>
      <c r="R473" s="52">
        <f t="shared" si="66"/>
        <v>0</v>
      </c>
      <c r="S473" s="52">
        <f t="shared" si="67"/>
        <v>13600</v>
      </c>
    </row>
    <row r="474" spans="2:19" x14ac:dyDescent="0.2">
      <c r="B474" s="79">
        <f t="shared" si="55"/>
        <v>59</v>
      </c>
      <c r="C474" s="15"/>
      <c r="D474" s="15"/>
      <c r="E474" s="15"/>
      <c r="F474" s="56" t="s">
        <v>152</v>
      </c>
      <c r="G474" s="4">
        <v>633</v>
      </c>
      <c r="H474" s="4" t="s">
        <v>132</v>
      </c>
      <c r="I474" s="26">
        <v>500</v>
      </c>
      <c r="J474" s="26"/>
      <c r="K474" s="26">
        <f t="shared" si="56"/>
        <v>500</v>
      </c>
      <c r="L474" s="80"/>
      <c r="M474" s="26"/>
      <c r="N474" s="26"/>
      <c r="O474" s="26">
        <f t="shared" si="57"/>
        <v>0</v>
      </c>
      <c r="P474" s="80"/>
      <c r="Q474" s="26">
        <f t="shared" si="52"/>
        <v>500</v>
      </c>
      <c r="R474" s="26">
        <f t="shared" si="66"/>
        <v>0</v>
      </c>
      <c r="S474" s="26">
        <f t="shared" si="67"/>
        <v>500</v>
      </c>
    </row>
    <row r="475" spans="2:19" x14ac:dyDescent="0.2">
      <c r="B475" s="79">
        <f t="shared" si="55"/>
        <v>60</v>
      </c>
      <c r="C475" s="15"/>
      <c r="D475" s="15"/>
      <c r="E475" s="15"/>
      <c r="F475" s="56" t="s">
        <v>152</v>
      </c>
      <c r="G475" s="4">
        <v>633</v>
      </c>
      <c r="H475" s="4" t="s">
        <v>596</v>
      </c>
      <c r="I475" s="26">
        <v>2000</v>
      </c>
      <c r="J475" s="26"/>
      <c r="K475" s="26">
        <f t="shared" si="56"/>
        <v>2000</v>
      </c>
      <c r="L475" s="80"/>
      <c r="M475" s="26"/>
      <c r="N475" s="26"/>
      <c r="O475" s="26">
        <f t="shared" si="57"/>
        <v>0</v>
      </c>
      <c r="P475" s="80"/>
      <c r="Q475" s="26">
        <f t="shared" si="52"/>
        <v>2000</v>
      </c>
      <c r="R475" s="26">
        <f t="shared" si="66"/>
        <v>0</v>
      </c>
      <c r="S475" s="26">
        <f t="shared" si="67"/>
        <v>2000</v>
      </c>
    </row>
    <row r="476" spans="2:19" x14ac:dyDescent="0.2">
      <c r="B476" s="79">
        <f t="shared" si="55"/>
        <v>61</v>
      </c>
      <c r="C476" s="15"/>
      <c r="D476" s="15"/>
      <c r="E476" s="15"/>
      <c r="F476" s="56" t="s">
        <v>152</v>
      </c>
      <c r="G476" s="4">
        <v>633</v>
      </c>
      <c r="H476" s="4" t="s">
        <v>649</v>
      </c>
      <c r="I476" s="26">
        <v>700</v>
      </c>
      <c r="J476" s="26"/>
      <c r="K476" s="26">
        <f t="shared" si="56"/>
        <v>700</v>
      </c>
      <c r="L476" s="80"/>
      <c r="M476" s="26"/>
      <c r="N476" s="26"/>
      <c r="O476" s="26">
        <f t="shared" si="57"/>
        <v>0</v>
      </c>
      <c r="P476" s="80"/>
      <c r="Q476" s="26">
        <f t="shared" si="52"/>
        <v>700</v>
      </c>
      <c r="R476" s="26">
        <f t="shared" si="66"/>
        <v>0</v>
      </c>
      <c r="S476" s="26">
        <f t="shared" si="67"/>
        <v>700</v>
      </c>
    </row>
    <row r="477" spans="2:19" x14ac:dyDescent="0.2">
      <c r="B477" s="79">
        <f t="shared" si="55"/>
        <v>62</v>
      </c>
      <c r="C477" s="4"/>
      <c r="D477" s="4"/>
      <c r="E477" s="4"/>
      <c r="F477" s="56" t="s">
        <v>152</v>
      </c>
      <c r="G477" s="4">
        <v>634</v>
      </c>
      <c r="H477" s="4" t="s">
        <v>137</v>
      </c>
      <c r="I477" s="26">
        <f>480+1700</f>
        <v>2180</v>
      </c>
      <c r="J477" s="26"/>
      <c r="K477" s="26">
        <f t="shared" si="56"/>
        <v>2180</v>
      </c>
      <c r="L477" s="80"/>
      <c r="M477" s="26"/>
      <c r="N477" s="26"/>
      <c r="O477" s="26">
        <f t="shared" si="57"/>
        <v>0</v>
      </c>
      <c r="P477" s="80"/>
      <c r="Q477" s="26">
        <f t="shared" si="52"/>
        <v>2180</v>
      </c>
      <c r="R477" s="26">
        <f t="shared" si="66"/>
        <v>0</v>
      </c>
      <c r="S477" s="26">
        <f t="shared" si="67"/>
        <v>2180</v>
      </c>
    </row>
    <row r="478" spans="2:19" x14ac:dyDescent="0.2">
      <c r="B478" s="79">
        <f t="shared" si="55"/>
        <v>63</v>
      </c>
      <c r="C478" s="4"/>
      <c r="D478" s="4"/>
      <c r="E478" s="4"/>
      <c r="F478" s="56" t="s">
        <v>152</v>
      </c>
      <c r="G478" s="4">
        <v>637</v>
      </c>
      <c r="H478" s="4" t="s">
        <v>129</v>
      </c>
      <c r="I478" s="26">
        <f>8720-500</f>
        <v>8220</v>
      </c>
      <c r="J478" s="26"/>
      <c r="K478" s="26">
        <f t="shared" si="56"/>
        <v>8220</v>
      </c>
      <c r="L478" s="80"/>
      <c r="M478" s="26"/>
      <c r="N478" s="26"/>
      <c r="O478" s="26">
        <f t="shared" si="57"/>
        <v>0</v>
      </c>
      <c r="P478" s="80"/>
      <c r="Q478" s="26">
        <f t="shared" si="52"/>
        <v>8220</v>
      </c>
      <c r="R478" s="26">
        <f t="shared" si="66"/>
        <v>0</v>
      </c>
      <c r="S478" s="26">
        <f t="shared" si="67"/>
        <v>8220</v>
      </c>
    </row>
    <row r="479" spans="2:19" x14ac:dyDescent="0.2">
      <c r="B479" s="79">
        <f t="shared" si="55"/>
        <v>64</v>
      </c>
      <c r="C479" s="15"/>
      <c r="D479" s="15"/>
      <c r="E479" s="15"/>
      <c r="F479" s="55" t="s">
        <v>152</v>
      </c>
      <c r="G479" s="15">
        <v>640</v>
      </c>
      <c r="H479" s="15" t="s">
        <v>135</v>
      </c>
      <c r="I479" s="52">
        <f>SUM(I480:I482)</f>
        <v>9000</v>
      </c>
      <c r="J479" s="52">
        <f>SUM(J480:J482)</f>
        <v>0</v>
      </c>
      <c r="K479" s="52">
        <f t="shared" si="56"/>
        <v>9000</v>
      </c>
      <c r="L479" s="126"/>
      <c r="M479" s="52"/>
      <c r="N479" s="52"/>
      <c r="O479" s="52">
        <f t="shared" si="57"/>
        <v>0</v>
      </c>
      <c r="P479" s="126"/>
      <c r="Q479" s="26">
        <f t="shared" si="52"/>
        <v>9000</v>
      </c>
      <c r="R479" s="26">
        <f t="shared" si="66"/>
        <v>0</v>
      </c>
      <c r="S479" s="26">
        <f t="shared" si="67"/>
        <v>9000</v>
      </c>
    </row>
    <row r="480" spans="2:19" x14ac:dyDescent="0.2">
      <c r="B480" s="79">
        <f t="shared" si="55"/>
        <v>65</v>
      </c>
      <c r="C480" s="15"/>
      <c r="D480" s="15"/>
      <c r="E480" s="15"/>
      <c r="F480" s="55"/>
      <c r="G480" s="15"/>
      <c r="H480" s="64" t="s">
        <v>465</v>
      </c>
      <c r="I480" s="62">
        <v>4000</v>
      </c>
      <c r="J480" s="62"/>
      <c r="K480" s="62">
        <f t="shared" si="56"/>
        <v>4000</v>
      </c>
      <c r="L480" s="80"/>
      <c r="M480" s="62"/>
      <c r="N480" s="62"/>
      <c r="O480" s="62">
        <f t="shared" si="57"/>
        <v>0</v>
      </c>
      <c r="P480" s="80"/>
      <c r="Q480" s="62">
        <f t="shared" si="52"/>
        <v>4000</v>
      </c>
      <c r="R480" s="62">
        <f t="shared" si="66"/>
        <v>0</v>
      </c>
      <c r="S480" s="62">
        <f t="shared" si="67"/>
        <v>4000</v>
      </c>
    </row>
    <row r="481" spans="2:19" x14ac:dyDescent="0.2">
      <c r="B481" s="79">
        <f t="shared" si="55"/>
        <v>66</v>
      </c>
      <c r="C481" s="15"/>
      <c r="D481" s="15"/>
      <c r="E481" s="15"/>
      <c r="F481" s="55"/>
      <c r="G481" s="15"/>
      <c r="H481" s="64" t="s">
        <v>466</v>
      </c>
      <c r="I481" s="62">
        <v>4000</v>
      </c>
      <c r="J481" s="62"/>
      <c r="K481" s="62">
        <f t="shared" si="56"/>
        <v>4000</v>
      </c>
      <c r="L481" s="80"/>
      <c r="M481" s="62"/>
      <c r="N481" s="62"/>
      <c r="O481" s="62">
        <f t="shared" si="57"/>
        <v>0</v>
      </c>
      <c r="P481" s="80"/>
      <c r="Q481" s="62">
        <f t="shared" ref="Q481:Q484" si="68">M481+I481</f>
        <v>4000</v>
      </c>
      <c r="R481" s="62">
        <f t="shared" si="66"/>
        <v>0</v>
      </c>
      <c r="S481" s="62">
        <f t="shared" si="67"/>
        <v>4000</v>
      </c>
    </row>
    <row r="482" spans="2:19" x14ac:dyDescent="0.2">
      <c r="B482" s="79">
        <f t="shared" ref="B482:B488" si="69">B481+1</f>
        <v>67</v>
      </c>
      <c r="C482" s="15"/>
      <c r="D482" s="15"/>
      <c r="E482" s="15"/>
      <c r="F482" s="55"/>
      <c r="G482" s="15"/>
      <c r="H482" s="64" t="s">
        <v>467</v>
      </c>
      <c r="I482" s="62">
        <v>1000</v>
      </c>
      <c r="J482" s="62"/>
      <c r="K482" s="62">
        <f t="shared" ref="K482:K488" si="70">I482+J482</f>
        <v>1000</v>
      </c>
      <c r="L482" s="80"/>
      <c r="M482" s="62"/>
      <c r="N482" s="62"/>
      <c r="O482" s="62">
        <f t="shared" ref="O482:O488" si="71">M482+N482</f>
        <v>0</v>
      </c>
      <c r="P482" s="80"/>
      <c r="Q482" s="62">
        <f t="shared" si="68"/>
        <v>1000</v>
      </c>
      <c r="R482" s="62">
        <f t="shared" si="66"/>
        <v>0</v>
      </c>
      <c r="S482" s="62">
        <f t="shared" si="67"/>
        <v>1000</v>
      </c>
    </row>
    <row r="483" spans="2:19" x14ac:dyDescent="0.2">
      <c r="B483" s="79">
        <f t="shared" si="69"/>
        <v>68</v>
      </c>
      <c r="C483" s="15"/>
      <c r="D483" s="15"/>
      <c r="E483" s="15"/>
      <c r="F483" s="55" t="s">
        <v>152</v>
      </c>
      <c r="G483" s="15">
        <v>710</v>
      </c>
      <c r="H483" s="15" t="s">
        <v>184</v>
      </c>
      <c r="I483" s="52">
        <f>I484</f>
        <v>0</v>
      </c>
      <c r="J483" s="52">
        <f>J484</f>
        <v>0</v>
      </c>
      <c r="K483" s="52">
        <f t="shared" si="70"/>
        <v>0</v>
      </c>
      <c r="L483" s="126"/>
      <c r="M483" s="52">
        <f>M484</f>
        <v>700</v>
      </c>
      <c r="N483" s="52">
        <f>N484</f>
        <v>0</v>
      </c>
      <c r="O483" s="52">
        <f t="shared" si="71"/>
        <v>700</v>
      </c>
      <c r="P483" s="126"/>
      <c r="Q483" s="52">
        <f t="shared" si="68"/>
        <v>700</v>
      </c>
      <c r="R483" s="52">
        <f t="shared" si="66"/>
        <v>0</v>
      </c>
      <c r="S483" s="52">
        <f t="shared" si="67"/>
        <v>700</v>
      </c>
    </row>
    <row r="484" spans="2:19" x14ac:dyDescent="0.2">
      <c r="B484" s="79">
        <f t="shared" si="69"/>
        <v>69</v>
      </c>
      <c r="C484" s="15"/>
      <c r="D484" s="15"/>
      <c r="E484" s="15"/>
      <c r="F484" s="89" t="s">
        <v>152</v>
      </c>
      <c r="G484" s="90">
        <v>717</v>
      </c>
      <c r="H484" s="90" t="s">
        <v>0</v>
      </c>
      <c r="I484" s="91"/>
      <c r="J484" s="91"/>
      <c r="K484" s="91">
        <f t="shared" si="70"/>
        <v>0</v>
      </c>
      <c r="L484" s="80"/>
      <c r="M484" s="91">
        <f>M485</f>
        <v>700</v>
      </c>
      <c r="N484" s="91">
        <f>N485</f>
        <v>0</v>
      </c>
      <c r="O484" s="91">
        <f t="shared" si="71"/>
        <v>700</v>
      </c>
      <c r="P484" s="80"/>
      <c r="Q484" s="91">
        <f t="shared" si="68"/>
        <v>700</v>
      </c>
      <c r="R484" s="91">
        <f t="shared" si="66"/>
        <v>0</v>
      </c>
      <c r="S484" s="91">
        <f t="shared" si="67"/>
        <v>700</v>
      </c>
    </row>
    <row r="485" spans="2:19" ht="12.75" customHeight="1" x14ac:dyDescent="0.2">
      <c r="B485" s="79">
        <f t="shared" si="69"/>
        <v>70</v>
      </c>
      <c r="C485" s="15"/>
      <c r="D485" s="15"/>
      <c r="E485" s="15"/>
      <c r="F485" s="55"/>
      <c r="G485" s="15"/>
      <c r="H485" s="64" t="s">
        <v>510</v>
      </c>
      <c r="I485" s="62"/>
      <c r="J485" s="62"/>
      <c r="K485" s="62">
        <f t="shared" si="70"/>
        <v>0</v>
      </c>
      <c r="L485" s="80"/>
      <c r="M485" s="62">
        <v>700</v>
      </c>
      <c r="N485" s="62"/>
      <c r="O485" s="62">
        <f t="shared" si="71"/>
        <v>700</v>
      </c>
      <c r="P485" s="80"/>
      <c r="Q485" s="62">
        <f>M485</f>
        <v>700</v>
      </c>
      <c r="R485" s="62">
        <f t="shared" ref="R485:S485" si="72">N485</f>
        <v>0</v>
      </c>
      <c r="S485" s="62">
        <f t="shared" si="72"/>
        <v>700</v>
      </c>
    </row>
    <row r="486" spans="2:19" ht="18" customHeight="1" x14ac:dyDescent="0.2">
      <c r="B486" s="79">
        <f t="shared" si="69"/>
        <v>71</v>
      </c>
      <c r="C486" s="15"/>
      <c r="D486" s="15"/>
      <c r="E486" s="15"/>
      <c r="F486" s="55" t="s">
        <v>152</v>
      </c>
      <c r="G486" s="15">
        <v>720</v>
      </c>
      <c r="H486" s="15" t="s">
        <v>437</v>
      </c>
      <c r="I486" s="52">
        <f>I487</f>
        <v>0</v>
      </c>
      <c r="J486" s="52">
        <f>J487</f>
        <v>0</v>
      </c>
      <c r="K486" s="52">
        <f t="shared" si="70"/>
        <v>0</v>
      </c>
      <c r="L486" s="126"/>
      <c r="M486" s="52">
        <f>M487</f>
        <v>15000</v>
      </c>
      <c r="N486" s="52">
        <f>N487</f>
        <v>0</v>
      </c>
      <c r="O486" s="52">
        <f t="shared" si="71"/>
        <v>15000</v>
      </c>
      <c r="P486" s="126"/>
      <c r="Q486" s="52">
        <f t="shared" ref="Q486:Q487" si="73">M486+I486</f>
        <v>15000</v>
      </c>
      <c r="R486" s="52">
        <f t="shared" ref="R486:R487" si="74">N486+J486</f>
        <v>0</v>
      </c>
      <c r="S486" s="52">
        <f t="shared" ref="S486:S487" si="75">O486+K486</f>
        <v>15000</v>
      </c>
    </row>
    <row r="487" spans="2:19" ht="15.75" customHeight="1" x14ac:dyDescent="0.2">
      <c r="B487" s="79">
        <f t="shared" si="69"/>
        <v>72</v>
      </c>
      <c r="C487" s="15"/>
      <c r="D487" s="15"/>
      <c r="E487" s="15"/>
      <c r="F487" s="89" t="s">
        <v>152</v>
      </c>
      <c r="G487" s="90">
        <v>722</v>
      </c>
      <c r="H487" s="90" t="s">
        <v>602</v>
      </c>
      <c r="I487" s="91"/>
      <c r="J487" s="91"/>
      <c r="K487" s="91">
        <f t="shared" si="70"/>
        <v>0</v>
      </c>
      <c r="L487" s="80"/>
      <c r="M487" s="91">
        <f>M488</f>
        <v>15000</v>
      </c>
      <c r="N487" s="91">
        <f>N488</f>
        <v>0</v>
      </c>
      <c r="O487" s="91">
        <f t="shared" si="71"/>
        <v>15000</v>
      </c>
      <c r="P487" s="80"/>
      <c r="Q487" s="91">
        <f t="shared" si="73"/>
        <v>15000</v>
      </c>
      <c r="R487" s="91">
        <f t="shared" si="74"/>
        <v>0</v>
      </c>
      <c r="S487" s="91">
        <f t="shared" si="75"/>
        <v>15000</v>
      </c>
    </row>
    <row r="488" spans="2:19" ht="18.75" customHeight="1" x14ac:dyDescent="0.2">
      <c r="B488" s="79">
        <f t="shared" si="69"/>
        <v>73</v>
      </c>
      <c r="C488" s="15"/>
      <c r="D488" s="15"/>
      <c r="E488" s="15"/>
      <c r="F488" s="55"/>
      <c r="G488" s="15"/>
      <c r="H488" s="64" t="s">
        <v>603</v>
      </c>
      <c r="I488" s="62"/>
      <c r="J488" s="62"/>
      <c r="K488" s="62">
        <f t="shared" si="70"/>
        <v>0</v>
      </c>
      <c r="L488" s="80"/>
      <c r="M488" s="62">
        <v>15000</v>
      </c>
      <c r="N488" s="62"/>
      <c r="O488" s="62">
        <f t="shared" si="71"/>
        <v>15000</v>
      </c>
      <c r="P488" s="80"/>
      <c r="Q488" s="62">
        <f>M488</f>
        <v>15000</v>
      </c>
      <c r="R488" s="62">
        <f t="shared" ref="R488:S488" si="76">N488</f>
        <v>0</v>
      </c>
      <c r="S488" s="62">
        <f t="shared" si="76"/>
        <v>15000</v>
      </c>
    </row>
    <row r="551" spans="2:19" ht="27" x14ac:dyDescent="0.35">
      <c r="B551" s="248" t="s">
        <v>301</v>
      </c>
      <c r="C551" s="249"/>
      <c r="D551" s="249"/>
      <c r="E551" s="249"/>
      <c r="F551" s="249"/>
      <c r="G551" s="249"/>
      <c r="H551" s="249"/>
      <c r="I551" s="249"/>
      <c r="J551" s="249"/>
      <c r="K551" s="249"/>
      <c r="L551" s="249"/>
      <c r="M551" s="249"/>
      <c r="N551" s="249"/>
      <c r="O551" s="249"/>
      <c r="P551" s="249"/>
      <c r="Q551" s="249"/>
    </row>
    <row r="552" spans="2:19" ht="12.75" customHeight="1" x14ac:dyDescent="0.2">
      <c r="B552" s="260" t="s">
        <v>281</v>
      </c>
      <c r="C552" s="261"/>
      <c r="D552" s="261"/>
      <c r="E552" s="261"/>
      <c r="F552" s="261"/>
      <c r="G552" s="261"/>
      <c r="H552" s="261"/>
      <c r="I552" s="261"/>
      <c r="J552" s="261"/>
      <c r="K552" s="261"/>
      <c r="L552" s="261"/>
      <c r="M552" s="261"/>
      <c r="N552" s="261"/>
      <c r="O552" s="262"/>
      <c r="P552" s="208"/>
      <c r="Q552" s="250" t="s">
        <v>779</v>
      </c>
      <c r="R552" s="250" t="s">
        <v>773</v>
      </c>
      <c r="S552" s="250" t="s">
        <v>774</v>
      </c>
    </row>
    <row r="553" spans="2:19" ht="12.75" customHeight="1" x14ac:dyDescent="0.2">
      <c r="B553" s="253" t="s">
        <v>112</v>
      </c>
      <c r="C553" s="255" t="s">
        <v>120</v>
      </c>
      <c r="D553" s="255" t="s">
        <v>121</v>
      </c>
      <c r="E553" s="257" t="s">
        <v>125</v>
      </c>
      <c r="F553" s="255" t="s">
        <v>122</v>
      </c>
      <c r="G553" s="255" t="s">
        <v>123</v>
      </c>
      <c r="H553" s="263" t="s">
        <v>124</v>
      </c>
      <c r="I553" s="250" t="s">
        <v>777</v>
      </c>
      <c r="J553" s="251" t="s">
        <v>773</v>
      </c>
      <c r="K553" s="251" t="s">
        <v>775</v>
      </c>
      <c r="L553" s="197"/>
      <c r="M553" s="250" t="s">
        <v>778</v>
      </c>
      <c r="N553" s="251" t="s">
        <v>773</v>
      </c>
      <c r="O553" s="251" t="s">
        <v>776</v>
      </c>
      <c r="P553" s="198"/>
      <c r="Q553" s="251"/>
      <c r="R553" s="251"/>
      <c r="S553" s="251"/>
    </row>
    <row r="554" spans="2:19" x14ac:dyDescent="0.2">
      <c r="B554" s="253"/>
      <c r="C554" s="255"/>
      <c r="D554" s="255"/>
      <c r="E554" s="258"/>
      <c r="F554" s="255"/>
      <c r="G554" s="255"/>
      <c r="H554" s="263"/>
      <c r="I554" s="251"/>
      <c r="J554" s="251"/>
      <c r="K554" s="251"/>
      <c r="L554" s="198"/>
      <c r="M554" s="251"/>
      <c r="N554" s="251"/>
      <c r="O554" s="251"/>
      <c r="P554" s="198"/>
      <c r="Q554" s="251"/>
      <c r="R554" s="251"/>
      <c r="S554" s="251"/>
    </row>
    <row r="555" spans="2:19" x14ac:dyDescent="0.2">
      <c r="B555" s="253"/>
      <c r="C555" s="255"/>
      <c r="D555" s="255"/>
      <c r="E555" s="258"/>
      <c r="F555" s="255"/>
      <c r="G555" s="255"/>
      <c r="H555" s="263"/>
      <c r="I555" s="251"/>
      <c r="J555" s="251"/>
      <c r="K555" s="251"/>
      <c r="L555" s="198"/>
      <c r="M555" s="251"/>
      <c r="N555" s="251"/>
      <c r="O555" s="251"/>
      <c r="P555" s="198"/>
      <c r="Q555" s="251"/>
      <c r="R555" s="251"/>
      <c r="S555" s="251"/>
    </row>
    <row r="556" spans="2:19" ht="13.5" thickBot="1" x14ac:dyDescent="0.25">
      <c r="B556" s="254"/>
      <c r="C556" s="256"/>
      <c r="D556" s="256"/>
      <c r="E556" s="259"/>
      <c r="F556" s="256"/>
      <c r="G556" s="256"/>
      <c r="H556" s="264"/>
      <c r="I556" s="252"/>
      <c r="J556" s="252"/>
      <c r="K556" s="252"/>
      <c r="L556" s="199"/>
      <c r="M556" s="252"/>
      <c r="N556" s="252"/>
      <c r="O556" s="252"/>
      <c r="P556" s="199"/>
      <c r="Q556" s="252"/>
      <c r="R556" s="252"/>
      <c r="S556" s="252"/>
    </row>
    <row r="557" spans="2:19" ht="16.5" thickTop="1" x14ac:dyDescent="0.2">
      <c r="B557" s="78">
        <v>1</v>
      </c>
      <c r="C557" s="265" t="s">
        <v>301</v>
      </c>
      <c r="D557" s="266"/>
      <c r="E557" s="266"/>
      <c r="F557" s="266"/>
      <c r="G557" s="266"/>
      <c r="H557" s="267"/>
      <c r="I557" s="47">
        <f>I595+I561+I558</f>
        <v>3252631</v>
      </c>
      <c r="J557" s="47">
        <f>J595+J561+J558</f>
        <v>0</v>
      </c>
      <c r="K557" s="47">
        <f>I557+J557</f>
        <v>3252631</v>
      </c>
      <c r="L557" s="200"/>
      <c r="M557" s="47">
        <f>M595+M561+M558</f>
        <v>3495606</v>
      </c>
      <c r="N557" s="47">
        <f>N595+N561+N558</f>
        <v>0</v>
      </c>
      <c r="O557" s="47">
        <f>M557+N557</f>
        <v>3495606</v>
      </c>
      <c r="P557" s="200"/>
      <c r="Q557" s="47">
        <f t="shared" ref="Q557:Q632" si="77">I557+M557</f>
        <v>6748237</v>
      </c>
      <c r="R557" s="47">
        <f t="shared" ref="R557:R595" si="78">J557+N557</f>
        <v>0</v>
      </c>
      <c r="S557" s="47">
        <f t="shared" ref="S557:S595" si="79">K557+O557</f>
        <v>6748237</v>
      </c>
    </row>
    <row r="558" spans="2:19" ht="15" x14ac:dyDescent="0.2">
      <c r="B558" s="79">
        <f t="shared" ref="B558:B621" si="80">B557+1</f>
        <v>2</v>
      </c>
      <c r="C558" s="191">
        <v>1</v>
      </c>
      <c r="D558" s="245" t="s">
        <v>29</v>
      </c>
      <c r="E558" s="246"/>
      <c r="F558" s="246"/>
      <c r="G558" s="246"/>
      <c r="H558" s="247"/>
      <c r="I558" s="48">
        <f>I559</f>
        <v>2010541</v>
      </c>
      <c r="J558" s="48">
        <f>J559</f>
        <v>0</v>
      </c>
      <c r="K558" s="48">
        <f t="shared" ref="K558:K595" si="81">I558+J558</f>
        <v>2010541</v>
      </c>
      <c r="L558" s="201"/>
      <c r="M558" s="48">
        <f>M559</f>
        <v>0</v>
      </c>
      <c r="N558" s="48">
        <f>N559</f>
        <v>0</v>
      </c>
      <c r="O558" s="48">
        <f t="shared" ref="O558:O621" si="82">M558+N558</f>
        <v>0</v>
      </c>
      <c r="P558" s="201"/>
      <c r="Q558" s="48">
        <f t="shared" si="77"/>
        <v>2010541</v>
      </c>
      <c r="R558" s="48">
        <f t="shared" si="78"/>
        <v>0</v>
      </c>
      <c r="S558" s="48">
        <f t="shared" si="79"/>
        <v>2010541</v>
      </c>
    </row>
    <row r="559" spans="2:19" x14ac:dyDescent="0.2">
      <c r="B559" s="79">
        <f t="shared" si="80"/>
        <v>3</v>
      </c>
      <c r="C559" s="15"/>
      <c r="D559" s="15"/>
      <c r="E559" s="15"/>
      <c r="F559" s="55" t="s">
        <v>5</v>
      </c>
      <c r="G559" s="15">
        <v>630</v>
      </c>
      <c r="H559" s="15" t="s">
        <v>128</v>
      </c>
      <c r="I559" s="52">
        <f>I560</f>
        <v>2010541</v>
      </c>
      <c r="J559" s="52">
        <f>J560</f>
        <v>0</v>
      </c>
      <c r="K559" s="52">
        <f t="shared" si="81"/>
        <v>2010541</v>
      </c>
      <c r="L559" s="126"/>
      <c r="M559" s="52">
        <f>M560</f>
        <v>0</v>
      </c>
      <c r="N559" s="52">
        <f>N560</f>
        <v>0</v>
      </c>
      <c r="O559" s="52">
        <f t="shared" si="82"/>
        <v>0</v>
      </c>
      <c r="P559" s="126"/>
      <c r="Q559" s="52">
        <f t="shared" si="77"/>
        <v>2010541</v>
      </c>
      <c r="R559" s="52">
        <f t="shared" si="78"/>
        <v>0</v>
      </c>
      <c r="S559" s="52">
        <f t="shared" si="79"/>
        <v>2010541</v>
      </c>
    </row>
    <row r="560" spans="2:19" x14ac:dyDescent="0.2">
      <c r="B560" s="79">
        <f t="shared" si="80"/>
        <v>4</v>
      </c>
      <c r="C560" s="4"/>
      <c r="D560" s="4"/>
      <c r="E560" s="4"/>
      <c r="F560" s="56" t="s">
        <v>5</v>
      </c>
      <c r="G560" s="4">
        <v>637</v>
      </c>
      <c r="H560" s="4" t="s">
        <v>129</v>
      </c>
      <c r="I560" s="26">
        <f>1905000+105541</f>
        <v>2010541</v>
      </c>
      <c r="J560" s="26"/>
      <c r="K560" s="26">
        <f t="shared" si="81"/>
        <v>2010541</v>
      </c>
      <c r="L560" s="80"/>
      <c r="M560" s="26"/>
      <c r="N560" s="26"/>
      <c r="O560" s="26">
        <f t="shared" si="82"/>
        <v>0</v>
      </c>
      <c r="P560" s="80"/>
      <c r="Q560" s="26">
        <f t="shared" si="77"/>
        <v>2010541</v>
      </c>
      <c r="R560" s="26">
        <f t="shared" si="78"/>
        <v>0</v>
      </c>
      <c r="S560" s="26">
        <f t="shared" si="79"/>
        <v>2010541</v>
      </c>
    </row>
    <row r="561" spans="2:19" ht="15" x14ac:dyDescent="0.2">
      <c r="B561" s="79">
        <f t="shared" si="80"/>
        <v>5</v>
      </c>
      <c r="C561" s="191">
        <v>2</v>
      </c>
      <c r="D561" s="245" t="s">
        <v>6</v>
      </c>
      <c r="E561" s="246"/>
      <c r="F561" s="246"/>
      <c r="G561" s="246"/>
      <c r="H561" s="247"/>
      <c r="I561" s="48">
        <f>I562+I583+I579</f>
        <v>1242090</v>
      </c>
      <c r="J561" s="48">
        <f>J562+J583+J579</f>
        <v>0</v>
      </c>
      <c r="K561" s="48">
        <f t="shared" si="81"/>
        <v>1242090</v>
      </c>
      <c r="L561" s="201"/>
      <c r="M561" s="48">
        <f>M562+M583+M580</f>
        <v>189339</v>
      </c>
      <c r="N561" s="48">
        <f>N562+N583+N580</f>
        <v>0</v>
      </c>
      <c r="O561" s="48">
        <f t="shared" si="82"/>
        <v>189339</v>
      </c>
      <c r="P561" s="201"/>
      <c r="Q561" s="48">
        <f t="shared" si="77"/>
        <v>1431429</v>
      </c>
      <c r="R561" s="48">
        <f t="shared" si="78"/>
        <v>0</v>
      </c>
      <c r="S561" s="48">
        <f t="shared" si="79"/>
        <v>1431429</v>
      </c>
    </row>
    <row r="562" spans="2:19" x14ac:dyDescent="0.2">
      <c r="B562" s="79">
        <f t="shared" si="80"/>
        <v>6</v>
      </c>
      <c r="C562" s="15"/>
      <c r="D562" s="15"/>
      <c r="E562" s="15"/>
      <c r="F562" s="55" t="s">
        <v>5</v>
      </c>
      <c r="G562" s="15">
        <v>630</v>
      </c>
      <c r="H562" s="15" t="s">
        <v>128</v>
      </c>
      <c r="I562" s="52">
        <f>I577+I565+I571+I578+I572+I563+I564+I574+I575+I576+I573</f>
        <v>1142740</v>
      </c>
      <c r="J562" s="52">
        <f>J577+J565+J571+J578+J572+J563+J564+J574+J575+J576+J573</f>
        <v>0</v>
      </c>
      <c r="K562" s="52">
        <f t="shared" si="81"/>
        <v>1142740</v>
      </c>
      <c r="L562" s="126"/>
      <c r="M562" s="52">
        <f>M577+M565</f>
        <v>0</v>
      </c>
      <c r="N562" s="52">
        <f>N577+N565</f>
        <v>0</v>
      </c>
      <c r="O562" s="52">
        <f t="shared" si="82"/>
        <v>0</v>
      </c>
      <c r="P562" s="126"/>
      <c r="Q562" s="52">
        <f t="shared" si="77"/>
        <v>1142740</v>
      </c>
      <c r="R562" s="52">
        <f t="shared" si="78"/>
        <v>0</v>
      </c>
      <c r="S562" s="52">
        <f t="shared" si="79"/>
        <v>1142740</v>
      </c>
    </row>
    <row r="563" spans="2:19" x14ac:dyDescent="0.2">
      <c r="B563" s="79">
        <f t="shared" si="80"/>
        <v>7</v>
      </c>
      <c r="C563" s="15"/>
      <c r="D563" s="15"/>
      <c r="E563" s="15"/>
      <c r="F563" s="68"/>
      <c r="G563" s="64">
        <v>632</v>
      </c>
      <c r="H563" s="64" t="s">
        <v>708</v>
      </c>
      <c r="I563" s="62">
        <v>20000</v>
      </c>
      <c r="J563" s="62"/>
      <c r="K563" s="62">
        <f t="shared" si="81"/>
        <v>20000</v>
      </c>
      <c r="L563" s="80"/>
      <c r="M563" s="62"/>
      <c r="N563" s="62"/>
      <c r="O563" s="62">
        <f t="shared" si="82"/>
        <v>0</v>
      </c>
      <c r="P563" s="80"/>
      <c r="Q563" s="26">
        <f t="shared" si="77"/>
        <v>20000</v>
      </c>
      <c r="R563" s="26">
        <f t="shared" si="78"/>
        <v>0</v>
      </c>
      <c r="S563" s="26">
        <f t="shared" si="79"/>
        <v>20000</v>
      </c>
    </row>
    <row r="564" spans="2:19" x14ac:dyDescent="0.2">
      <c r="B564" s="79">
        <f t="shared" si="80"/>
        <v>8</v>
      </c>
      <c r="C564" s="15"/>
      <c r="D564" s="15"/>
      <c r="E564" s="15"/>
      <c r="F564" s="68"/>
      <c r="G564" s="64">
        <v>632</v>
      </c>
      <c r="H564" s="64" t="s">
        <v>709</v>
      </c>
      <c r="I564" s="62">
        <v>850</v>
      </c>
      <c r="J564" s="62"/>
      <c r="K564" s="62">
        <f t="shared" si="81"/>
        <v>850</v>
      </c>
      <c r="L564" s="80"/>
      <c r="M564" s="62"/>
      <c r="N564" s="62"/>
      <c r="O564" s="62">
        <f t="shared" si="82"/>
        <v>0</v>
      </c>
      <c r="P564" s="80"/>
      <c r="Q564" s="26">
        <f t="shared" si="77"/>
        <v>850</v>
      </c>
      <c r="R564" s="26">
        <f t="shared" si="78"/>
        <v>0</v>
      </c>
      <c r="S564" s="26">
        <f t="shared" si="79"/>
        <v>850</v>
      </c>
    </row>
    <row r="565" spans="2:19" x14ac:dyDescent="0.2">
      <c r="B565" s="79">
        <f t="shared" si="80"/>
        <v>9</v>
      </c>
      <c r="C565" s="4"/>
      <c r="D565" s="4"/>
      <c r="E565" s="4"/>
      <c r="F565" s="56" t="s">
        <v>5</v>
      </c>
      <c r="G565" s="4">
        <v>635</v>
      </c>
      <c r="H565" s="4" t="s">
        <v>138</v>
      </c>
      <c r="I565" s="26">
        <f>I566+I567+I568+I569+I570</f>
        <v>980000</v>
      </c>
      <c r="J565" s="26">
        <f>J566+J567+J568+J569+J570</f>
        <v>0</v>
      </c>
      <c r="K565" s="26">
        <f t="shared" si="81"/>
        <v>980000</v>
      </c>
      <c r="L565" s="80"/>
      <c r="M565" s="26"/>
      <c r="N565" s="26"/>
      <c r="O565" s="26">
        <f t="shared" si="82"/>
        <v>0</v>
      </c>
      <c r="P565" s="80"/>
      <c r="Q565" s="26">
        <f t="shared" si="77"/>
        <v>980000</v>
      </c>
      <c r="R565" s="26">
        <f t="shared" si="78"/>
        <v>0</v>
      </c>
      <c r="S565" s="26">
        <f t="shared" si="79"/>
        <v>980000</v>
      </c>
    </row>
    <row r="566" spans="2:19" x14ac:dyDescent="0.2">
      <c r="B566" s="79">
        <f t="shared" si="80"/>
        <v>10</v>
      </c>
      <c r="C566" s="4"/>
      <c r="D566" s="4"/>
      <c r="E566" s="4"/>
      <c r="F566" s="56"/>
      <c r="G566" s="4"/>
      <c r="H566" s="4" t="s">
        <v>728</v>
      </c>
      <c r="I566" s="26">
        <f>380000-70000+50000</f>
        <v>360000</v>
      </c>
      <c r="J566" s="26"/>
      <c r="K566" s="26">
        <f t="shared" si="81"/>
        <v>360000</v>
      </c>
      <c r="L566" s="80"/>
      <c r="M566" s="26"/>
      <c r="N566" s="26"/>
      <c r="O566" s="26">
        <f t="shared" si="82"/>
        <v>0</v>
      </c>
      <c r="P566" s="80"/>
      <c r="Q566" s="26">
        <f t="shared" si="77"/>
        <v>360000</v>
      </c>
      <c r="R566" s="26">
        <f t="shared" si="78"/>
        <v>0</v>
      </c>
      <c r="S566" s="26">
        <f t="shared" si="79"/>
        <v>360000</v>
      </c>
    </row>
    <row r="567" spans="2:19" x14ac:dyDescent="0.2">
      <c r="B567" s="79">
        <f t="shared" si="80"/>
        <v>11</v>
      </c>
      <c r="C567" s="4"/>
      <c r="D567" s="4"/>
      <c r="E567" s="4"/>
      <c r="F567" s="56"/>
      <c r="G567" s="4"/>
      <c r="H567" s="4" t="s">
        <v>487</v>
      </c>
      <c r="I567" s="26">
        <f>220000+70000</f>
        <v>290000</v>
      </c>
      <c r="J567" s="26"/>
      <c r="K567" s="26">
        <f t="shared" si="81"/>
        <v>290000</v>
      </c>
      <c r="L567" s="80"/>
      <c r="M567" s="26"/>
      <c r="N567" s="26"/>
      <c r="O567" s="26">
        <f t="shared" si="82"/>
        <v>0</v>
      </c>
      <c r="P567" s="80"/>
      <c r="Q567" s="26">
        <f t="shared" si="77"/>
        <v>290000</v>
      </c>
      <c r="R567" s="26">
        <f t="shared" si="78"/>
        <v>0</v>
      </c>
      <c r="S567" s="26">
        <f t="shared" si="79"/>
        <v>290000</v>
      </c>
    </row>
    <row r="568" spans="2:19" x14ac:dyDescent="0.2">
      <c r="B568" s="79">
        <f t="shared" si="80"/>
        <v>12</v>
      </c>
      <c r="C568" s="4"/>
      <c r="D568" s="4"/>
      <c r="E568" s="4"/>
      <c r="F568" s="56"/>
      <c r="G568" s="4"/>
      <c r="H568" s="4" t="s">
        <v>488</v>
      </c>
      <c r="I568" s="26">
        <f>250000-85000</f>
        <v>165000</v>
      </c>
      <c r="J568" s="26"/>
      <c r="K568" s="26">
        <f t="shared" si="81"/>
        <v>165000</v>
      </c>
      <c r="L568" s="80"/>
      <c r="M568" s="26"/>
      <c r="N568" s="26"/>
      <c r="O568" s="26">
        <f t="shared" si="82"/>
        <v>0</v>
      </c>
      <c r="P568" s="80"/>
      <c r="Q568" s="26">
        <f t="shared" si="77"/>
        <v>165000</v>
      </c>
      <c r="R568" s="26">
        <f t="shared" si="78"/>
        <v>0</v>
      </c>
      <c r="S568" s="26">
        <f t="shared" si="79"/>
        <v>165000</v>
      </c>
    </row>
    <row r="569" spans="2:19" x14ac:dyDescent="0.2">
      <c r="B569" s="79">
        <f t="shared" si="80"/>
        <v>13</v>
      </c>
      <c r="C569" s="4"/>
      <c r="D569" s="4"/>
      <c r="E569" s="4"/>
      <c r="F569" s="56"/>
      <c r="G569" s="4"/>
      <c r="H569" s="165" t="s">
        <v>606</v>
      </c>
      <c r="I569" s="166">
        <f>280000-133333</f>
        <v>146667</v>
      </c>
      <c r="J569" s="166"/>
      <c r="K569" s="166">
        <f t="shared" si="81"/>
        <v>146667</v>
      </c>
      <c r="L569" s="166"/>
      <c r="M569" s="166"/>
      <c r="N569" s="166"/>
      <c r="O569" s="166">
        <f t="shared" si="82"/>
        <v>0</v>
      </c>
      <c r="P569" s="166"/>
      <c r="Q569" s="166">
        <f t="shared" si="77"/>
        <v>146667</v>
      </c>
      <c r="R569" s="166">
        <f t="shared" si="78"/>
        <v>0</v>
      </c>
      <c r="S569" s="166">
        <f t="shared" si="79"/>
        <v>146667</v>
      </c>
    </row>
    <row r="570" spans="2:19" x14ac:dyDescent="0.2">
      <c r="B570" s="79">
        <f t="shared" si="80"/>
        <v>14</v>
      </c>
      <c r="C570" s="4"/>
      <c r="D570" s="4"/>
      <c r="E570" s="4"/>
      <c r="F570" s="56"/>
      <c r="G570" s="4"/>
      <c r="H570" s="165" t="s">
        <v>607</v>
      </c>
      <c r="I570" s="166">
        <f>35000-16667</f>
        <v>18333</v>
      </c>
      <c r="J570" s="166"/>
      <c r="K570" s="166">
        <f t="shared" si="81"/>
        <v>18333</v>
      </c>
      <c r="L570" s="166"/>
      <c r="M570" s="166"/>
      <c r="N570" s="166"/>
      <c r="O570" s="166">
        <f t="shared" si="82"/>
        <v>0</v>
      </c>
      <c r="P570" s="166"/>
      <c r="Q570" s="166">
        <f t="shared" si="77"/>
        <v>18333</v>
      </c>
      <c r="R570" s="166">
        <f t="shared" si="78"/>
        <v>0</v>
      </c>
      <c r="S570" s="166">
        <f t="shared" si="79"/>
        <v>18333</v>
      </c>
    </row>
    <row r="571" spans="2:19" x14ac:dyDescent="0.2">
      <c r="B571" s="79">
        <f t="shared" si="80"/>
        <v>15</v>
      </c>
      <c r="C571" s="4"/>
      <c r="D571" s="4"/>
      <c r="E571" s="4"/>
      <c r="F571" s="146" t="s">
        <v>5</v>
      </c>
      <c r="G571" s="147">
        <v>635</v>
      </c>
      <c r="H571" s="147" t="s">
        <v>565</v>
      </c>
      <c r="I571" s="145">
        <v>10000</v>
      </c>
      <c r="J571" s="145"/>
      <c r="K571" s="145">
        <f t="shared" si="81"/>
        <v>10000</v>
      </c>
      <c r="L571" s="80"/>
      <c r="M571" s="145"/>
      <c r="N571" s="145"/>
      <c r="O571" s="145">
        <f t="shared" si="82"/>
        <v>0</v>
      </c>
      <c r="P571" s="80"/>
      <c r="Q571" s="145">
        <f t="shared" si="77"/>
        <v>10000</v>
      </c>
      <c r="R571" s="145">
        <f t="shared" si="78"/>
        <v>0</v>
      </c>
      <c r="S571" s="145">
        <f t="shared" si="79"/>
        <v>10000</v>
      </c>
    </row>
    <row r="572" spans="2:19" x14ac:dyDescent="0.2">
      <c r="B572" s="79">
        <f t="shared" si="80"/>
        <v>16</v>
      </c>
      <c r="C572" s="4"/>
      <c r="D572" s="4"/>
      <c r="E572" s="4"/>
      <c r="F572" s="112" t="s">
        <v>5</v>
      </c>
      <c r="G572" s="111">
        <v>635</v>
      </c>
      <c r="H572" s="111" t="s">
        <v>675</v>
      </c>
      <c r="I572" s="80">
        <f>2000+700</f>
        <v>2700</v>
      </c>
      <c r="J572" s="80"/>
      <c r="K572" s="80">
        <f t="shared" si="81"/>
        <v>2700</v>
      </c>
      <c r="L572" s="80"/>
      <c r="M572" s="80"/>
      <c r="N572" s="80"/>
      <c r="O572" s="80">
        <f t="shared" si="82"/>
        <v>0</v>
      </c>
      <c r="P572" s="80"/>
      <c r="Q572" s="80">
        <f t="shared" si="77"/>
        <v>2700</v>
      </c>
      <c r="R572" s="80">
        <f t="shared" si="78"/>
        <v>0</v>
      </c>
      <c r="S572" s="80">
        <f t="shared" si="79"/>
        <v>2700</v>
      </c>
    </row>
    <row r="573" spans="2:19" x14ac:dyDescent="0.2">
      <c r="B573" s="79">
        <f t="shared" si="80"/>
        <v>17</v>
      </c>
      <c r="C573" s="4"/>
      <c r="D573" s="4"/>
      <c r="E573" s="4"/>
      <c r="F573" s="112" t="s">
        <v>5</v>
      </c>
      <c r="G573" s="111">
        <v>635</v>
      </c>
      <c r="H573" s="111" t="s">
        <v>735</v>
      </c>
      <c r="I573" s="80">
        <v>118340</v>
      </c>
      <c r="J573" s="80"/>
      <c r="K573" s="80">
        <f t="shared" si="81"/>
        <v>118340</v>
      </c>
      <c r="L573" s="80"/>
      <c r="M573" s="80"/>
      <c r="N573" s="80"/>
      <c r="O573" s="80">
        <f t="shared" si="82"/>
        <v>0</v>
      </c>
      <c r="P573" s="80"/>
      <c r="Q573" s="80">
        <f t="shared" si="77"/>
        <v>118340</v>
      </c>
      <c r="R573" s="80">
        <f t="shared" si="78"/>
        <v>0</v>
      </c>
      <c r="S573" s="80">
        <f t="shared" si="79"/>
        <v>118340</v>
      </c>
    </row>
    <row r="574" spans="2:19" x14ac:dyDescent="0.2">
      <c r="B574" s="79">
        <f t="shared" si="80"/>
        <v>18</v>
      </c>
      <c r="C574" s="4"/>
      <c r="D574" s="4"/>
      <c r="E574" s="4"/>
      <c r="F574" s="112" t="s">
        <v>5</v>
      </c>
      <c r="G574" s="111">
        <v>636</v>
      </c>
      <c r="H574" s="111" t="s">
        <v>729</v>
      </c>
      <c r="I574" s="80">
        <v>6400</v>
      </c>
      <c r="J574" s="80"/>
      <c r="K574" s="80">
        <f t="shared" si="81"/>
        <v>6400</v>
      </c>
      <c r="L574" s="80"/>
      <c r="M574" s="80"/>
      <c r="N574" s="80"/>
      <c r="O574" s="80">
        <f t="shared" si="82"/>
        <v>0</v>
      </c>
      <c r="P574" s="80"/>
      <c r="Q574" s="80">
        <f t="shared" si="77"/>
        <v>6400</v>
      </c>
      <c r="R574" s="80">
        <f t="shared" si="78"/>
        <v>0</v>
      </c>
      <c r="S574" s="80">
        <f t="shared" si="79"/>
        <v>6400</v>
      </c>
    </row>
    <row r="575" spans="2:19" x14ac:dyDescent="0.2">
      <c r="B575" s="79">
        <f t="shared" si="80"/>
        <v>19</v>
      </c>
      <c r="C575" s="4"/>
      <c r="D575" s="4"/>
      <c r="E575" s="4"/>
      <c r="F575" s="112" t="s">
        <v>5</v>
      </c>
      <c r="G575" s="111">
        <v>637</v>
      </c>
      <c r="H575" s="111" t="s">
        <v>732</v>
      </c>
      <c r="I575" s="80">
        <v>1600</v>
      </c>
      <c r="J575" s="80"/>
      <c r="K575" s="80">
        <f t="shared" si="81"/>
        <v>1600</v>
      </c>
      <c r="L575" s="80"/>
      <c r="M575" s="80"/>
      <c r="N575" s="80"/>
      <c r="O575" s="80">
        <f t="shared" si="82"/>
        <v>0</v>
      </c>
      <c r="P575" s="80"/>
      <c r="Q575" s="80">
        <f t="shared" si="77"/>
        <v>1600</v>
      </c>
      <c r="R575" s="80">
        <f t="shared" si="78"/>
        <v>0</v>
      </c>
      <c r="S575" s="80">
        <f t="shared" si="79"/>
        <v>1600</v>
      </c>
    </row>
    <row r="576" spans="2:19" x14ac:dyDescent="0.2">
      <c r="B576" s="79">
        <f t="shared" si="80"/>
        <v>20</v>
      </c>
      <c r="C576" s="4"/>
      <c r="D576" s="4"/>
      <c r="E576" s="4"/>
      <c r="F576" s="112" t="s">
        <v>730</v>
      </c>
      <c r="G576" s="111">
        <v>637</v>
      </c>
      <c r="H576" s="111" t="s">
        <v>731</v>
      </c>
      <c r="I576" s="80">
        <v>850</v>
      </c>
      <c r="J576" s="80"/>
      <c r="K576" s="80">
        <f t="shared" si="81"/>
        <v>850</v>
      </c>
      <c r="L576" s="80"/>
      <c r="M576" s="80"/>
      <c r="N576" s="80"/>
      <c r="O576" s="80">
        <f t="shared" si="82"/>
        <v>0</v>
      </c>
      <c r="P576" s="80"/>
      <c r="Q576" s="80">
        <f t="shared" si="77"/>
        <v>850</v>
      </c>
      <c r="R576" s="80">
        <f t="shared" si="78"/>
        <v>0</v>
      </c>
      <c r="S576" s="80">
        <f t="shared" si="79"/>
        <v>850</v>
      </c>
    </row>
    <row r="577" spans="2:19" x14ac:dyDescent="0.2">
      <c r="B577" s="79">
        <f t="shared" si="80"/>
        <v>21</v>
      </c>
      <c r="C577" s="4"/>
      <c r="D577" s="4"/>
      <c r="E577" s="4"/>
      <c r="F577" s="56" t="s">
        <v>5</v>
      </c>
      <c r="G577" s="4">
        <v>637</v>
      </c>
      <c r="H577" s="4" t="s">
        <v>129</v>
      </c>
      <c r="I577" s="26">
        <v>2000</v>
      </c>
      <c r="J577" s="26"/>
      <c r="K577" s="26">
        <f t="shared" si="81"/>
        <v>2000</v>
      </c>
      <c r="L577" s="80"/>
      <c r="M577" s="26"/>
      <c r="N577" s="26"/>
      <c r="O577" s="26">
        <f t="shared" si="82"/>
        <v>0</v>
      </c>
      <c r="P577" s="80"/>
      <c r="Q577" s="26">
        <f t="shared" si="77"/>
        <v>2000</v>
      </c>
      <c r="R577" s="26">
        <f t="shared" si="78"/>
        <v>0</v>
      </c>
      <c r="S577" s="26">
        <f t="shared" si="79"/>
        <v>2000</v>
      </c>
    </row>
    <row r="578" spans="2:19" x14ac:dyDescent="0.2">
      <c r="B578" s="79">
        <f t="shared" si="80"/>
        <v>22</v>
      </c>
      <c r="C578" s="4"/>
      <c r="D578" s="4"/>
      <c r="E578" s="4"/>
      <c r="F578" s="56" t="s">
        <v>5</v>
      </c>
      <c r="G578" s="4">
        <v>637</v>
      </c>
      <c r="H578" s="4" t="s">
        <v>669</v>
      </c>
      <c r="I578" s="26">
        <f>5000-5000</f>
        <v>0</v>
      </c>
      <c r="J578" s="26"/>
      <c r="K578" s="26">
        <f t="shared" si="81"/>
        <v>0</v>
      </c>
      <c r="L578" s="80"/>
      <c r="M578" s="26"/>
      <c r="N578" s="26"/>
      <c r="O578" s="26">
        <f t="shared" si="82"/>
        <v>0</v>
      </c>
      <c r="P578" s="80"/>
      <c r="Q578" s="26">
        <f t="shared" si="77"/>
        <v>0</v>
      </c>
      <c r="R578" s="26">
        <f t="shared" si="78"/>
        <v>0</v>
      </c>
      <c r="S578" s="26">
        <f t="shared" si="79"/>
        <v>0</v>
      </c>
    </row>
    <row r="579" spans="2:19" x14ac:dyDescent="0.2">
      <c r="B579" s="79">
        <f t="shared" si="80"/>
        <v>23</v>
      </c>
      <c r="C579" s="4"/>
      <c r="D579" s="4"/>
      <c r="E579" s="4"/>
      <c r="F579" s="55" t="s">
        <v>5</v>
      </c>
      <c r="G579" s="15">
        <v>630</v>
      </c>
      <c r="H579" s="132" t="s">
        <v>542</v>
      </c>
      <c r="I579" s="133">
        <v>400</v>
      </c>
      <c r="J579" s="133"/>
      <c r="K579" s="133">
        <f t="shared" si="81"/>
        <v>400</v>
      </c>
      <c r="L579" s="126"/>
      <c r="M579" s="133"/>
      <c r="N579" s="133"/>
      <c r="O579" s="133">
        <f t="shared" si="82"/>
        <v>0</v>
      </c>
      <c r="P579" s="126"/>
      <c r="Q579" s="133">
        <f t="shared" si="77"/>
        <v>400</v>
      </c>
      <c r="R579" s="133">
        <f t="shared" si="78"/>
        <v>0</v>
      </c>
      <c r="S579" s="133">
        <f t="shared" si="79"/>
        <v>400</v>
      </c>
    </row>
    <row r="580" spans="2:19" x14ac:dyDescent="0.2">
      <c r="B580" s="79">
        <f t="shared" si="80"/>
        <v>24</v>
      </c>
      <c r="C580" s="4"/>
      <c r="D580" s="4"/>
      <c r="E580" s="4"/>
      <c r="F580" s="55" t="s">
        <v>5</v>
      </c>
      <c r="G580" s="15">
        <v>710</v>
      </c>
      <c r="H580" s="15" t="s">
        <v>184</v>
      </c>
      <c r="I580" s="52">
        <f>I581</f>
        <v>0</v>
      </c>
      <c r="J580" s="52">
        <f>J581</f>
        <v>0</v>
      </c>
      <c r="K580" s="52">
        <f t="shared" si="81"/>
        <v>0</v>
      </c>
      <c r="L580" s="126"/>
      <c r="M580" s="52">
        <f>M581</f>
        <v>84339</v>
      </c>
      <c r="N580" s="52">
        <f>N581</f>
        <v>0</v>
      </c>
      <c r="O580" s="52">
        <f t="shared" si="82"/>
        <v>84339</v>
      </c>
      <c r="P580" s="126"/>
      <c r="Q580" s="52">
        <f t="shared" si="77"/>
        <v>84339</v>
      </c>
      <c r="R580" s="52">
        <f t="shared" si="78"/>
        <v>0</v>
      </c>
      <c r="S580" s="52">
        <f t="shared" si="79"/>
        <v>84339</v>
      </c>
    </row>
    <row r="581" spans="2:19" x14ac:dyDescent="0.2">
      <c r="B581" s="79">
        <f t="shared" si="80"/>
        <v>25</v>
      </c>
      <c r="C581" s="4"/>
      <c r="D581" s="4"/>
      <c r="E581" s="4"/>
      <c r="F581" s="89" t="s">
        <v>5</v>
      </c>
      <c r="G581" s="90">
        <v>713</v>
      </c>
      <c r="H581" s="90" t="s">
        <v>4</v>
      </c>
      <c r="I581" s="91"/>
      <c r="J581" s="91"/>
      <c r="K581" s="91">
        <f t="shared" si="81"/>
        <v>0</v>
      </c>
      <c r="L581" s="80"/>
      <c r="M581" s="91">
        <f>M582</f>
        <v>84339</v>
      </c>
      <c r="N581" s="91">
        <f>N582</f>
        <v>0</v>
      </c>
      <c r="O581" s="91">
        <f t="shared" si="82"/>
        <v>84339</v>
      </c>
      <c r="P581" s="80"/>
      <c r="Q581" s="91">
        <f t="shared" si="77"/>
        <v>84339</v>
      </c>
      <c r="R581" s="91">
        <f t="shared" si="78"/>
        <v>0</v>
      </c>
      <c r="S581" s="91">
        <f t="shared" si="79"/>
        <v>84339</v>
      </c>
    </row>
    <row r="582" spans="2:19" x14ac:dyDescent="0.2">
      <c r="B582" s="79">
        <f t="shared" si="80"/>
        <v>26</v>
      </c>
      <c r="C582" s="4"/>
      <c r="D582" s="4"/>
      <c r="E582" s="4"/>
      <c r="F582" s="56"/>
      <c r="G582" s="4"/>
      <c r="H582" s="4" t="s">
        <v>733</v>
      </c>
      <c r="I582" s="26"/>
      <c r="J582" s="26"/>
      <c r="K582" s="26">
        <f t="shared" si="81"/>
        <v>0</v>
      </c>
      <c r="L582" s="80"/>
      <c r="M582" s="26">
        <v>84339</v>
      </c>
      <c r="N582" s="26"/>
      <c r="O582" s="26">
        <f t="shared" si="82"/>
        <v>84339</v>
      </c>
      <c r="P582" s="80"/>
      <c r="Q582" s="26">
        <f t="shared" si="77"/>
        <v>84339</v>
      </c>
      <c r="R582" s="26">
        <f t="shared" si="78"/>
        <v>0</v>
      </c>
      <c r="S582" s="26">
        <f t="shared" si="79"/>
        <v>84339</v>
      </c>
    </row>
    <row r="583" spans="2:19" ht="15" x14ac:dyDescent="0.25">
      <c r="B583" s="79">
        <f t="shared" si="80"/>
        <v>27</v>
      </c>
      <c r="C583" s="18"/>
      <c r="D583" s="18"/>
      <c r="E583" s="18">
        <v>2</v>
      </c>
      <c r="F583" s="53"/>
      <c r="G583" s="18"/>
      <c r="H583" s="18" t="s">
        <v>257</v>
      </c>
      <c r="I583" s="50">
        <f>I584+I585+I586+I592+I591</f>
        <v>98950</v>
      </c>
      <c r="J583" s="50">
        <f>J584+J585+J586+J592+J591</f>
        <v>0</v>
      </c>
      <c r="K583" s="50">
        <f t="shared" si="81"/>
        <v>98950</v>
      </c>
      <c r="L583" s="203"/>
      <c r="M583" s="50">
        <f>M584+M585+M586+M592</f>
        <v>105000</v>
      </c>
      <c r="N583" s="50">
        <f>N584+N585+N586+N592</f>
        <v>0</v>
      </c>
      <c r="O583" s="50">
        <f t="shared" si="82"/>
        <v>105000</v>
      </c>
      <c r="P583" s="203"/>
      <c r="Q583" s="50">
        <f t="shared" si="77"/>
        <v>203950</v>
      </c>
      <c r="R583" s="50">
        <f t="shared" si="78"/>
        <v>0</v>
      </c>
      <c r="S583" s="50">
        <f t="shared" si="79"/>
        <v>203950</v>
      </c>
    </row>
    <row r="584" spans="2:19" x14ac:dyDescent="0.2">
      <c r="B584" s="79">
        <f t="shared" si="80"/>
        <v>28</v>
      </c>
      <c r="C584" s="15"/>
      <c r="D584" s="15"/>
      <c r="E584" s="15"/>
      <c r="F584" s="55" t="s">
        <v>5</v>
      </c>
      <c r="G584" s="15">
        <v>610</v>
      </c>
      <c r="H584" s="15" t="s">
        <v>136</v>
      </c>
      <c r="I584" s="52">
        <f>19900+4000</f>
        <v>23900</v>
      </c>
      <c r="J584" s="52"/>
      <c r="K584" s="52">
        <f t="shared" si="81"/>
        <v>23900</v>
      </c>
      <c r="L584" s="126"/>
      <c r="M584" s="52"/>
      <c r="N584" s="52"/>
      <c r="O584" s="52">
        <f t="shared" si="82"/>
        <v>0</v>
      </c>
      <c r="P584" s="126"/>
      <c r="Q584" s="52">
        <f t="shared" si="77"/>
        <v>23900</v>
      </c>
      <c r="R584" s="52">
        <f t="shared" si="78"/>
        <v>0</v>
      </c>
      <c r="S584" s="52">
        <f t="shared" si="79"/>
        <v>23900</v>
      </c>
    </row>
    <row r="585" spans="2:19" x14ac:dyDescent="0.2">
      <c r="B585" s="79">
        <f t="shared" si="80"/>
        <v>29</v>
      </c>
      <c r="C585" s="15"/>
      <c r="D585" s="15"/>
      <c r="E585" s="15"/>
      <c r="F585" s="55" t="s">
        <v>5</v>
      </c>
      <c r="G585" s="15">
        <v>620</v>
      </c>
      <c r="H585" s="15" t="s">
        <v>131</v>
      </c>
      <c r="I585" s="52">
        <f>10900+1400</f>
        <v>12300</v>
      </c>
      <c r="J585" s="52"/>
      <c r="K585" s="52">
        <f t="shared" si="81"/>
        <v>12300</v>
      </c>
      <c r="L585" s="126"/>
      <c r="M585" s="52"/>
      <c r="N585" s="52"/>
      <c r="O585" s="52">
        <f t="shared" si="82"/>
        <v>0</v>
      </c>
      <c r="P585" s="126"/>
      <c r="Q585" s="52">
        <f t="shared" si="77"/>
        <v>12300</v>
      </c>
      <c r="R585" s="52">
        <f t="shared" si="78"/>
        <v>0</v>
      </c>
      <c r="S585" s="52">
        <f t="shared" si="79"/>
        <v>12300</v>
      </c>
    </row>
    <row r="586" spans="2:19" x14ac:dyDescent="0.2">
      <c r="B586" s="79">
        <f t="shared" si="80"/>
        <v>30</v>
      </c>
      <c r="C586" s="15"/>
      <c r="D586" s="15"/>
      <c r="E586" s="15"/>
      <c r="F586" s="55" t="s">
        <v>5</v>
      </c>
      <c r="G586" s="15">
        <v>630</v>
      </c>
      <c r="H586" s="15" t="s">
        <v>128</v>
      </c>
      <c r="I586" s="52">
        <f>I590+I589+I588+I587</f>
        <v>62650</v>
      </c>
      <c r="J586" s="52">
        <f>J590+J589+J588+J587</f>
        <v>0</v>
      </c>
      <c r="K586" s="52">
        <f t="shared" si="81"/>
        <v>62650</v>
      </c>
      <c r="L586" s="126"/>
      <c r="M586" s="52">
        <f>M590+M589+M588+M587</f>
        <v>0</v>
      </c>
      <c r="N586" s="52">
        <f>N590+N589+N588+N587</f>
        <v>0</v>
      </c>
      <c r="O586" s="52">
        <f t="shared" si="82"/>
        <v>0</v>
      </c>
      <c r="P586" s="126"/>
      <c r="Q586" s="52">
        <f t="shared" si="77"/>
        <v>62650</v>
      </c>
      <c r="R586" s="52">
        <f t="shared" si="78"/>
        <v>0</v>
      </c>
      <c r="S586" s="52">
        <f t="shared" si="79"/>
        <v>62650</v>
      </c>
    </row>
    <row r="587" spans="2:19" x14ac:dyDescent="0.2">
      <c r="B587" s="79">
        <f t="shared" si="80"/>
        <v>31</v>
      </c>
      <c r="C587" s="4"/>
      <c r="D587" s="4"/>
      <c r="E587" s="4"/>
      <c r="F587" s="56" t="s">
        <v>5</v>
      </c>
      <c r="G587" s="4">
        <v>633</v>
      </c>
      <c r="H587" s="4" t="s">
        <v>132</v>
      </c>
      <c r="I587" s="26">
        <f>35200-500</f>
        <v>34700</v>
      </c>
      <c r="J587" s="26"/>
      <c r="K587" s="26">
        <f t="shared" si="81"/>
        <v>34700</v>
      </c>
      <c r="L587" s="80"/>
      <c r="M587" s="26"/>
      <c r="N587" s="26"/>
      <c r="O587" s="26">
        <f t="shared" si="82"/>
        <v>0</v>
      </c>
      <c r="P587" s="80"/>
      <c r="Q587" s="26">
        <f t="shared" si="77"/>
        <v>34700</v>
      </c>
      <c r="R587" s="26">
        <f t="shared" si="78"/>
        <v>0</v>
      </c>
      <c r="S587" s="26">
        <f t="shared" si="79"/>
        <v>34700</v>
      </c>
    </row>
    <row r="588" spans="2:19" x14ac:dyDescent="0.2">
      <c r="B588" s="79">
        <f t="shared" si="80"/>
        <v>32</v>
      </c>
      <c r="C588" s="4"/>
      <c r="D588" s="4"/>
      <c r="E588" s="4"/>
      <c r="F588" s="56" t="s">
        <v>5</v>
      </c>
      <c r="G588" s="4">
        <v>634</v>
      </c>
      <c r="H588" s="4" t="s">
        <v>137</v>
      </c>
      <c r="I588" s="26">
        <v>8000</v>
      </c>
      <c r="J588" s="26"/>
      <c r="K588" s="26">
        <f t="shared" si="81"/>
        <v>8000</v>
      </c>
      <c r="L588" s="80"/>
      <c r="M588" s="26"/>
      <c r="N588" s="26"/>
      <c r="O588" s="26">
        <f t="shared" si="82"/>
        <v>0</v>
      </c>
      <c r="P588" s="80"/>
      <c r="Q588" s="26">
        <f t="shared" si="77"/>
        <v>8000</v>
      </c>
      <c r="R588" s="26">
        <f t="shared" si="78"/>
        <v>0</v>
      </c>
      <c r="S588" s="26">
        <f t="shared" si="79"/>
        <v>8000</v>
      </c>
    </row>
    <row r="589" spans="2:19" x14ac:dyDescent="0.2">
      <c r="B589" s="79">
        <f t="shared" si="80"/>
        <v>33</v>
      </c>
      <c r="C589" s="4"/>
      <c r="D589" s="4"/>
      <c r="E589" s="4"/>
      <c r="F589" s="56" t="s">
        <v>5</v>
      </c>
      <c r="G589" s="4">
        <v>635</v>
      </c>
      <c r="H589" s="4" t="s">
        <v>138</v>
      </c>
      <c r="I589" s="26">
        <v>500</v>
      </c>
      <c r="J589" s="26"/>
      <c r="K589" s="26">
        <f t="shared" si="81"/>
        <v>500</v>
      </c>
      <c r="L589" s="80"/>
      <c r="M589" s="26"/>
      <c r="N589" s="26"/>
      <c r="O589" s="26">
        <f t="shared" si="82"/>
        <v>0</v>
      </c>
      <c r="P589" s="80"/>
      <c r="Q589" s="26">
        <f t="shared" si="77"/>
        <v>500</v>
      </c>
      <c r="R589" s="26">
        <f t="shared" si="78"/>
        <v>0</v>
      </c>
      <c r="S589" s="26">
        <f t="shared" si="79"/>
        <v>500</v>
      </c>
    </row>
    <row r="590" spans="2:19" x14ac:dyDescent="0.2">
      <c r="B590" s="79">
        <f t="shared" si="80"/>
        <v>34</v>
      </c>
      <c r="C590" s="4"/>
      <c r="D590" s="4"/>
      <c r="E590" s="4"/>
      <c r="F590" s="56" t="s">
        <v>5</v>
      </c>
      <c r="G590" s="4">
        <v>637</v>
      </c>
      <c r="H590" s="4" t="s">
        <v>129</v>
      </c>
      <c r="I590" s="26">
        <f>13200-100-4150+500+10000</f>
        <v>19450</v>
      </c>
      <c r="J590" s="26"/>
      <c r="K590" s="26">
        <f t="shared" si="81"/>
        <v>19450</v>
      </c>
      <c r="L590" s="80"/>
      <c r="M590" s="26"/>
      <c r="N590" s="26"/>
      <c r="O590" s="26">
        <f t="shared" si="82"/>
        <v>0</v>
      </c>
      <c r="P590" s="80"/>
      <c r="Q590" s="26">
        <f t="shared" si="77"/>
        <v>19450</v>
      </c>
      <c r="R590" s="26">
        <f t="shared" si="78"/>
        <v>0</v>
      </c>
      <c r="S590" s="26">
        <f t="shared" si="79"/>
        <v>19450</v>
      </c>
    </row>
    <row r="591" spans="2:19" x14ac:dyDescent="0.2">
      <c r="B591" s="79">
        <f t="shared" si="80"/>
        <v>35</v>
      </c>
      <c r="C591" s="4"/>
      <c r="D591" s="4"/>
      <c r="E591" s="4"/>
      <c r="F591" s="106" t="s">
        <v>5</v>
      </c>
      <c r="G591" s="3">
        <v>640</v>
      </c>
      <c r="H591" s="3" t="s">
        <v>660</v>
      </c>
      <c r="I591" s="25">
        <v>100</v>
      </c>
      <c r="J591" s="25"/>
      <c r="K591" s="25">
        <f t="shared" si="81"/>
        <v>100</v>
      </c>
      <c r="L591" s="126"/>
      <c r="M591" s="25"/>
      <c r="N591" s="25"/>
      <c r="O591" s="25">
        <f t="shared" si="82"/>
        <v>0</v>
      </c>
      <c r="P591" s="126"/>
      <c r="Q591" s="25">
        <f t="shared" si="77"/>
        <v>100</v>
      </c>
      <c r="R591" s="25">
        <f t="shared" si="78"/>
        <v>0</v>
      </c>
      <c r="S591" s="25">
        <f t="shared" si="79"/>
        <v>100</v>
      </c>
    </row>
    <row r="592" spans="2:19" x14ac:dyDescent="0.2">
      <c r="B592" s="79">
        <f t="shared" si="80"/>
        <v>36</v>
      </c>
      <c r="C592" s="15"/>
      <c r="D592" s="15"/>
      <c r="E592" s="15"/>
      <c r="F592" s="55" t="s">
        <v>5</v>
      </c>
      <c r="G592" s="15">
        <v>710</v>
      </c>
      <c r="H592" s="15" t="s">
        <v>184</v>
      </c>
      <c r="I592" s="52">
        <f>I593</f>
        <v>0</v>
      </c>
      <c r="J592" s="52">
        <f>J593</f>
        <v>0</v>
      </c>
      <c r="K592" s="52">
        <f t="shared" si="81"/>
        <v>0</v>
      </c>
      <c r="L592" s="126"/>
      <c r="M592" s="52">
        <f>M593</f>
        <v>105000</v>
      </c>
      <c r="N592" s="52">
        <f>N593</f>
        <v>0</v>
      </c>
      <c r="O592" s="52">
        <f t="shared" si="82"/>
        <v>105000</v>
      </c>
      <c r="P592" s="126"/>
      <c r="Q592" s="52">
        <f t="shared" si="77"/>
        <v>105000</v>
      </c>
      <c r="R592" s="52">
        <f t="shared" si="78"/>
        <v>0</v>
      </c>
      <c r="S592" s="52">
        <f t="shared" si="79"/>
        <v>105000</v>
      </c>
    </row>
    <row r="593" spans="2:19" x14ac:dyDescent="0.2">
      <c r="B593" s="79">
        <f t="shared" si="80"/>
        <v>37</v>
      </c>
      <c r="C593" s="4"/>
      <c r="D593" s="4"/>
      <c r="E593" s="4"/>
      <c r="F593" s="89" t="s">
        <v>5</v>
      </c>
      <c r="G593" s="90">
        <v>714</v>
      </c>
      <c r="H593" s="90" t="s">
        <v>185</v>
      </c>
      <c r="I593" s="91"/>
      <c r="J593" s="91"/>
      <c r="K593" s="91">
        <f t="shared" si="81"/>
        <v>0</v>
      </c>
      <c r="L593" s="80"/>
      <c r="M593" s="91">
        <f>M594</f>
        <v>105000</v>
      </c>
      <c r="N593" s="91">
        <f>N594</f>
        <v>0</v>
      </c>
      <c r="O593" s="91">
        <f t="shared" si="82"/>
        <v>105000</v>
      </c>
      <c r="P593" s="80"/>
      <c r="Q593" s="91">
        <f t="shared" si="77"/>
        <v>105000</v>
      </c>
      <c r="R593" s="91">
        <f t="shared" si="78"/>
        <v>0</v>
      </c>
      <c r="S593" s="91">
        <f t="shared" si="79"/>
        <v>105000</v>
      </c>
    </row>
    <row r="594" spans="2:19" x14ac:dyDescent="0.2">
      <c r="B594" s="79">
        <f t="shared" si="80"/>
        <v>38</v>
      </c>
      <c r="C594" s="4"/>
      <c r="D594" s="4"/>
      <c r="E594" s="4"/>
      <c r="F594" s="56"/>
      <c r="G594" s="4"/>
      <c r="H594" s="4" t="s">
        <v>374</v>
      </c>
      <c r="I594" s="26"/>
      <c r="J594" s="26"/>
      <c r="K594" s="26">
        <f t="shared" si="81"/>
        <v>0</v>
      </c>
      <c r="L594" s="80"/>
      <c r="M594" s="26">
        <v>105000</v>
      </c>
      <c r="N594" s="26"/>
      <c r="O594" s="26">
        <f t="shared" si="82"/>
        <v>105000</v>
      </c>
      <c r="P594" s="80"/>
      <c r="Q594" s="26">
        <f t="shared" si="77"/>
        <v>105000</v>
      </c>
      <c r="R594" s="26">
        <f t="shared" si="78"/>
        <v>0</v>
      </c>
      <c r="S594" s="26">
        <f t="shared" si="79"/>
        <v>105000</v>
      </c>
    </row>
    <row r="595" spans="2:19" ht="15" x14ac:dyDescent="0.2">
      <c r="B595" s="79">
        <f t="shared" si="80"/>
        <v>39</v>
      </c>
      <c r="C595" s="191">
        <v>3</v>
      </c>
      <c r="D595" s="245" t="s">
        <v>10</v>
      </c>
      <c r="E595" s="246"/>
      <c r="F595" s="246"/>
      <c r="G595" s="246"/>
      <c r="H595" s="247"/>
      <c r="I595" s="48">
        <f>I596</f>
        <v>0</v>
      </c>
      <c r="J595" s="48">
        <f>J596</f>
        <v>0</v>
      </c>
      <c r="K595" s="48">
        <f t="shared" si="81"/>
        <v>0</v>
      </c>
      <c r="L595" s="201"/>
      <c r="M595" s="48">
        <f>M596+M693</f>
        <v>3306267</v>
      </c>
      <c r="N595" s="48">
        <f>N596+N693</f>
        <v>0</v>
      </c>
      <c r="O595" s="48">
        <f t="shared" si="82"/>
        <v>3306267</v>
      </c>
      <c r="P595" s="201"/>
      <c r="Q595" s="48">
        <f t="shared" si="77"/>
        <v>3306267</v>
      </c>
      <c r="R595" s="48">
        <f t="shared" si="78"/>
        <v>0</v>
      </c>
      <c r="S595" s="48">
        <f t="shared" si="79"/>
        <v>3306267</v>
      </c>
    </row>
    <row r="596" spans="2:19" x14ac:dyDescent="0.2">
      <c r="B596" s="79">
        <f t="shared" si="80"/>
        <v>40</v>
      </c>
      <c r="C596" s="15"/>
      <c r="D596" s="15"/>
      <c r="E596" s="15"/>
      <c r="F596" s="55" t="s">
        <v>5</v>
      </c>
      <c r="G596" s="15">
        <v>710</v>
      </c>
      <c r="H596" s="15" t="s">
        <v>184</v>
      </c>
      <c r="I596" s="52">
        <f>I631+I599</f>
        <v>0</v>
      </c>
      <c r="J596" s="52">
        <f>J631+J599</f>
        <v>0</v>
      </c>
      <c r="K596" s="52"/>
      <c r="L596" s="126"/>
      <c r="M596" s="52">
        <f>M631+M599+M597</f>
        <v>3027591</v>
      </c>
      <c r="N596" s="52">
        <f>N631+N599+N597</f>
        <v>0</v>
      </c>
      <c r="O596" s="52">
        <f t="shared" si="82"/>
        <v>3027591</v>
      </c>
      <c r="P596" s="126"/>
      <c r="Q596" s="52">
        <f>I596+M596+Q597</f>
        <v>3047591</v>
      </c>
      <c r="R596" s="52">
        <f t="shared" ref="R596:S596" si="83">J596+N596+R597</f>
        <v>0</v>
      </c>
      <c r="S596" s="52">
        <f t="shared" si="83"/>
        <v>3047591</v>
      </c>
    </row>
    <row r="597" spans="2:19" x14ac:dyDescent="0.2">
      <c r="B597" s="79">
        <f t="shared" si="80"/>
        <v>41</v>
      </c>
      <c r="C597" s="15"/>
      <c r="D597" s="15"/>
      <c r="E597" s="15"/>
      <c r="F597" s="89" t="s">
        <v>5</v>
      </c>
      <c r="G597" s="90">
        <v>712</v>
      </c>
      <c r="H597" s="90" t="s">
        <v>244</v>
      </c>
      <c r="I597" s="91"/>
      <c r="J597" s="91"/>
      <c r="K597" s="91"/>
      <c r="L597" s="80"/>
      <c r="M597" s="91">
        <f>M598</f>
        <v>20000</v>
      </c>
      <c r="N597" s="91">
        <f>N598</f>
        <v>0</v>
      </c>
      <c r="O597" s="91">
        <f t="shared" si="82"/>
        <v>20000</v>
      </c>
      <c r="P597" s="80"/>
      <c r="Q597" s="91">
        <f>Q598</f>
        <v>20000</v>
      </c>
      <c r="R597" s="91">
        <f t="shared" ref="R597:S597" si="84">R598</f>
        <v>0</v>
      </c>
      <c r="S597" s="91">
        <f t="shared" si="84"/>
        <v>20000</v>
      </c>
    </row>
    <row r="598" spans="2:19" x14ac:dyDescent="0.2">
      <c r="B598" s="79">
        <f t="shared" si="80"/>
        <v>42</v>
      </c>
      <c r="C598" s="15"/>
      <c r="D598" s="15"/>
      <c r="E598" s="15"/>
      <c r="F598" s="55"/>
      <c r="G598" s="15"/>
      <c r="H598" s="64" t="s">
        <v>604</v>
      </c>
      <c r="I598" s="52"/>
      <c r="J598" s="52"/>
      <c r="K598" s="52"/>
      <c r="L598" s="126"/>
      <c r="M598" s="62">
        <v>20000</v>
      </c>
      <c r="N598" s="62"/>
      <c r="O598" s="62">
        <f t="shared" si="82"/>
        <v>20000</v>
      </c>
      <c r="P598" s="80"/>
      <c r="Q598" s="62">
        <f>M598</f>
        <v>20000</v>
      </c>
      <c r="R598" s="62">
        <f t="shared" ref="R598:S598" si="85">N598</f>
        <v>0</v>
      </c>
      <c r="S598" s="62">
        <f t="shared" si="85"/>
        <v>20000</v>
      </c>
    </row>
    <row r="599" spans="2:19" x14ac:dyDescent="0.2">
      <c r="B599" s="79">
        <f t="shared" si="80"/>
        <v>43</v>
      </c>
      <c r="C599" s="4"/>
      <c r="D599" s="4"/>
      <c r="E599" s="4"/>
      <c r="F599" s="89" t="s">
        <v>5</v>
      </c>
      <c r="G599" s="90">
        <v>716</v>
      </c>
      <c r="H599" s="90" t="s">
        <v>0</v>
      </c>
      <c r="I599" s="91"/>
      <c r="J599" s="91"/>
      <c r="K599" s="91"/>
      <c r="L599" s="80"/>
      <c r="M599" s="91">
        <f>SUM(M600:M630)</f>
        <v>276346</v>
      </c>
      <c r="N599" s="91">
        <f>SUM(N600:N630)</f>
        <v>0</v>
      </c>
      <c r="O599" s="91">
        <f t="shared" si="82"/>
        <v>276346</v>
      </c>
      <c r="P599" s="80"/>
      <c r="Q599" s="91">
        <f t="shared" si="77"/>
        <v>276346</v>
      </c>
      <c r="R599" s="91">
        <f t="shared" ref="R599:R674" si="86">J599+N599</f>
        <v>0</v>
      </c>
      <c r="S599" s="91">
        <f t="shared" ref="S599:S674" si="87">K599+O599</f>
        <v>276346</v>
      </c>
    </row>
    <row r="600" spans="2:19" x14ac:dyDescent="0.2">
      <c r="B600" s="79">
        <f t="shared" si="80"/>
        <v>44</v>
      </c>
      <c r="C600" s="4"/>
      <c r="D600" s="4"/>
      <c r="E600" s="4"/>
      <c r="F600" s="56"/>
      <c r="G600" s="4"/>
      <c r="H600" s="4" t="s">
        <v>443</v>
      </c>
      <c r="I600" s="26"/>
      <c r="J600" s="26"/>
      <c r="K600" s="26"/>
      <c r="L600" s="80"/>
      <c r="M600" s="26">
        <v>150000</v>
      </c>
      <c r="N600" s="26"/>
      <c r="O600" s="26">
        <f t="shared" si="82"/>
        <v>150000</v>
      </c>
      <c r="P600" s="80"/>
      <c r="Q600" s="26">
        <f t="shared" si="77"/>
        <v>150000</v>
      </c>
      <c r="R600" s="26">
        <f t="shared" si="86"/>
        <v>0</v>
      </c>
      <c r="S600" s="26">
        <f t="shared" si="87"/>
        <v>150000</v>
      </c>
    </row>
    <row r="601" spans="2:19" x14ac:dyDescent="0.2">
      <c r="B601" s="79">
        <f t="shared" si="80"/>
        <v>45</v>
      </c>
      <c r="C601" s="4"/>
      <c r="D601" s="4"/>
      <c r="E601" s="4"/>
      <c r="F601" s="56"/>
      <c r="G601" s="4"/>
      <c r="H601" s="4" t="s">
        <v>473</v>
      </c>
      <c r="I601" s="26"/>
      <c r="J601" s="26"/>
      <c r="K601" s="26"/>
      <c r="L601" s="80"/>
      <c r="M601" s="26">
        <f>10000+20000+20000</f>
        <v>50000</v>
      </c>
      <c r="N601" s="26"/>
      <c r="O601" s="26">
        <f t="shared" si="82"/>
        <v>50000</v>
      </c>
      <c r="P601" s="80"/>
      <c r="Q601" s="26">
        <f t="shared" si="77"/>
        <v>50000</v>
      </c>
      <c r="R601" s="26">
        <f t="shared" si="86"/>
        <v>0</v>
      </c>
      <c r="S601" s="26">
        <f t="shared" si="87"/>
        <v>50000</v>
      </c>
    </row>
    <row r="602" spans="2:19" x14ac:dyDescent="0.2">
      <c r="B602" s="79">
        <f t="shared" si="80"/>
        <v>46</v>
      </c>
      <c r="C602" s="4"/>
      <c r="D602" s="4"/>
      <c r="E602" s="4"/>
      <c r="F602" s="56"/>
      <c r="G602" s="4"/>
      <c r="H602" s="4" t="s">
        <v>483</v>
      </c>
      <c r="I602" s="26"/>
      <c r="J602" s="26"/>
      <c r="K602" s="26"/>
      <c r="L602" s="80"/>
      <c r="M602" s="26">
        <v>3500</v>
      </c>
      <c r="N602" s="26"/>
      <c r="O602" s="26">
        <f t="shared" si="82"/>
        <v>3500</v>
      </c>
      <c r="P602" s="80"/>
      <c r="Q602" s="26">
        <f t="shared" si="77"/>
        <v>3500</v>
      </c>
      <c r="R602" s="26">
        <f t="shared" si="86"/>
        <v>0</v>
      </c>
      <c r="S602" s="26">
        <f t="shared" si="87"/>
        <v>3500</v>
      </c>
    </row>
    <row r="603" spans="2:19" x14ac:dyDescent="0.2">
      <c r="B603" s="79">
        <f t="shared" si="80"/>
        <v>47</v>
      </c>
      <c r="C603" s="4"/>
      <c r="D603" s="4"/>
      <c r="E603" s="4"/>
      <c r="F603" s="56"/>
      <c r="G603" s="4"/>
      <c r="H603" s="4" t="s">
        <v>482</v>
      </c>
      <c r="I603" s="26"/>
      <c r="J603" s="26"/>
      <c r="K603" s="26"/>
      <c r="L603" s="80"/>
      <c r="M603" s="26">
        <v>3000</v>
      </c>
      <c r="N603" s="26"/>
      <c r="O603" s="26">
        <f t="shared" si="82"/>
        <v>3000</v>
      </c>
      <c r="P603" s="80"/>
      <c r="Q603" s="26">
        <f t="shared" si="77"/>
        <v>3000</v>
      </c>
      <c r="R603" s="26">
        <f t="shared" si="86"/>
        <v>0</v>
      </c>
      <c r="S603" s="26">
        <f t="shared" si="87"/>
        <v>3000</v>
      </c>
    </row>
    <row r="604" spans="2:19" x14ac:dyDescent="0.2">
      <c r="B604" s="79">
        <f t="shared" si="80"/>
        <v>48</v>
      </c>
      <c r="C604" s="4"/>
      <c r="D604" s="4"/>
      <c r="E604" s="4"/>
      <c r="F604" s="56"/>
      <c r="G604" s="4"/>
      <c r="H604" s="4" t="s">
        <v>522</v>
      </c>
      <c r="I604" s="26"/>
      <c r="J604" s="26"/>
      <c r="K604" s="26"/>
      <c r="L604" s="80"/>
      <c r="M604" s="26">
        <v>2000</v>
      </c>
      <c r="N604" s="26"/>
      <c r="O604" s="26">
        <f t="shared" si="82"/>
        <v>2000</v>
      </c>
      <c r="P604" s="80"/>
      <c r="Q604" s="26">
        <f t="shared" si="77"/>
        <v>2000</v>
      </c>
      <c r="R604" s="26">
        <f t="shared" si="86"/>
        <v>0</v>
      </c>
      <c r="S604" s="26">
        <f t="shared" si="87"/>
        <v>2000</v>
      </c>
    </row>
    <row r="605" spans="2:19" x14ac:dyDescent="0.2">
      <c r="B605" s="79">
        <f t="shared" si="80"/>
        <v>49</v>
      </c>
      <c r="C605" s="4"/>
      <c r="D605" s="4"/>
      <c r="E605" s="4"/>
      <c r="F605" s="56"/>
      <c r="G605" s="4"/>
      <c r="H605" s="4" t="s">
        <v>441</v>
      </c>
      <c r="I605" s="26"/>
      <c r="J605" s="26"/>
      <c r="K605" s="26"/>
      <c r="L605" s="80"/>
      <c r="M605" s="26">
        <v>1100</v>
      </c>
      <c r="N605" s="26"/>
      <c r="O605" s="26">
        <f t="shared" si="82"/>
        <v>1100</v>
      </c>
      <c r="P605" s="80"/>
      <c r="Q605" s="26">
        <f t="shared" si="77"/>
        <v>1100</v>
      </c>
      <c r="R605" s="26">
        <f t="shared" si="86"/>
        <v>0</v>
      </c>
      <c r="S605" s="26">
        <f t="shared" si="87"/>
        <v>1100</v>
      </c>
    </row>
    <row r="606" spans="2:19" x14ac:dyDescent="0.2">
      <c r="B606" s="79">
        <f t="shared" si="80"/>
        <v>50</v>
      </c>
      <c r="C606" s="4"/>
      <c r="D606" s="4"/>
      <c r="E606" s="4"/>
      <c r="F606" s="56"/>
      <c r="G606" s="4"/>
      <c r="H606" s="4" t="s">
        <v>486</v>
      </c>
      <c r="I606" s="26"/>
      <c r="J606" s="26"/>
      <c r="K606" s="26"/>
      <c r="L606" s="80"/>
      <c r="M606" s="26">
        <v>750</v>
      </c>
      <c r="N606" s="26"/>
      <c r="O606" s="26">
        <f t="shared" si="82"/>
        <v>750</v>
      </c>
      <c r="P606" s="80"/>
      <c r="Q606" s="26">
        <f t="shared" si="77"/>
        <v>750</v>
      </c>
      <c r="R606" s="26">
        <f t="shared" si="86"/>
        <v>0</v>
      </c>
      <c r="S606" s="26">
        <f t="shared" si="87"/>
        <v>750</v>
      </c>
    </row>
    <row r="607" spans="2:19" x14ac:dyDescent="0.2">
      <c r="B607" s="79">
        <f t="shared" si="80"/>
        <v>51</v>
      </c>
      <c r="C607" s="4"/>
      <c r="D607" s="4"/>
      <c r="E607" s="4"/>
      <c r="F607" s="56"/>
      <c r="G607" s="4"/>
      <c r="H607" s="4" t="s">
        <v>639</v>
      </c>
      <c r="I607" s="26"/>
      <c r="J607" s="26"/>
      <c r="K607" s="26"/>
      <c r="L607" s="80"/>
      <c r="M607" s="26">
        <v>250</v>
      </c>
      <c r="N607" s="26"/>
      <c r="O607" s="26">
        <f t="shared" si="82"/>
        <v>250</v>
      </c>
      <c r="P607" s="80"/>
      <c r="Q607" s="26">
        <f t="shared" si="77"/>
        <v>250</v>
      </c>
      <c r="R607" s="26">
        <f t="shared" si="86"/>
        <v>0</v>
      </c>
      <c r="S607" s="26">
        <f t="shared" si="87"/>
        <v>250</v>
      </c>
    </row>
    <row r="608" spans="2:19" x14ac:dyDescent="0.2">
      <c r="B608" s="79">
        <f t="shared" si="80"/>
        <v>52</v>
      </c>
      <c r="C608" s="4"/>
      <c r="D608" s="4"/>
      <c r="E608" s="4"/>
      <c r="F608" s="56"/>
      <c r="G608" s="4"/>
      <c r="H608" s="4" t="s">
        <v>648</v>
      </c>
      <c r="I608" s="26"/>
      <c r="J608" s="26"/>
      <c r="K608" s="26"/>
      <c r="L608" s="80"/>
      <c r="M608" s="26">
        <v>6000</v>
      </c>
      <c r="N608" s="26"/>
      <c r="O608" s="26">
        <f t="shared" si="82"/>
        <v>6000</v>
      </c>
      <c r="P608" s="80"/>
      <c r="Q608" s="26">
        <f t="shared" si="77"/>
        <v>6000</v>
      </c>
      <c r="R608" s="26">
        <f t="shared" si="86"/>
        <v>0</v>
      </c>
      <c r="S608" s="26">
        <f t="shared" si="87"/>
        <v>6000</v>
      </c>
    </row>
    <row r="609" spans="2:19" x14ac:dyDescent="0.2">
      <c r="B609" s="79">
        <f t="shared" si="80"/>
        <v>53</v>
      </c>
      <c r="C609" s="82"/>
      <c r="D609" s="82"/>
      <c r="E609" s="82"/>
      <c r="F609" s="83"/>
      <c r="G609" s="82"/>
      <c r="H609" s="154" t="s">
        <v>566</v>
      </c>
      <c r="I609" s="150"/>
      <c r="J609" s="150"/>
      <c r="K609" s="150"/>
      <c r="L609" s="166"/>
      <c r="M609" s="150">
        <v>1000</v>
      </c>
      <c r="N609" s="150"/>
      <c r="O609" s="150">
        <f t="shared" si="82"/>
        <v>1000</v>
      </c>
      <c r="P609" s="166"/>
      <c r="Q609" s="150">
        <f t="shared" si="77"/>
        <v>1000</v>
      </c>
      <c r="R609" s="150">
        <f t="shared" si="86"/>
        <v>0</v>
      </c>
      <c r="S609" s="150">
        <f t="shared" si="87"/>
        <v>1000</v>
      </c>
    </row>
    <row r="610" spans="2:19" ht="24" x14ac:dyDescent="0.2">
      <c r="B610" s="79">
        <f t="shared" si="80"/>
        <v>54</v>
      </c>
      <c r="C610" s="82"/>
      <c r="D610" s="82"/>
      <c r="E610" s="82"/>
      <c r="F610" s="83"/>
      <c r="G610" s="82"/>
      <c r="H610" s="155" t="s">
        <v>567</v>
      </c>
      <c r="I610" s="150"/>
      <c r="J610" s="150"/>
      <c r="K610" s="150"/>
      <c r="L610" s="166"/>
      <c r="M610" s="150">
        <f>1500+4800</f>
        <v>6300</v>
      </c>
      <c r="N610" s="150"/>
      <c r="O610" s="150">
        <f t="shared" si="82"/>
        <v>6300</v>
      </c>
      <c r="P610" s="166"/>
      <c r="Q610" s="150">
        <f t="shared" si="77"/>
        <v>6300</v>
      </c>
      <c r="R610" s="150">
        <f t="shared" si="86"/>
        <v>0</v>
      </c>
      <c r="S610" s="150">
        <f t="shared" si="87"/>
        <v>6300</v>
      </c>
    </row>
    <row r="611" spans="2:19" ht="24" x14ac:dyDescent="0.2">
      <c r="B611" s="79">
        <f t="shared" si="80"/>
        <v>55</v>
      </c>
      <c r="C611" s="82"/>
      <c r="D611" s="82"/>
      <c r="E611" s="82"/>
      <c r="F611" s="83"/>
      <c r="G611" s="82"/>
      <c r="H611" s="155" t="s">
        <v>568</v>
      </c>
      <c r="I611" s="150"/>
      <c r="J611" s="150"/>
      <c r="K611" s="150"/>
      <c r="L611" s="166"/>
      <c r="M611" s="150">
        <v>750</v>
      </c>
      <c r="N611" s="150"/>
      <c r="O611" s="150">
        <f t="shared" si="82"/>
        <v>750</v>
      </c>
      <c r="P611" s="166"/>
      <c r="Q611" s="150">
        <f t="shared" si="77"/>
        <v>750</v>
      </c>
      <c r="R611" s="150">
        <f t="shared" si="86"/>
        <v>0</v>
      </c>
      <c r="S611" s="150">
        <f t="shared" si="87"/>
        <v>750</v>
      </c>
    </row>
    <row r="612" spans="2:19" x14ac:dyDescent="0.2">
      <c r="B612" s="79">
        <f t="shared" si="80"/>
        <v>56</v>
      </c>
      <c r="C612" s="82"/>
      <c r="D612" s="82"/>
      <c r="E612" s="82"/>
      <c r="F612" s="83"/>
      <c r="G612" s="82"/>
      <c r="H612" s="154" t="s">
        <v>569</v>
      </c>
      <c r="I612" s="150"/>
      <c r="J612" s="150"/>
      <c r="K612" s="150"/>
      <c r="L612" s="166"/>
      <c r="M612" s="150">
        <f>750+300</f>
        <v>1050</v>
      </c>
      <c r="N612" s="150"/>
      <c r="O612" s="150">
        <f t="shared" si="82"/>
        <v>1050</v>
      </c>
      <c r="P612" s="166"/>
      <c r="Q612" s="150">
        <f t="shared" si="77"/>
        <v>1050</v>
      </c>
      <c r="R612" s="150">
        <f t="shared" si="86"/>
        <v>0</v>
      </c>
      <c r="S612" s="150">
        <f t="shared" si="87"/>
        <v>1050</v>
      </c>
    </row>
    <row r="613" spans="2:19" x14ac:dyDescent="0.2">
      <c r="B613" s="79">
        <f t="shared" si="80"/>
        <v>57</v>
      </c>
      <c r="C613" s="82"/>
      <c r="D613" s="82"/>
      <c r="E613" s="82"/>
      <c r="F613" s="83"/>
      <c r="G613" s="82"/>
      <c r="H613" s="154" t="s">
        <v>570</v>
      </c>
      <c r="I613" s="150"/>
      <c r="J613" s="150"/>
      <c r="K613" s="150"/>
      <c r="L613" s="166"/>
      <c r="M613" s="150">
        <v>750</v>
      </c>
      <c r="N613" s="150"/>
      <c r="O613" s="150">
        <f t="shared" si="82"/>
        <v>750</v>
      </c>
      <c r="P613" s="166"/>
      <c r="Q613" s="150">
        <f t="shared" si="77"/>
        <v>750</v>
      </c>
      <c r="R613" s="150">
        <f t="shared" si="86"/>
        <v>0</v>
      </c>
      <c r="S613" s="150">
        <f t="shared" si="87"/>
        <v>750</v>
      </c>
    </row>
    <row r="614" spans="2:19" x14ac:dyDescent="0.2">
      <c r="B614" s="79">
        <f t="shared" si="80"/>
        <v>58</v>
      </c>
      <c r="C614" s="82"/>
      <c r="D614" s="82"/>
      <c r="E614" s="82"/>
      <c r="F614" s="83"/>
      <c r="G614" s="82"/>
      <c r="H614" s="154" t="s">
        <v>757</v>
      </c>
      <c r="I614" s="150"/>
      <c r="J614" s="150"/>
      <c r="K614" s="150"/>
      <c r="L614" s="166"/>
      <c r="M614" s="150">
        <v>500</v>
      </c>
      <c r="N614" s="150"/>
      <c r="O614" s="150">
        <f t="shared" si="82"/>
        <v>500</v>
      </c>
      <c r="P614" s="166"/>
      <c r="Q614" s="150">
        <f t="shared" si="77"/>
        <v>500</v>
      </c>
      <c r="R614" s="150">
        <f t="shared" si="86"/>
        <v>0</v>
      </c>
      <c r="S614" s="150">
        <f t="shared" si="87"/>
        <v>500</v>
      </c>
    </row>
    <row r="615" spans="2:19" ht="24" x14ac:dyDescent="0.2">
      <c r="B615" s="79">
        <f t="shared" si="80"/>
        <v>59</v>
      </c>
      <c r="C615" s="82"/>
      <c r="D615" s="82"/>
      <c r="E615" s="82"/>
      <c r="F615" s="83"/>
      <c r="G615" s="82"/>
      <c r="H615" s="156" t="s">
        <v>560</v>
      </c>
      <c r="I615" s="143"/>
      <c r="J615" s="143"/>
      <c r="K615" s="143"/>
      <c r="L615" s="166"/>
      <c r="M615" s="143">
        <v>4200</v>
      </c>
      <c r="N615" s="143"/>
      <c r="O615" s="143">
        <f t="shared" si="82"/>
        <v>4200</v>
      </c>
      <c r="P615" s="166"/>
      <c r="Q615" s="143">
        <f t="shared" si="77"/>
        <v>4200</v>
      </c>
      <c r="R615" s="143">
        <f t="shared" si="86"/>
        <v>0</v>
      </c>
      <c r="S615" s="143">
        <f t="shared" si="87"/>
        <v>4200</v>
      </c>
    </row>
    <row r="616" spans="2:19" ht="36" x14ac:dyDescent="0.2">
      <c r="B616" s="79">
        <f t="shared" si="80"/>
        <v>60</v>
      </c>
      <c r="C616" s="82"/>
      <c r="D616" s="82"/>
      <c r="E616" s="82"/>
      <c r="F616" s="83"/>
      <c r="G616" s="82"/>
      <c r="H616" s="156" t="s">
        <v>563</v>
      </c>
      <c r="I616" s="143"/>
      <c r="J616" s="143"/>
      <c r="K616" s="143"/>
      <c r="L616" s="166"/>
      <c r="M616" s="143">
        <v>4200</v>
      </c>
      <c r="N616" s="143"/>
      <c r="O616" s="143">
        <f t="shared" si="82"/>
        <v>4200</v>
      </c>
      <c r="P616" s="166"/>
      <c r="Q616" s="143">
        <f t="shared" si="77"/>
        <v>4200</v>
      </c>
      <c r="R616" s="143">
        <f t="shared" si="86"/>
        <v>0</v>
      </c>
      <c r="S616" s="143">
        <f t="shared" si="87"/>
        <v>4200</v>
      </c>
    </row>
    <row r="617" spans="2:19" x14ac:dyDescent="0.2">
      <c r="B617" s="79">
        <f t="shared" si="80"/>
        <v>61</v>
      </c>
      <c r="C617" s="82"/>
      <c r="D617" s="82"/>
      <c r="E617" s="82"/>
      <c r="F617" s="83"/>
      <c r="G617" s="82"/>
      <c r="H617" s="156" t="s">
        <v>701</v>
      </c>
      <c r="I617" s="143"/>
      <c r="J617" s="143"/>
      <c r="K617" s="143"/>
      <c r="L617" s="166"/>
      <c r="M617" s="143">
        <v>3500</v>
      </c>
      <c r="N617" s="143"/>
      <c r="O617" s="143">
        <f t="shared" si="82"/>
        <v>3500</v>
      </c>
      <c r="P617" s="166"/>
      <c r="Q617" s="143">
        <f t="shared" si="77"/>
        <v>3500</v>
      </c>
      <c r="R617" s="143">
        <f t="shared" si="86"/>
        <v>0</v>
      </c>
      <c r="S617" s="143">
        <f t="shared" si="87"/>
        <v>3500</v>
      </c>
    </row>
    <row r="618" spans="2:19" ht="48" x14ac:dyDescent="0.2">
      <c r="B618" s="79">
        <f t="shared" si="80"/>
        <v>62</v>
      </c>
      <c r="C618" s="82"/>
      <c r="D618" s="82"/>
      <c r="E618" s="82"/>
      <c r="F618" s="83"/>
      <c r="G618" s="82"/>
      <c r="H618" s="84" t="s">
        <v>514</v>
      </c>
      <c r="I618" s="66"/>
      <c r="J618" s="66"/>
      <c r="K618" s="66"/>
      <c r="L618" s="166"/>
      <c r="M618" s="66">
        <v>600</v>
      </c>
      <c r="N618" s="66"/>
      <c r="O618" s="66">
        <f t="shared" si="82"/>
        <v>600</v>
      </c>
      <c r="P618" s="166"/>
      <c r="Q618" s="66">
        <f t="shared" si="77"/>
        <v>600</v>
      </c>
      <c r="R618" s="66">
        <f t="shared" si="86"/>
        <v>0</v>
      </c>
      <c r="S618" s="66">
        <f t="shared" si="87"/>
        <v>600</v>
      </c>
    </row>
    <row r="619" spans="2:19" x14ac:dyDescent="0.2">
      <c r="B619" s="79">
        <f t="shared" si="80"/>
        <v>63</v>
      </c>
      <c r="C619" s="82"/>
      <c r="D619" s="82"/>
      <c r="E619" s="82"/>
      <c r="F619" s="83"/>
      <c r="G619" s="82"/>
      <c r="H619" s="82" t="s">
        <v>515</v>
      </c>
      <c r="I619" s="66"/>
      <c r="J619" s="66"/>
      <c r="K619" s="66"/>
      <c r="L619" s="166"/>
      <c r="M619" s="66">
        <v>400</v>
      </c>
      <c r="N619" s="66"/>
      <c r="O619" s="66">
        <f t="shared" si="82"/>
        <v>400</v>
      </c>
      <c r="P619" s="166"/>
      <c r="Q619" s="66">
        <f t="shared" si="77"/>
        <v>400</v>
      </c>
      <c r="R619" s="66">
        <f t="shared" si="86"/>
        <v>0</v>
      </c>
      <c r="S619" s="66">
        <f t="shared" si="87"/>
        <v>400</v>
      </c>
    </row>
    <row r="620" spans="2:19" ht="24" x14ac:dyDescent="0.2">
      <c r="B620" s="79">
        <f t="shared" si="80"/>
        <v>64</v>
      </c>
      <c r="C620" s="82"/>
      <c r="D620" s="82"/>
      <c r="E620" s="82"/>
      <c r="F620" s="83"/>
      <c r="G620" s="82"/>
      <c r="H620" s="157" t="s">
        <v>587</v>
      </c>
      <c r="I620" s="152"/>
      <c r="J620" s="152"/>
      <c r="K620" s="152"/>
      <c r="L620" s="166"/>
      <c r="M620" s="152">
        <v>600</v>
      </c>
      <c r="N620" s="152"/>
      <c r="O620" s="152">
        <f t="shared" si="82"/>
        <v>600</v>
      </c>
      <c r="P620" s="166"/>
      <c r="Q620" s="152">
        <f t="shared" si="77"/>
        <v>600</v>
      </c>
      <c r="R620" s="152">
        <f t="shared" si="86"/>
        <v>0</v>
      </c>
      <c r="S620" s="152">
        <f t="shared" si="87"/>
        <v>600</v>
      </c>
    </row>
    <row r="621" spans="2:19" x14ac:dyDescent="0.2">
      <c r="B621" s="79">
        <f t="shared" si="80"/>
        <v>65</v>
      </c>
      <c r="C621" s="4"/>
      <c r="D621" s="4"/>
      <c r="E621" s="4"/>
      <c r="F621" s="56"/>
      <c r="G621" s="4"/>
      <c r="H621" s="4" t="s">
        <v>523</v>
      </c>
      <c r="I621" s="26"/>
      <c r="J621" s="26"/>
      <c r="K621" s="26"/>
      <c r="L621" s="80"/>
      <c r="M621" s="26">
        <f>10000+5696</f>
        <v>15696</v>
      </c>
      <c r="N621" s="26"/>
      <c r="O621" s="26">
        <f t="shared" si="82"/>
        <v>15696</v>
      </c>
      <c r="P621" s="80"/>
      <c r="Q621" s="26">
        <f t="shared" si="77"/>
        <v>15696</v>
      </c>
      <c r="R621" s="26">
        <f t="shared" si="86"/>
        <v>0</v>
      </c>
      <c r="S621" s="26">
        <f t="shared" si="87"/>
        <v>15696</v>
      </c>
    </row>
    <row r="622" spans="2:19" x14ac:dyDescent="0.2">
      <c r="B622" s="79">
        <f t="shared" ref="B622:B685" si="88">B621+1</f>
        <v>66</v>
      </c>
      <c r="C622" s="4"/>
      <c r="D622" s="4"/>
      <c r="E622" s="4"/>
      <c r="F622" s="56"/>
      <c r="G622" s="4"/>
      <c r="H622" s="4" t="s">
        <v>524</v>
      </c>
      <c r="I622" s="26"/>
      <c r="J622" s="26"/>
      <c r="K622" s="26"/>
      <c r="L622" s="80"/>
      <c r="M622" s="26">
        <v>3500</v>
      </c>
      <c r="N622" s="26"/>
      <c r="O622" s="26">
        <f t="shared" ref="O622:O685" si="89">M622+N622</f>
        <v>3500</v>
      </c>
      <c r="P622" s="80"/>
      <c r="Q622" s="26">
        <f t="shared" si="77"/>
        <v>3500</v>
      </c>
      <c r="R622" s="26">
        <f t="shared" si="86"/>
        <v>0</v>
      </c>
      <c r="S622" s="26">
        <f t="shared" si="87"/>
        <v>3500</v>
      </c>
    </row>
    <row r="623" spans="2:19" x14ac:dyDescent="0.2">
      <c r="B623" s="79">
        <f t="shared" si="88"/>
        <v>67</v>
      </c>
      <c r="C623" s="4"/>
      <c r="D623" s="4"/>
      <c r="E623" s="4"/>
      <c r="F623" s="56"/>
      <c r="G623" s="4"/>
      <c r="H623" s="4" t="s">
        <v>525</v>
      </c>
      <c r="I623" s="26"/>
      <c r="J623" s="26"/>
      <c r="K623" s="26"/>
      <c r="L623" s="80"/>
      <c r="M623" s="26">
        <v>5000</v>
      </c>
      <c r="N623" s="26"/>
      <c r="O623" s="26">
        <f t="shared" si="89"/>
        <v>5000</v>
      </c>
      <c r="P623" s="80"/>
      <c r="Q623" s="26">
        <f t="shared" si="77"/>
        <v>5000</v>
      </c>
      <c r="R623" s="26">
        <f t="shared" si="86"/>
        <v>0</v>
      </c>
      <c r="S623" s="26">
        <f t="shared" si="87"/>
        <v>5000</v>
      </c>
    </row>
    <row r="624" spans="2:19" x14ac:dyDescent="0.2">
      <c r="B624" s="79">
        <f t="shared" si="88"/>
        <v>68</v>
      </c>
      <c r="C624" s="4"/>
      <c r="D624" s="4"/>
      <c r="E624" s="4"/>
      <c r="F624" s="56"/>
      <c r="G624" s="4"/>
      <c r="H624" s="4" t="s">
        <v>557</v>
      </c>
      <c r="I624" s="26"/>
      <c r="J624" s="26"/>
      <c r="K624" s="26"/>
      <c r="L624" s="80"/>
      <c r="M624" s="26">
        <v>1700</v>
      </c>
      <c r="N624" s="26"/>
      <c r="O624" s="26">
        <f t="shared" si="89"/>
        <v>1700</v>
      </c>
      <c r="P624" s="80"/>
      <c r="Q624" s="26">
        <f t="shared" si="77"/>
        <v>1700</v>
      </c>
      <c r="R624" s="26">
        <f t="shared" si="86"/>
        <v>0</v>
      </c>
      <c r="S624" s="26">
        <f t="shared" si="87"/>
        <v>1700</v>
      </c>
    </row>
    <row r="625" spans="2:19" x14ac:dyDescent="0.2">
      <c r="B625" s="79">
        <f t="shared" si="88"/>
        <v>69</v>
      </c>
      <c r="C625" s="4"/>
      <c r="D625" s="4"/>
      <c r="E625" s="4"/>
      <c r="F625" s="56"/>
      <c r="G625" s="4"/>
      <c r="H625" s="129" t="s">
        <v>543</v>
      </c>
      <c r="I625" s="128"/>
      <c r="J625" s="128"/>
      <c r="K625" s="128"/>
      <c r="L625" s="80"/>
      <c r="M625" s="128">
        <v>600</v>
      </c>
      <c r="N625" s="128"/>
      <c r="O625" s="128">
        <f t="shared" si="89"/>
        <v>600</v>
      </c>
      <c r="P625" s="80"/>
      <c r="Q625" s="128">
        <f t="shared" si="77"/>
        <v>600</v>
      </c>
      <c r="R625" s="128">
        <f t="shared" si="86"/>
        <v>0</v>
      </c>
      <c r="S625" s="128">
        <f t="shared" si="87"/>
        <v>600</v>
      </c>
    </row>
    <row r="626" spans="2:19" x14ac:dyDescent="0.2">
      <c r="B626" s="79">
        <f t="shared" si="88"/>
        <v>70</v>
      </c>
      <c r="C626" s="4"/>
      <c r="D626" s="4"/>
      <c r="E626" s="4"/>
      <c r="F626" s="56"/>
      <c r="G626" s="4"/>
      <c r="H626" s="130" t="s">
        <v>638</v>
      </c>
      <c r="I626" s="131"/>
      <c r="J626" s="131"/>
      <c r="K626" s="131"/>
      <c r="L626" s="166"/>
      <c r="M626" s="131">
        <v>2350</v>
      </c>
      <c r="N626" s="131"/>
      <c r="O626" s="131">
        <f t="shared" si="89"/>
        <v>2350</v>
      </c>
      <c r="P626" s="166"/>
      <c r="Q626" s="131">
        <f t="shared" si="77"/>
        <v>2350</v>
      </c>
      <c r="R626" s="131">
        <f t="shared" si="86"/>
        <v>0</v>
      </c>
      <c r="S626" s="131">
        <f t="shared" si="87"/>
        <v>2350</v>
      </c>
    </row>
    <row r="627" spans="2:19" ht="24" x14ac:dyDescent="0.2">
      <c r="B627" s="79">
        <f t="shared" si="88"/>
        <v>71</v>
      </c>
      <c r="C627" s="4"/>
      <c r="D627" s="4"/>
      <c r="E627" s="4"/>
      <c r="F627" s="56"/>
      <c r="G627" s="4"/>
      <c r="H627" s="165" t="s">
        <v>661</v>
      </c>
      <c r="I627" s="166"/>
      <c r="J627" s="166"/>
      <c r="K627" s="166"/>
      <c r="L627" s="166"/>
      <c r="M627" s="166">
        <v>2000</v>
      </c>
      <c r="N627" s="166"/>
      <c r="O627" s="166">
        <f t="shared" si="89"/>
        <v>2000</v>
      </c>
      <c r="P627" s="166"/>
      <c r="Q627" s="166">
        <f t="shared" si="77"/>
        <v>2000</v>
      </c>
      <c r="R627" s="166">
        <f t="shared" si="86"/>
        <v>0</v>
      </c>
      <c r="S627" s="166">
        <f t="shared" si="87"/>
        <v>2000</v>
      </c>
    </row>
    <row r="628" spans="2:19" ht="24" x14ac:dyDescent="0.2">
      <c r="B628" s="79">
        <f t="shared" si="88"/>
        <v>72</v>
      </c>
      <c r="C628" s="4"/>
      <c r="D628" s="4"/>
      <c r="E628" s="4"/>
      <c r="F628" s="56"/>
      <c r="G628" s="4"/>
      <c r="H628" s="165" t="s">
        <v>690</v>
      </c>
      <c r="I628" s="166"/>
      <c r="J628" s="166"/>
      <c r="K628" s="166"/>
      <c r="L628" s="166"/>
      <c r="M628" s="166">
        <v>1200</v>
      </c>
      <c r="N628" s="166"/>
      <c r="O628" s="166">
        <f t="shared" si="89"/>
        <v>1200</v>
      </c>
      <c r="P628" s="166"/>
      <c r="Q628" s="166">
        <f t="shared" si="77"/>
        <v>1200</v>
      </c>
      <c r="R628" s="166">
        <f t="shared" si="86"/>
        <v>0</v>
      </c>
      <c r="S628" s="166">
        <f t="shared" si="87"/>
        <v>1200</v>
      </c>
    </row>
    <row r="629" spans="2:19" x14ac:dyDescent="0.2">
      <c r="B629" s="79">
        <f t="shared" si="88"/>
        <v>73</v>
      </c>
      <c r="C629" s="4"/>
      <c r="D629" s="4"/>
      <c r="E629" s="4"/>
      <c r="F629" s="56"/>
      <c r="G629" s="4"/>
      <c r="H629" s="165" t="s">
        <v>722</v>
      </c>
      <c r="I629" s="166"/>
      <c r="J629" s="166"/>
      <c r="K629" s="166"/>
      <c r="L629" s="166"/>
      <c r="M629" s="166">
        <v>3000</v>
      </c>
      <c r="N629" s="166"/>
      <c r="O629" s="166">
        <f t="shared" si="89"/>
        <v>3000</v>
      </c>
      <c r="P629" s="166"/>
      <c r="Q629" s="166">
        <f t="shared" si="77"/>
        <v>3000</v>
      </c>
      <c r="R629" s="166">
        <f t="shared" si="86"/>
        <v>0</v>
      </c>
      <c r="S629" s="166">
        <f t="shared" si="87"/>
        <v>3000</v>
      </c>
    </row>
    <row r="630" spans="2:19" x14ac:dyDescent="0.2">
      <c r="B630" s="79">
        <f t="shared" si="88"/>
        <v>74</v>
      </c>
      <c r="C630" s="4"/>
      <c r="D630" s="4"/>
      <c r="E630" s="4"/>
      <c r="F630" s="56"/>
      <c r="G630" s="4"/>
      <c r="H630" s="165" t="s">
        <v>752</v>
      </c>
      <c r="I630" s="166"/>
      <c r="J630" s="166"/>
      <c r="K630" s="166"/>
      <c r="L630" s="166"/>
      <c r="M630" s="166">
        <v>850</v>
      </c>
      <c r="N630" s="166"/>
      <c r="O630" s="166">
        <f t="shared" si="89"/>
        <v>850</v>
      </c>
      <c r="P630" s="166"/>
      <c r="Q630" s="166">
        <f t="shared" si="77"/>
        <v>850</v>
      </c>
      <c r="R630" s="166">
        <f t="shared" si="86"/>
        <v>0</v>
      </c>
      <c r="S630" s="166">
        <f t="shared" si="87"/>
        <v>850</v>
      </c>
    </row>
    <row r="631" spans="2:19" x14ac:dyDescent="0.2">
      <c r="B631" s="79">
        <f t="shared" si="88"/>
        <v>75</v>
      </c>
      <c r="C631" s="4"/>
      <c r="D631" s="4"/>
      <c r="E631" s="4"/>
      <c r="F631" s="89" t="s">
        <v>5</v>
      </c>
      <c r="G631" s="90">
        <v>717</v>
      </c>
      <c r="H631" s="90" t="s">
        <v>194</v>
      </c>
      <c r="I631" s="91"/>
      <c r="J631" s="91"/>
      <c r="K631" s="91"/>
      <c r="L631" s="80"/>
      <c r="M631" s="91">
        <f>SUM(M632:M692)</f>
        <v>2731245</v>
      </c>
      <c r="N631" s="91">
        <f>SUM(N632:N692)</f>
        <v>0</v>
      </c>
      <c r="O631" s="91">
        <f t="shared" si="89"/>
        <v>2731245</v>
      </c>
      <c r="P631" s="80"/>
      <c r="Q631" s="91">
        <f t="shared" si="77"/>
        <v>2731245</v>
      </c>
      <c r="R631" s="91">
        <f t="shared" si="86"/>
        <v>0</v>
      </c>
      <c r="S631" s="91">
        <f t="shared" si="87"/>
        <v>2731245</v>
      </c>
    </row>
    <row r="632" spans="2:19" x14ac:dyDescent="0.2">
      <c r="B632" s="79">
        <f t="shared" si="88"/>
        <v>76</v>
      </c>
      <c r="C632" s="4"/>
      <c r="D632" s="4"/>
      <c r="E632" s="4"/>
      <c r="F632" s="56"/>
      <c r="G632" s="4"/>
      <c r="H632" s="4" t="s">
        <v>469</v>
      </c>
      <c r="I632" s="26"/>
      <c r="J632" s="26"/>
      <c r="K632" s="26"/>
      <c r="L632" s="80"/>
      <c r="M632" s="26">
        <f>54988+35000-25000</f>
        <v>64988</v>
      </c>
      <c r="N632" s="26"/>
      <c r="O632" s="26">
        <f t="shared" si="89"/>
        <v>64988</v>
      </c>
      <c r="P632" s="80"/>
      <c r="Q632" s="26">
        <f t="shared" si="77"/>
        <v>64988</v>
      </c>
      <c r="R632" s="26">
        <f t="shared" si="86"/>
        <v>0</v>
      </c>
      <c r="S632" s="26">
        <f t="shared" si="87"/>
        <v>64988</v>
      </c>
    </row>
    <row r="633" spans="2:19" x14ac:dyDescent="0.2">
      <c r="B633" s="79">
        <f t="shared" si="88"/>
        <v>77</v>
      </c>
      <c r="C633" s="4"/>
      <c r="D633" s="4"/>
      <c r="E633" s="4"/>
      <c r="F633" s="56"/>
      <c r="G633" s="4"/>
      <c r="H633" s="4" t="s">
        <v>474</v>
      </c>
      <c r="I633" s="26"/>
      <c r="J633" s="26"/>
      <c r="K633" s="26"/>
      <c r="L633" s="80"/>
      <c r="M633" s="26">
        <f>290675+7000-297675</f>
        <v>0</v>
      </c>
      <c r="N633" s="26"/>
      <c r="O633" s="26">
        <f t="shared" si="89"/>
        <v>0</v>
      </c>
      <c r="P633" s="80"/>
      <c r="Q633" s="26">
        <f t="shared" ref="Q633:Q696" si="90">I633+M633</f>
        <v>0</v>
      </c>
      <c r="R633" s="26">
        <f t="shared" si="86"/>
        <v>0</v>
      </c>
      <c r="S633" s="26">
        <f t="shared" si="87"/>
        <v>0</v>
      </c>
    </row>
    <row r="634" spans="2:19" x14ac:dyDescent="0.2">
      <c r="B634" s="79">
        <f t="shared" si="88"/>
        <v>78</v>
      </c>
      <c r="C634" s="4"/>
      <c r="D634" s="4"/>
      <c r="E634" s="4"/>
      <c r="F634" s="56"/>
      <c r="G634" s="4"/>
      <c r="H634" s="4" t="s">
        <v>641</v>
      </c>
      <c r="I634" s="26"/>
      <c r="J634" s="26"/>
      <c r="K634" s="26"/>
      <c r="L634" s="80"/>
      <c r="M634" s="26">
        <f>82549+750</f>
        <v>83299</v>
      </c>
      <c r="N634" s="26"/>
      <c r="O634" s="26">
        <f t="shared" si="89"/>
        <v>83299</v>
      </c>
      <c r="P634" s="80"/>
      <c r="Q634" s="26">
        <f t="shared" si="90"/>
        <v>83299</v>
      </c>
      <c r="R634" s="26">
        <f t="shared" si="86"/>
        <v>0</v>
      </c>
      <c r="S634" s="26">
        <f t="shared" si="87"/>
        <v>83299</v>
      </c>
    </row>
    <row r="635" spans="2:19" x14ac:dyDescent="0.2">
      <c r="B635" s="79">
        <f t="shared" si="88"/>
        <v>79</v>
      </c>
      <c r="C635" s="4"/>
      <c r="D635" s="4"/>
      <c r="E635" s="4"/>
      <c r="F635" s="56"/>
      <c r="G635" s="4"/>
      <c r="H635" s="4" t="s">
        <v>509</v>
      </c>
      <c r="I635" s="26"/>
      <c r="J635" s="26"/>
      <c r="K635" s="26"/>
      <c r="L635" s="80"/>
      <c r="M635" s="26">
        <f>200000-20000+100000+10000</f>
        <v>290000</v>
      </c>
      <c r="N635" s="26"/>
      <c r="O635" s="26">
        <f t="shared" si="89"/>
        <v>290000</v>
      </c>
      <c r="P635" s="80"/>
      <c r="Q635" s="26">
        <f t="shared" si="90"/>
        <v>290000</v>
      </c>
      <c r="R635" s="26">
        <f t="shared" si="86"/>
        <v>0</v>
      </c>
      <c r="S635" s="26">
        <f t="shared" si="87"/>
        <v>290000</v>
      </c>
    </row>
    <row r="636" spans="2:19" x14ac:dyDescent="0.2">
      <c r="B636" s="79">
        <f t="shared" si="88"/>
        <v>80</v>
      </c>
      <c r="C636" s="4"/>
      <c r="D636" s="4"/>
      <c r="E636" s="4"/>
      <c r="F636" s="56"/>
      <c r="G636" s="4"/>
      <c r="H636" s="4" t="s">
        <v>436</v>
      </c>
      <c r="I636" s="26"/>
      <c r="J636" s="26"/>
      <c r="K636" s="26"/>
      <c r="L636" s="80"/>
      <c r="M636" s="26">
        <f>50000-25000-25000</f>
        <v>0</v>
      </c>
      <c r="N636" s="26"/>
      <c r="O636" s="26">
        <f t="shared" si="89"/>
        <v>0</v>
      </c>
      <c r="P636" s="80"/>
      <c r="Q636" s="26">
        <f t="shared" si="90"/>
        <v>0</v>
      </c>
      <c r="R636" s="26">
        <f t="shared" si="86"/>
        <v>0</v>
      </c>
      <c r="S636" s="26">
        <f t="shared" si="87"/>
        <v>0</v>
      </c>
    </row>
    <row r="637" spans="2:19" x14ac:dyDescent="0.2">
      <c r="B637" s="79">
        <f t="shared" si="88"/>
        <v>81</v>
      </c>
      <c r="C637" s="4"/>
      <c r="D637" s="4"/>
      <c r="E637" s="4"/>
      <c r="F637" s="56"/>
      <c r="G637" s="4"/>
      <c r="H637" s="4" t="s">
        <v>439</v>
      </c>
      <c r="I637" s="26"/>
      <c r="J637" s="26"/>
      <c r="K637" s="26"/>
      <c r="L637" s="80"/>
      <c r="M637" s="26">
        <f>170000-20000-53560</f>
        <v>96440</v>
      </c>
      <c r="N637" s="26"/>
      <c r="O637" s="26">
        <f t="shared" si="89"/>
        <v>96440</v>
      </c>
      <c r="P637" s="80"/>
      <c r="Q637" s="26">
        <f t="shared" si="90"/>
        <v>96440</v>
      </c>
      <c r="R637" s="26">
        <f t="shared" si="86"/>
        <v>0</v>
      </c>
      <c r="S637" s="26">
        <f t="shared" si="87"/>
        <v>96440</v>
      </c>
    </row>
    <row r="638" spans="2:19" x14ac:dyDescent="0.2">
      <c r="B638" s="79">
        <f t="shared" si="88"/>
        <v>82</v>
      </c>
      <c r="C638" s="4"/>
      <c r="D638" s="4"/>
      <c r="E638" s="4"/>
      <c r="F638" s="56"/>
      <c r="G638" s="4"/>
      <c r="H638" s="4" t="s">
        <v>440</v>
      </c>
      <c r="I638" s="26"/>
      <c r="J638" s="26"/>
      <c r="K638" s="26"/>
      <c r="L638" s="80"/>
      <c r="M638" s="26">
        <f>15000-7000+4000</f>
        <v>12000</v>
      </c>
      <c r="N638" s="26"/>
      <c r="O638" s="26">
        <f t="shared" si="89"/>
        <v>12000</v>
      </c>
      <c r="P638" s="80"/>
      <c r="Q638" s="26">
        <f t="shared" si="90"/>
        <v>12000</v>
      </c>
      <c r="R638" s="26">
        <f t="shared" si="86"/>
        <v>0</v>
      </c>
      <c r="S638" s="26">
        <f t="shared" si="87"/>
        <v>12000</v>
      </c>
    </row>
    <row r="639" spans="2:19" x14ac:dyDescent="0.2">
      <c r="B639" s="79">
        <f t="shared" si="88"/>
        <v>83</v>
      </c>
      <c r="C639" s="4"/>
      <c r="D639" s="4"/>
      <c r="E639" s="4"/>
      <c r="F639" s="56"/>
      <c r="G639" s="4"/>
      <c r="H639" s="4" t="s">
        <v>448</v>
      </c>
      <c r="I639" s="26"/>
      <c r="J639" s="26"/>
      <c r="K639" s="26"/>
      <c r="L639" s="80"/>
      <c r="M639" s="26">
        <f>86899+27000</f>
        <v>113899</v>
      </c>
      <c r="N639" s="26"/>
      <c r="O639" s="26">
        <f t="shared" si="89"/>
        <v>113899</v>
      </c>
      <c r="P639" s="80"/>
      <c r="Q639" s="26">
        <f t="shared" si="90"/>
        <v>113899</v>
      </c>
      <c r="R639" s="26">
        <f t="shared" si="86"/>
        <v>0</v>
      </c>
      <c r="S639" s="26">
        <f t="shared" si="87"/>
        <v>113899</v>
      </c>
    </row>
    <row r="640" spans="2:19" x14ac:dyDescent="0.2">
      <c r="B640" s="79">
        <f t="shared" si="88"/>
        <v>84</v>
      </c>
      <c r="C640" s="4"/>
      <c r="D640" s="4"/>
      <c r="E640" s="4"/>
      <c r="F640" s="56"/>
      <c r="G640" s="4"/>
      <c r="H640" s="4" t="s">
        <v>431</v>
      </c>
      <c r="I640" s="26"/>
      <c r="J640" s="26"/>
      <c r="K640" s="26"/>
      <c r="L640" s="80"/>
      <c r="M640" s="26">
        <f>50000+40000-250+42050</f>
        <v>131800</v>
      </c>
      <c r="N640" s="26"/>
      <c r="O640" s="26">
        <f t="shared" si="89"/>
        <v>131800</v>
      </c>
      <c r="P640" s="80"/>
      <c r="Q640" s="26">
        <f t="shared" si="90"/>
        <v>131800</v>
      </c>
      <c r="R640" s="26">
        <f t="shared" si="86"/>
        <v>0</v>
      </c>
      <c r="S640" s="26">
        <f t="shared" si="87"/>
        <v>131800</v>
      </c>
    </row>
    <row r="641" spans="2:19" x14ac:dyDescent="0.2">
      <c r="B641" s="79">
        <f t="shared" si="88"/>
        <v>85</v>
      </c>
      <c r="C641" s="4"/>
      <c r="D641" s="4"/>
      <c r="E641" s="4"/>
      <c r="F641" s="56"/>
      <c r="G641" s="4"/>
      <c r="H641" s="4" t="s">
        <v>452</v>
      </c>
      <c r="I641" s="26"/>
      <c r="J641" s="26"/>
      <c r="K641" s="26"/>
      <c r="L641" s="80"/>
      <c r="M641" s="26">
        <f>60000-1700+21700</f>
        <v>80000</v>
      </c>
      <c r="N641" s="26"/>
      <c r="O641" s="26">
        <f t="shared" si="89"/>
        <v>80000</v>
      </c>
      <c r="P641" s="80"/>
      <c r="Q641" s="26">
        <f t="shared" si="90"/>
        <v>80000</v>
      </c>
      <c r="R641" s="26">
        <f t="shared" si="86"/>
        <v>0</v>
      </c>
      <c r="S641" s="26">
        <f t="shared" si="87"/>
        <v>80000</v>
      </c>
    </row>
    <row r="642" spans="2:19" x14ac:dyDescent="0.2">
      <c r="B642" s="79">
        <f t="shared" si="88"/>
        <v>86</v>
      </c>
      <c r="C642" s="4"/>
      <c r="D642" s="4"/>
      <c r="E642" s="4"/>
      <c r="F642" s="56"/>
      <c r="G642" s="4"/>
      <c r="H642" s="185" t="s">
        <v>723</v>
      </c>
      <c r="I642" s="140"/>
      <c r="J642" s="140"/>
      <c r="K642" s="140"/>
      <c r="L642" s="80"/>
      <c r="M642" s="140">
        <f>12000-5000+5980</f>
        <v>12980</v>
      </c>
      <c r="N642" s="140"/>
      <c r="O642" s="140">
        <f t="shared" si="89"/>
        <v>12980</v>
      </c>
      <c r="P642" s="80"/>
      <c r="Q642" s="140">
        <f t="shared" si="90"/>
        <v>12980</v>
      </c>
      <c r="R642" s="140">
        <f t="shared" si="86"/>
        <v>0</v>
      </c>
      <c r="S642" s="140">
        <f t="shared" si="87"/>
        <v>12980</v>
      </c>
    </row>
    <row r="643" spans="2:19" x14ac:dyDescent="0.2">
      <c r="B643" s="79">
        <f t="shared" si="88"/>
        <v>87</v>
      </c>
      <c r="C643" s="4"/>
      <c r="D643" s="4"/>
      <c r="E643" s="4"/>
      <c r="F643" s="56"/>
      <c r="G643" s="4"/>
      <c r="H643" s="4" t="s">
        <v>441</v>
      </c>
      <c r="I643" s="26"/>
      <c r="J643" s="26"/>
      <c r="K643" s="26"/>
      <c r="L643" s="80"/>
      <c r="M643" s="26">
        <f>18000-5000-1100</f>
        <v>11900</v>
      </c>
      <c r="N643" s="26"/>
      <c r="O643" s="26">
        <f t="shared" si="89"/>
        <v>11900</v>
      </c>
      <c r="P643" s="80"/>
      <c r="Q643" s="26">
        <f t="shared" si="90"/>
        <v>11900</v>
      </c>
      <c r="R643" s="26">
        <f t="shared" si="86"/>
        <v>0</v>
      </c>
      <c r="S643" s="26">
        <f t="shared" si="87"/>
        <v>11900</v>
      </c>
    </row>
    <row r="644" spans="2:19" x14ac:dyDescent="0.2">
      <c r="B644" s="79">
        <f t="shared" si="88"/>
        <v>88</v>
      </c>
      <c r="C644" s="4"/>
      <c r="D644" s="4"/>
      <c r="E644" s="4"/>
      <c r="F644" s="56"/>
      <c r="G644" s="4"/>
      <c r="H644" s="4" t="s">
        <v>486</v>
      </c>
      <c r="I644" s="26"/>
      <c r="J644" s="26"/>
      <c r="K644" s="26"/>
      <c r="L644" s="80"/>
      <c r="M644" s="26">
        <f>4000+5300-750</f>
        <v>8550</v>
      </c>
      <c r="N644" s="26"/>
      <c r="O644" s="26">
        <f t="shared" si="89"/>
        <v>8550</v>
      </c>
      <c r="P644" s="80"/>
      <c r="Q644" s="26">
        <f t="shared" si="90"/>
        <v>8550</v>
      </c>
      <c r="R644" s="26">
        <f t="shared" si="86"/>
        <v>0</v>
      </c>
      <c r="S644" s="26">
        <f t="shared" si="87"/>
        <v>8550</v>
      </c>
    </row>
    <row r="645" spans="2:19" x14ac:dyDescent="0.2">
      <c r="B645" s="79">
        <f t="shared" si="88"/>
        <v>89</v>
      </c>
      <c r="C645" s="4"/>
      <c r="D645" s="4"/>
      <c r="E645" s="4"/>
      <c r="F645" s="56"/>
      <c r="G645" s="4"/>
      <c r="H645" s="4" t="s">
        <v>449</v>
      </c>
      <c r="I645" s="26"/>
      <c r="J645" s="26"/>
      <c r="K645" s="26"/>
      <c r="L645" s="80"/>
      <c r="M645" s="26">
        <f>17026+6000+6500</f>
        <v>29526</v>
      </c>
      <c r="N645" s="26"/>
      <c r="O645" s="26">
        <f t="shared" si="89"/>
        <v>29526</v>
      </c>
      <c r="P645" s="80"/>
      <c r="Q645" s="26">
        <f t="shared" si="90"/>
        <v>29526</v>
      </c>
      <c r="R645" s="26">
        <f t="shared" si="86"/>
        <v>0</v>
      </c>
      <c r="S645" s="26">
        <f t="shared" si="87"/>
        <v>29526</v>
      </c>
    </row>
    <row r="646" spans="2:19" x14ac:dyDescent="0.2">
      <c r="B646" s="79">
        <f t="shared" si="88"/>
        <v>90</v>
      </c>
      <c r="C646" s="4"/>
      <c r="D646" s="4"/>
      <c r="E646" s="4"/>
      <c r="F646" s="56"/>
      <c r="G646" s="4"/>
      <c r="H646" s="65" t="s">
        <v>454</v>
      </c>
      <c r="I646" s="26"/>
      <c r="J646" s="26"/>
      <c r="K646" s="26"/>
      <c r="L646" s="80"/>
      <c r="M646" s="26">
        <v>39414</v>
      </c>
      <c r="N646" s="26"/>
      <c r="O646" s="26">
        <f t="shared" si="89"/>
        <v>39414</v>
      </c>
      <c r="P646" s="80"/>
      <c r="Q646" s="26">
        <f t="shared" si="90"/>
        <v>39414</v>
      </c>
      <c r="R646" s="26">
        <f t="shared" si="86"/>
        <v>0</v>
      </c>
      <c r="S646" s="26">
        <f t="shared" si="87"/>
        <v>39414</v>
      </c>
    </row>
    <row r="647" spans="2:19" ht="33.75" x14ac:dyDescent="0.2">
      <c r="B647" s="79">
        <f t="shared" si="88"/>
        <v>91</v>
      </c>
      <c r="C647" s="82"/>
      <c r="D647" s="82"/>
      <c r="E647" s="82"/>
      <c r="F647" s="83"/>
      <c r="G647" s="82"/>
      <c r="H647" s="67" t="s">
        <v>455</v>
      </c>
      <c r="I647" s="66"/>
      <c r="J647" s="66"/>
      <c r="K647" s="66"/>
      <c r="L647" s="166"/>
      <c r="M647" s="66">
        <v>4000</v>
      </c>
      <c r="N647" s="66"/>
      <c r="O647" s="66">
        <f t="shared" si="89"/>
        <v>4000</v>
      </c>
      <c r="P647" s="166"/>
      <c r="Q647" s="66">
        <f t="shared" si="90"/>
        <v>4000</v>
      </c>
      <c r="R647" s="66">
        <f t="shared" si="86"/>
        <v>0</v>
      </c>
      <c r="S647" s="66">
        <f t="shared" si="87"/>
        <v>4000</v>
      </c>
    </row>
    <row r="648" spans="2:19" x14ac:dyDescent="0.2">
      <c r="B648" s="79">
        <f t="shared" si="88"/>
        <v>92</v>
      </c>
      <c r="C648" s="4"/>
      <c r="D648" s="4"/>
      <c r="E648" s="4"/>
      <c r="F648" s="56"/>
      <c r="G648" s="4"/>
      <c r="H648" s="65" t="s">
        <v>450</v>
      </c>
      <c r="I648" s="26"/>
      <c r="J648" s="26"/>
      <c r="K648" s="26"/>
      <c r="L648" s="80"/>
      <c r="M648" s="26">
        <f>132435+59600</f>
        <v>192035</v>
      </c>
      <c r="N648" s="26"/>
      <c r="O648" s="26">
        <f t="shared" si="89"/>
        <v>192035</v>
      </c>
      <c r="P648" s="80"/>
      <c r="Q648" s="26">
        <f t="shared" si="90"/>
        <v>192035</v>
      </c>
      <c r="R648" s="26">
        <f t="shared" si="86"/>
        <v>0</v>
      </c>
      <c r="S648" s="26">
        <f t="shared" si="87"/>
        <v>192035</v>
      </c>
    </row>
    <row r="649" spans="2:19" x14ac:dyDescent="0.2">
      <c r="B649" s="79">
        <f t="shared" si="88"/>
        <v>93</v>
      </c>
      <c r="C649" s="4"/>
      <c r="D649" s="4"/>
      <c r="E649" s="4"/>
      <c r="F649" s="56"/>
      <c r="G649" s="4"/>
      <c r="H649" s="141" t="s">
        <v>559</v>
      </c>
      <c r="I649" s="140"/>
      <c r="J649" s="140"/>
      <c r="K649" s="140"/>
      <c r="L649" s="80"/>
      <c r="M649" s="140">
        <f>47000-1160</f>
        <v>45840</v>
      </c>
      <c r="N649" s="140"/>
      <c r="O649" s="140">
        <f t="shared" si="89"/>
        <v>45840</v>
      </c>
      <c r="P649" s="80"/>
      <c r="Q649" s="140">
        <f t="shared" si="90"/>
        <v>45840</v>
      </c>
      <c r="R649" s="140">
        <f t="shared" si="86"/>
        <v>0</v>
      </c>
      <c r="S649" s="140">
        <f t="shared" si="87"/>
        <v>45840</v>
      </c>
    </row>
    <row r="650" spans="2:19" x14ac:dyDescent="0.2">
      <c r="B650" s="79">
        <f t="shared" si="88"/>
        <v>94</v>
      </c>
      <c r="C650" s="4"/>
      <c r="D650" s="4"/>
      <c r="E650" s="4"/>
      <c r="F650" s="56"/>
      <c r="G650" s="4"/>
      <c r="H650" s="141" t="s">
        <v>561</v>
      </c>
      <c r="I650" s="140"/>
      <c r="J650" s="140"/>
      <c r="K650" s="140"/>
      <c r="L650" s="80"/>
      <c r="M650" s="140">
        <v>12000</v>
      </c>
      <c r="N650" s="140"/>
      <c r="O650" s="140">
        <f t="shared" si="89"/>
        <v>12000</v>
      </c>
      <c r="P650" s="80"/>
      <c r="Q650" s="140">
        <f t="shared" si="90"/>
        <v>12000</v>
      </c>
      <c r="R650" s="140">
        <f t="shared" si="86"/>
        <v>0</v>
      </c>
      <c r="S650" s="140">
        <f t="shared" si="87"/>
        <v>12000</v>
      </c>
    </row>
    <row r="651" spans="2:19" x14ac:dyDescent="0.2">
      <c r="B651" s="79">
        <f t="shared" si="88"/>
        <v>95</v>
      </c>
      <c r="C651" s="4"/>
      <c r="D651" s="4"/>
      <c r="E651" s="4"/>
      <c r="F651" s="56"/>
      <c r="G651" s="4"/>
      <c r="H651" s="141" t="s">
        <v>562</v>
      </c>
      <c r="I651" s="140"/>
      <c r="J651" s="140"/>
      <c r="K651" s="140"/>
      <c r="L651" s="80"/>
      <c r="M651" s="140">
        <v>28600</v>
      </c>
      <c r="N651" s="140"/>
      <c r="O651" s="140">
        <f t="shared" si="89"/>
        <v>28600</v>
      </c>
      <c r="P651" s="80"/>
      <c r="Q651" s="140">
        <f t="shared" si="90"/>
        <v>28600</v>
      </c>
      <c r="R651" s="140">
        <f t="shared" si="86"/>
        <v>0</v>
      </c>
      <c r="S651" s="140">
        <f t="shared" si="87"/>
        <v>28600</v>
      </c>
    </row>
    <row r="652" spans="2:19" x14ac:dyDescent="0.2">
      <c r="B652" s="79">
        <f t="shared" si="88"/>
        <v>96</v>
      </c>
      <c r="C652" s="4"/>
      <c r="D652" s="4"/>
      <c r="E652" s="4"/>
      <c r="F652" s="56"/>
      <c r="G652" s="4"/>
      <c r="H652" s="141" t="s">
        <v>635</v>
      </c>
      <c r="I652" s="140"/>
      <c r="J652" s="140"/>
      <c r="K652" s="140"/>
      <c r="L652" s="80"/>
      <c r="M652" s="140">
        <f>150000-134500-15500</f>
        <v>0</v>
      </c>
      <c r="N652" s="140"/>
      <c r="O652" s="140">
        <f t="shared" si="89"/>
        <v>0</v>
      </c>
      <c r="P652" s="80"/>
      <c r="Q652" s="140">
        <f t="shared" si="90"/>
        <v>0</v>
      </c>
      <c r="R652" s="140">
        <f t="shared" si="86"/>
        <v>0</v>
      </c>
      <c r="S652" s="140">
        <f t="shared" si="87"/>
        <v>0</v>
      </c>
    </row>
    <row r="653" spans="2:19" x14ac:dyDescent="0.2">
      <c r="B653" s="79">
        <f t="shared" si="88"/>
        <v>97</v>
      </c>
      <c r="C653" s="4"/>
      <c r="D653" s="4"/>
      <c r="E653" s="4"/>
      <c r="F653" s="56"/>
      <c r="G653" s="4"/>
      <c r="H653" s="141" t="s">
        <v>700</v>
      </c>
      <c r="I653" s="140"/>
      <c r="J653" s="140"/>
      <c r="K653" s="140"/>
      <c r="L653" s="80"/>
      <c r="M653" s="140">
        <f>26000+1160</f>
        <v>27160</v>
      </c>
      <c r="N653" s="140"/>
      <c r="O653" s="140">
        <f t="shared" si="89"/>
        <v>27160</v>
      </c>
      <c r="P653" s="80"/>
      <c r="Q653" s="140">
        <f t="shared" si="90"/>
        <v>27160</v>
      </c>
      <c r="R653" s="140">
        <f t="shared" si="86"/>
        <v>0</v>
      </c>
      <c r="S653" s="140">
        <f t="shared" si="87"/>
        <v>27160</v>
      </c>
    </row>
    <row r="654" spans="2:19" x14ac:dyDescent="0.2">
      <c r="B654" s="79">
        <f t="shared" si="88"/>
        <v>98</v>
      </c>
      <c r="C654" s="4"/>
      <c r="D654" s="4"/>
      <c r="E654" s="4"/>
      <c r="F654" s="56"/>
      <c r="G654" s="4"/>
      <c r="H654" s="65" t="s">
        <v>479</v>
      </c>
      <c r="I654" s="26"/>
      <c r="J654" s="26"/>
      <c r="K654" s="26"/>
      <c r="L654" s="80"/>
      <c r="M654" s="26">
        <f>25000+50000</f>
        <v>75000</v>
      </c>
      <c r="N654" s="26"/>
      <c r="O654" s="26">
        <f t="shared" si="89"/>
        <v>75000</v>
      </c>
      <c r="P654" s="80"/>
      <c r="Q654" s="26">
        <f t="shared" si="90"/>
        <v>75000</v>
      </c>
      <c r="R654" s="26">
        <f t="shared" si="86"/>
        <v>0</v>
      </c>
      <c r="S654" s="26">
        <f t="shared" si="87"/>
        <v>75000</v>
      </c>
    </row>
    <row r="655" spans="2:19" ht="24" x14ac:dyDescent="0.2">
      <c r="B655" s="79">
        <f t="shared" si="88"/>
        <v>99</v>
      </c>
      <c r="C655" s="82"/>
      <c r="D655" s="82"/>
      <c r="E655" s="82"/>
      <c r="F655" s="83"/>
      <c r="G655" s="82"/>
      <c r="H655" s="120" t="s">
        <v>480</v>
      </c>
      <c r="I655" s="66"/>
      <c r="J655" s="66"/>
      <c r="K655" s="66"/>
      <c r="L655" s="166"/>
      <c r="M655" s="66">
        <v>60000</v>
      </c>
      <c r="N655" s="66"/>
      <c r="O655" s="66">
        <f t="shared" si="89"/>
        <v>60000</v>
      </c>
      <c r="P655" s="166"/>
      <c r="Q655" s="66">
        <f t="shared" si="90"/>
        <v>60000</v>
      </c>
      <c r="R655" s="66">
        <f t="shared" si="86"/>
        <v>0</v>
      </c>
      <c r="S655" s="66">
        <f t="shared" si="87"/>
        <v>60000</v>
      </c>
    </row>
    <row r="656" spans="2:19" x14ac:dyDescent="0.2">
      <c r="B656" s="79">
        <f t="shared" si="88"/>
        <v>100</v>
      </c>
      <c r="C656" s="82"/>
      <c r="D656" s="82"/>
      <c r="E656" s="82"/>
      <c r="F656" s="83"/>
      <c r="G656" s="82"/>
      <c r="H656" s="120" t="s">
        <v>481</v>
      </c>
      <c r="I656" s="66"/>
      <c r="J656" s="66"/>
      <c r="K656" s="66"/>
      <c r="L656" s="166"/>
      <c r="M656" s="66">
        <v>50000</v>
      </c>
      <c r="N656" s="66"/>
      <c r="O656" s="66">
        <f t="shared" si="89"/>
        <v>50000</v>
      </c>
      <c r="P656" s="166"/>
      <c r="Q656" s="66">
        <f t="shared" si="90"/>
        <v>50000</v>
      </c>
      <c r="R656" s="66">
        <f t="shared" si="86"/>
        <v>0</v>
      </c>
      <c r="S656" s="66">
        <f t="shared" si="87"/>
        <v>50000</v>
      </c>
    </row>
    <row r="657" spans="2:19" ht="24" x14ac:dyDescent="0.2">
      <c r="B657" s="79">
        <f t="shared" si="88"/>
        <v>101</v>
      </c>
      <c r="C657" s="82"/>
      <c r="D657" s="82"/>
      <c r="E657" s="82"/>
      <c r="F657" s="83"/>
      <c r="G657" s="82"/>
      <c r="H657" s="120" t="s">
        <v>516</v>
      </c>
      <c r="I657" s="66"/>
      <c r="J657" s="66"/>
      <c r="K657" s="66"/>
      <c r="L657" s="166"/>
      <c r="M657" s="66">
        <v>300</v>
      </c>
      <c r="N657" s="66"/>
      <c r="O657" s="66">
        <f t="shared" si="89"/>
        <v>300</v>
      </c>
      <c r="P657" s="166"/>
      <c r="Q657" s="66">
        <f t="shared" si="90"/>
        <v>300</v>
      </c>
      <c r="R657" s="66">
        <f t="shared" si="86"/>
        <v>0</v>
      </c>
      <c r="S657" s="66">
        <f t="shared" si="87"/>
        <v>300</v>
      </c>
    </row>
    <row r="658" spans="2:19" x14ac:dyDescent="0.2">
      <c r="B658" s="79">
        <f t="shared" si="88"/>
        <v>102</v>
      </c>
      <c r="C658" s="82"/>
      <c r="D658" s="82"/>
      <c r="E658" s="82"/>
      <c r="F658" s="83"/>
      <c r="G658" s="82"/>
      <c r="H658" s="120" t="s">
        <v>526</v>
      </c>
      <c r="I658" s="66"/>
      <c r="J658" s="66"/>
      <c r="K658" s="66"/>
      <c r="L658" s="166"/>
      <c r="M658" s="66">
        <v>130</v>
      </c>
      <c r="N658" s="66"/>
      <c r="O658" s="66">
        <f t="shared" si="89"/>
        <v>130</v>
      </c>
      <c r="P658" s="166"/>
      <c r="Q658" s="66">
        <f t="shared" si="90"/>
        <v>130</v>
      </c>
      <c r="R658" s="66">
        <f t="shared" si="86"/>
        <v>0</v>
      </c>
      <c r="S658" s="66">
        <f t="shared" si="87"/>
        <v>130</v>
      </c>
    </row>
    <row r="659" spans="2:19" x14ac:dyDescent="0.2">
      <c r="B659" s="79">
        <f t="shared" si="88"/>
        <v>103</v>
      </c>
      <c r="C659" s="82"/>
      <c r="D659" s="82"/>
      <c r="E659" s="82"/>
      <c r="F659" s="83"/>
      <c r="G659" s="82"/>
      <c r="H659" s="120" t="s">
        <v>513</v>
      </c>
      <c r="I659" s="66"/>
      <c r="J659" s="66"/>
      <c r="K659" s="66"/>
      <c r="L659" s="166"/>
      <c r="M659" s="66">
        <f>200+94</f>
        <v>294</v>
      </c>
      <c r="N659" s="66"/>
      <c r="O659" s="66">
        <f t="shared" si="89"/>
        <v>294</v>
      </c>
      <c r="P659" s="166"/>
      <c r="Q659" s="66">
        <f t="shared" si="90"/>
        <v>294</v>
      </c>
      <c r="R659" s="66">
        <f t="shared" si="86"/>
        <v>0</v>
      </c>
      <c r="S659" s="66">
        <f t="shared" si="87"/>
        <v>294</v>
      </c>
    </row>
    <row r="660" spans="2:19" x14ac:dyDescent="0.2">
      <c r="B660" s="79">
        <f t="shared" si="88"/>
        <v>104</v>
      </c>
      <c r="C660" s="82"/>
      <c r="D660" s="82"/>
      <c r="E660" s="82"/>
      <c r="F660" s="83"/>
      <c r="G660" s="82"/>
      <c r="H660" s="149" t="s">
        <v>571</v>
      </c>
      <c r="I660" s="150"/>
      <c r="J660" s="150"/>
      <c r="K660" s="150"/>
      <c r="L660" s="166"/>
      <c r="M660" s="150">
        <f>25000-200</f>
        <v>24800</v>
      </c>
      <c r="N660" s="150"/>
      <c r="O660" s="150">
        <f t="shared" si="89"/>
        <v>24800</v>
      </c>
      <c r="P660" s="166"/>
      <c r="Q660" s="150">
        <f t="shared" si="90"/>
        <v>24800</v>
      </c>
      <c r="R660" s="150">
        <f t="shared" si="86"/>
        <v>0</v>
      </c>
      <c r="S660" s="150">
        <f t="shared" si="87"/>
        <v>24800</v>
      </c>
    </row>
    <row r="661" spans="2:19" ht="24" x14ac:dyDescent="0.2">
      <c r="B661" s="79">
        <f t="shared" si="88"/>
        <v>105</v>
      </c>
      <c r="C661" s="82"/>
      <c r="D661" s="82"/>
      <c r="E661" s="82"/>
      <c r="F661" s="83"/>
      <c r="G661" s="82"/>
      <c r="H661" s="149" t="s">
        <v>572</v>
      </c>
      <c r="I661" s="150"/>
      <c r="J661" s="150"/>
      <c r="K661" s="150"/>
      <c r="L661" s="166"/>
      <c r="M661" s="150">
        <v>2400</v>
      </c>
      <c r="N661" s="150"/>
      <c r="O661" s="150">
        <f t="shared" si="89"/>
        <v>2400</v>
      </c>
      <c r="P661" s="166"/>
      <c r="Q661" s="150">
        <f t="shared" si="90"/>
        <v>2400</v>
      </c>
      <c r="R661" s="150">
        <f t="shared" si="86"/>
        <v>0</v>
      </c>
      <c r="S661" s="150">
        <f t="shared" si="87"/>
        <v>2400</v>
      </c>
    </row>
    <row r="662" spans="2:19" x14ac:dyDescent="0.2">
      <c r="B662" s="79">
        <f t="shared" si="88"/>
        <v>106</v>
      </c>
      <c r="C662" s="82"/>
      <c r="D662" s="82"/>
      <c r="E662" s="82"/>
      <c r="F662" s="83"/>
      <c r="G662" s="82"/>
      <c r="H662" s="149" t="s">
        <v>637</v>
      </c>
      <c r="I662" s="150"/>
      <c r="J662" s="150"/>
      <c r="K662" s="150"/>
      <c r="L662" s="166"/>
      <c r="M662" s="150">
        <f>65000-6500-30000-28500</f>
        <v>0</v>
      </c>
      <c r="N662" s="150"/>
      <c r="O662" s="150">
        <f t="shared" si="89"/>
        <v>0</v>
      </c>
      <c r="P662" s="166"/>
      <c r="Q662" s="150">
        <f t="shared" si="90"/>
        <v>0</v>
      </c>
      <c r="R662" s="150">
        <f t="shared" si="86"/>
        <v>0</v>
      </c>
      <c r="S662" s="150">
        <f t="shared" si="87"/>
        <v>0</v>
      </c>
    </row>
    <row r="663" spans="2:19" ht="24" x14ac:dyDescent="0.2">
      <c r="B663" s="79">
        <f t="shared" si="88"/>
        <v>107</v>
      </c>
      <c r="C663" s="82"/>
      <c r="D663" s="82"/>
      <c r="E663" s="82"/>
      <c r="F663" s="83"/>
      <c r="G663" s="82"/>
      <c r="H663" s="149" t="s">
        <v>756</v>
      </c>
      <c r="I663" s="150"/>
      <c r="J663" s="150"/>
      <c r="K663" s="150"/>
      <c r="L663" s="166"/>
      <c r="M663" s="150">
        <f>30000+4000</f>
        <v>34000</v>
      </c>
      <c r="N663" s="150"/>
      <c r="O663" s="150">
        <f t="shared" si="89"/>
        <v>34000</v>
      </c>
      <c r="P663" s="166"/>
      <c r="Q663" s="150">
        <f t="shared" si="90"/>
        <v>34000</v>
      </c>
      <c r="R663" s="150">
        <f t="shared" si="86"/>
        <v>0</v>
      </c>
      <c r="S663" s="150">
        <f t="shared" si="87"/>
        <v>34000</v>
      </c>
    </row>
    <row r="664" spans="2:19" x14ac:dyDescent="0.2">
      <c r="B664" s="79">
        <f t="shared" si="88"/>
        <v>108</v>
      </c>
      <c r="C664" s="82"/>
      <c r="D664" s="82"/>
      <c r="E664" s="82"/>
      <c r="F664" s="83"/>
      <c r="G664" s="82"/>
      <c r="H664" s="149" t="s">
        <v>758</v>
      </c>
      <c r="I664" s="150"/>
      <c r="J664" s="150"/>
      <c r="K664" s="150"/>
      <c r="L664" s="166"/>
      <c r="M664" s="150">
        <v>27700</v>
      </c>
      <c r="N664" s="150"/>
      <c r="O664" s="150">
        <f t="shared" si="89"/>
        <v>27700</v>
      </c>
      <c r="P664" s="166"/>
      <c r="Q664" s="150">
        <f t="shared" si="90"/>
        <v>27700</v>
      </c>
      <c r="R664" s="150">
        <f t="shared" si="86"/>
        <v>0</v>
      </c>
      <c r="S664" s="150">
        <f t="shared" si="87"/>
        <v>27700</v>
      </c>
    </row>
    <row r="665" spans="2:19" x14ac:dyDescent="0.2">
      <c r="B665" s="79">
        <f t="shared" si="88"/>
        <v>109</v>
      </c>
      <c r="C665" s="82"/>
      <c r="D665" s="82"/>
      <c r="E665" s="82"/>
      <c r="F665" s="83"/>
      <c r="G665" s="82"/>
      <c r="H665" s="120" t="s">
        <v>527</v>
      </c>
      <c r="I665" s="66"/>
      <c r="J665" s="66"/>
      <c r="K665" s="66"/>
      <c r="L665" s="166"/>
      <c r="M665" s="66">
        <v>180</v>
      </c>
      <c r="N665" s="66"/>
      <c r="O665" s="66">
        <f t="shared" si="89"/>
        <v>180</v>
      </c>
      <c r="P665" s="166"/>
      <c r="Q665" s="66">
        <f t="shared" si="90"/>
        <v>180</v>
      </c>
      <c r="R665" s="66">
        <f t="shared" si="86"/>
        <v>0</v>
      </c>
      <c r="S665" s="66">
        <f t="shared" si="87"/>
        <v>180</v>
      </c>
    </row>
    <row r="666" spans="2:19" x14ac:dyDescent="0.2">
      <c r="B666" s="79">
        <f t="shared" si="88"/>
        <v>110</v>
      </c>
      <c r="C666" s="82"/>
      <c r="D666" s="82"/>
      <c r="E666" s="82"/>
      <c r="F666" s="83"/>
      <c r="G666" s="82"/>
      <c r="H666" s="120" t="s">
        <v>528</v>
      </c>
      <c r="I666" s="66"/>
      <c r="J666" s="66"/>
      <c r="K666" s="66"/>
      <c r="L666" s="166"/>
      <c r="M666" s="66">
        <v>79300</v>
      </c>
      <c r="N666" s="66"/>
      <c r="O666" s="66">
        <f t="shared" si="89"/>
        <v>79300</v>
      </c>
      <c r="P666" s="166"/>
      <c r="Q666" s="66">
        <f t="shared" si="90"/>
        <v>79300</v>
      </c>
      <c r="R666" s="66">
        <f t="shared" si="86"/>
        <v>0</v>
      </c>
      <c r="S666" s="66">
        <f t="shared" si="87"/>
        <v>79300</v>
      </c>
    </row>
    <row r="667" spans="2:19" x14ac:dyDescent="0.2">
      <c r="B667" s="79">
        <f t="shared" si="88"/>
        <v>111</v>
      </c>
      <c r="C667" s="82"/>
      <c r="D667" s="82"/>
      <c r="E667" s="82"/>
      <c r="F667" s="83"/>
      <c r="G667" s="82"/>
      <c r="H667" s="120" t="s">
        <v>529</v>
      </c>
      <c r="I667" s="66"/>
      <c r="J667" s="66"/>
      <c r="K667" s="66"/>
      <c r="L667" s="166"/>
      <c r="M667" s="66">
        <v>9500</v>
      </c>
      <c r="N667" s="66"/>
      <c r="O667" s="66">
        <f t="shared" si="89"/>
        <v>9500</v>
      </c>
      <c r="P667" s="166"/>
      <c r="Q667" s="66">
        <f t="shared" si="90"/>
        <v>9500</v>
      </c>
      <c r="R667" s="66">
        <f t="shared" si="86"/>
        <v>0</v>
      </c>
      <c r="S667" s="66">
        <f t="shared" si="87"/>
        <v>9500</v>
      </c>
    </row>
    <row r="668" spans="2:19" x14ac:dyDescent="0.2">
      <c r="B668" s="79">
        <f t="shared" si="88"/>
        <v>112</v>
      </c>
      <c r="C668" s="82"/>
      <c r="D668" s="82"/>
      <c r="E668" s="82"/>
      <c r="F668" s="83"/>
      <c r="G668" s="82"/>
      <c r="H668" s="151" t="s">
        <v>584</v>
      </c>
      <c r="I668" s="152"/>
      <c r="J668" s="152"/>
      <c r="K668" s="152"/>
      <c r="L668" s="166"/>
      <c r="M668" s="152">
        <f>42000+1570</f>
        <v>43570</v>
      </c>
      <c r="N668" s="152"/>
      <c r="O668" s="152">
        <f t="shared" si="89"/>
        <v>43570</v>
      </c>
      <c r="P668" s="166"/>
      <c r="Q668" s="152">
        <f t="shared" si="90"/>
        <v>43570</v>
      </c>
      <c r="R668" s="152">
        <f t="shared" si="86"/>
        <v>0</v>
      </c>
      <c r="S668" s="152">
        <f t="shared" si="87"/>
        <v>43570</v>
      </c>
    </row>
    <row r="669" spans="2:19" ht="24" x14ac:dyDescent="0.2">
      <c r="B669" s="79">
        <f t="shared" si="88"/>
        <v>113</v>
      </c>
      <c r="C669" s="82"/>
      <c r="D669" s="82"/>
      <c r="E669" s="82"/>
      <c r="F669" s="83"/>
      <c r="G669" s="82"/>
      <c r="H669" s="151" t="s">
        <v>585</v>
      </c>
      <c r="I669" s="152"/>
      <c r="J669" s="152"/>
      <c r="K669" s="152"/>
      <c r="L669" s="166"/>
      <c r="M669" s="152">
        <v>7500</v>
      </c>
      <c r="N669" s="152"/>
      <c r="O669" s="152">
        <f t="shared" si="89"/>
        <v>7500</v>
      </c>
      <c r="P669" s="166"/>
      <c r="Q669" s="152">
        <f t="shared" si="90"/>
        <v>7500</v>
      </c>
      <c r="R669" s="152">
        <f t="shared" si="86"/>
        <v>0</v>
      </c>
      <c r="S669" s="152">
        <f t="shared" si="87"/>
        <v>7500</v>
      </c>
    </row>
    <row r="670" spans="2:19" ht="12.75" customHeight="1" x14ac:dyDescent="0.2">
      <c r="B670" s="79">
        <f t="shared" si="88"/>
        <v>114</v>
      </c>
      <c r="C670" s="82"/>
      <c r="D670" s="82"/>
      <c r="E670" s="82"/>
      <c r="F670" s="83"/>
      <c r="G670" s="82"/>
      <c r="H670" s="151" t="s">
        <v>586</v>
      </c>
      <c r="I670" s="152"/>
      <c r="J670" s="152"/>
      <c r="K670" s="152"/>
      <c r="L670" s="166"/>
      <c r="M670" s="152">
        <v>5500</v>
      </c>
      <c r="N670" s="152"/>
      <c r="O670" s="152">
        <f t="shared" si="89"/>
        <v>5500</v>
      </c>
      <c r="P670" s="166"/>
      <c r="Q670" s="152">
        <f t="shared" si="90"/>
        <v>5500</v>
      </c>
      <c r="R670" s="152">
        <f t="shared" si="86"/>
        <v>0</v>
      </c>
      <c r="S670" s="152">
        <f t="shared" si="87"/>
        <v>5500</v>
      </c>
    </row>
    <row r="671" spans="2:19" ht="19.5" customHeight="1" x14ac:dyDescent="0.2">
      <c r="B671" s="79">
        <f t="shared" si="88"/>
        <v>115</v>
      </c>
      <c r="C671" s="82"/>
      <c r="D671" s="82"/>
      <c r="E671" s="82"/>
      <c r="F671" s="83"/>
      <c r="G671" s="82"/>
      <c r="H671" s="151" t="s">
        <v>588</v>
      </c>
      <c r="I671" s="152"/>
      <c r="J671" s="152"/>
      <c r="K671" s="152"/>
      <c r="L671" s="166"/>
      <c r="M671" s="152">
        <v>13000</v>
      </c>
      <c r="N671" s="152"/>
      <c r="O671" s="152">
        <f t="shared" si="89"/>
        <v>13000</v>
      </c>
      <c r="P671" s="166"/>
      <c r="Q671" s="152">
        <f t="shared" si="90"/>
        <v>13000</v>
      </c>
      <c r="R671" s="152">
        <f t="shared" si="86"/>
        <v>0</v>
      </c>
      <c r="S671" s="152">
        <f t="shared" si="87"/>
        <v>13000</v>
      </c>
    </row>
    <row r="672" spans="2:19" ht="14.25" customHeight="1" x14ac:dyDescent="0.2">
      <c r="B672" s="79">
        <f t="shared" si="88"/>
        <v>116</v>
      </c>
      <c r="C672" s="82"/>
      <c r="D672" s="82"/>
      <c r="E672" s="82"/>
      <c r="F672" s="83"/>
      <c r="G672" s="82"/>
      <c r="H672" s="130" t="s">
        <v>536</v>
      </c>
      <c r="I672" s="131"/>
      <c r="J672" s="131"/>
      <c r="K672" s="131"/>
      <c r="L672" s="166"/>
      <c r="M672" s="131">
        <f>19000-2350+40000</f>
        <v>56650</v>
      </c>
      <c r="N672" s="131"/>
      <c r="O672" s="131">
        <f t="shared" si="89"/>
        <v>56650</v>
      </c>
      <c r="P672" s="166"/>
      <c r="Q672" s="131">
        <f t="shared" si="90"/>
        <v>56650</v>
      </c>
      <c r="R672" s="131">
        <f t="shared" si="86"/>
        <v>0</v>
      </c>
      <c r="S672" s="131">
        <f t="shared" si="87"/>
        <v>56650</v>
      </c>
    </row>
    <row r="673" spans="2:19" ht="17.25" customHeight="1" x14ac:dyDescent="0.2">
      <c r="B673" s="79">
        <f t="shared" si="88"/>
        <v>117</v>
      </c>
      <c r="C673" s="82"/>
      <c r="D673" s="82"/>
      <c r="E673" s="82"/>
      <c r="F673" s="83"/>
      <c r="G673" s="82"/>
      <c r="H673" s="130" t="s">
        <v>537</v>
      </c>
      <c r="I673" s="131"/>
      <c r="J673" s="131"/>
      <c r="K673" s="131"/>
      <c r="L673" s="166"/>
      <c r="M673" s="131">
        <f>15000+2000</f>
        <v>17000</v>
      </c>
      <c r="N673" s="131"/>
      <c r="O673" s="131">
        <f t="shared" si="89"/>
        <v>17000</v>
      </c>
      <c r="P673" s="166"/>
      <c r="Q673" s="131">
        <f t="shared" si="90"/>
        <v>17000</v>
      </c>
      <c r="R673" s="131">
        <f t="shared" si="86"/>
        <v>0</v>
      </c>
      <c r="S673" s="131">
        <f t="shared" si="87"/>
        <v>17000</v>
      </c>
    </row>
    <row r="674" spans="2:19" ht="16.5" customHeight="1" x14ac:dyDescent="0.2">
      <c r="B674" s="79">
        <f t="shared" si="88"/>
        <v>118</v>
      </c>
      <c r="C674" s="82"/>
      <c r="D674" s="82"/>
      <c r="E674" s="82"/>
      <c r="F674" s="83"/>
      <c r="G674" s="82"/>
      <c r="H674" s="130" t="s">
        <v>538</v>
      </c>
      <c r="I674" s="131"/>
      <c r="J674" s="131"/>
      <c r="K674" s="131"/>
      <c r="L674" s="166"/>
      <c r="M674" s="131">
        <v>10000</v>
      </c>
      <c r="N674" s="131"/>
      <c r="O674" s="131">
        <f t="shared" si="89"/>
        <v>10000</v>
      </c>
      <c r="P674" s="166"/>
      <c r="Q674" s="131">
        <f t="shared" si="90"/>
        <v>10000</v>
      </c>
      <c r="R674" s="131">
        <f t="shared" si="86"/>
        <v>0</v>
      </c>
      <c r="S674" s="131">
        <f t="shared" si="87"/>
        <v>10000</v>
      </c>
    </row>
    <row r="675" spans="2:19" ht="24" x14ac:dyDescent="0.2">
      <c r="B675" s="79">
        <f t="shared" si="88"/>
        <v>119</v>
      </c>
      <c r="C675" s="82"/>
      <c r="D675" s="82"/>
      <c r="E675" s="82"/>
      <c r="F675" s="83"/>
      <c r="G675" s="82"/>
      <c r="H675" s="130" t="s">
        <v>539</v>
      </c>
      <c r="I675" s="131"/>
      <c r="J675" s="131"/>
      <c r="K675" s="131"/>
      <c r="L675" s="166"/>
      <c r="M675" s="131">
        <f>8500+2800</f>
        <v>11300</v>
      </c>
      <c r="N675" s="131"/>
      <c r="O675" s="131">
        <f t="shared" si="89"/>
        <v>11300</v>
      </c>
      <c r="P675" s="166"/>
      <c r="Q675" s="131">
        <f t="shared" si="90"/>
        <v>11300</v>
      </c>
      <c r="R675" s="131">
        <f t="shared" ref="R675:R696" si="91">J675+N675</f>
        <v>0</v>
      </c>
      <c r="S675" s="131">
        <f t="shared" ref="S675:S696" si="92">K675+O675</f>
        <v>11300</v>
      </c>
    </row>
    <row r="676" spans="2:19" x14ac:dyDescent="0.2">
      <c r="B676" s="79">
        <f t="shared" si="88"/>
        <v>120</v>
      </c>
      <c r="C676" s="82"/>
      <c r="D676" s="82"/>
      <c r="E676" s="82"/>
      <c r="F676" s="83"/>
      <c r="G676" s="82"/>
      <c r="H676" s="130" t="s">
        <v>540</v>
      </c>
      <c r="I676" s="131"/>
      <c r="J676" s="131"/>
      <c r="K676" s="131"/>
      <c r="L676" s="166"/>
      <c r="M676" s="131">
        <v>3000</v>
      </c>
      <c r="N676" s="131"/>
      <c r="O676" s="131">
        <f t="shared" si="89"/>
        <v>3000</v>
      </c>
      <c r="P676" s="166"/>
      <c r="Q676" s="131">
        <f t="shared" si="90"/>
        <v>3000</v>
      </c>
      <c r="R676" s="131">
        <f t="shared" si="91"/>
        <v>0</v>
      </c>
      <c r="S676" s="131">
        <f t="shared" si="92"/>
        <v>3000</v>
      </c>
    </row>
    <row r="677" spans="2:19" ht="24" x14ac:dyDescent="0.2">
      <c r="B677" s="79">
        <f t="shared" si="88"/>
        <v>121</v>
      </c>
      <c r="C677" s="82"/>
      <c r="D677" s="82"/>
      <c r="E677" s="82"/>
      <c r="F677" s="83"/>
      <c r="G677" s="82"/>
      <c r="H677" s="130" t="s">
        <v>541</v>
      </c>
      <c r="I677" s="131"/>
      <c r="J677" s="131"/>
      <c r="K677" s="131"/>
      <c r="L677" s="166"/>
      <c r="M677" s="131">
        <f>10000+14200</f>
        <v>24200</v>
      </c>
      <c r="N677" s="131"/>
      <c r="O677" s="131">
        <f t="shared" si="89"/>
        <v>24200</v>
      </c>
      <c r="P677" s="166"/>
      <c r="Q677" s="131">
        <f t="shared" si="90"/>
        <v>24200</v>
      </c>
      <c r="R677" s="131">
        <f t="shared" si="91"/>
        <v>0</v>
      </c>
      <c r="S677" s="131">
        <f t="shared" si="92"/>
        <v>24200</v>
      </c>
    </row>
    <row r="678" spans="2:19" ht="24" x14ac:dyDescent="0.2">
      <c r="B678" s="79">
        <f t="shared" si="88"/>
        <v>122</v>
      </c>
      <c r="C678" s="82"/>
      <c r="D678" s="82"/>
      <c r="E678" s="82"/>
      <c r="F678" s="83"/>
      <c r="G678" s="82"/>
      <c r="H678" s="130" t="s">
        <v>676</v>
      </c>
      <c r="I678" s="131"/>
      <c r="J678" s="131"/>
      <c r="K678" s="131"/>
      <c r="L678" s="166"/>
      <c r="M678" s="131">
        <v>3500</v>
      </c>
      <c r="N678" s="131"/>
      <c r="O678" s="131">
        <f t="shared" si="89"/>
        <v>3500</v>
      </c>
      <c r="P678" s="166"/>
      <c r="Q678" s="131">
        <f t="shared" si="90"/>
        <v>3500</v>
      </c>
      <c r="R678" s="131">
        <f t="shared" si="91"/>
        <v>0</v>
      </c>
      <c r="S678" s="131">
        <f t="shared" si="92"/>
        <v>3500</v>
      </c>
    </row>
    <row r="679" spans="2:19" ht="24" x14ac:dyDescent="0.2">
      <c r="B679" s="79">
        <f t="shared" si="88"/>
        <v>123</v>
      </c>
      <c r="C679" s="82"/>
      <c r="D679" s="82"/>
      <c r="E679" s="82"/>
      <c r="F679" s="83"/>
      <c r="G679" s="82"/>
      <c r="H679" s="130" t="s">
        <v>677</v>
      </c>
      <c r="I679" s="131"/>
      <c r="J679" s="131"/>
      <c r="K679" s="131"/>
      <c r="L679" s="166"/>
      <c r="M679" s="131">
        <f>4000+12000</f>
        <v>16000</v>
      </c>
      <c r="N679" s="131"/>
      <c r="O679" s="131">
        <f t="shared" si="89"/>
        <v>16000</v>
      </c>
      <c r="P679" s="166"/>
      <c r="Q679" s="131">
        <f t="shared" si="90"/>
        <v>16000</v>
      </c>
      <c r="R679" s="131">
        <f t="shared" si="91"/>
        <v>0</v>
      </c>
      <c r="S679" s="131">
        <f t="shared" si="92"/>
        <v>16000</v>
      </c>
    </row>
    <row r="680" spans="2:19" x14ac:dyDescent="0.2">
      <c r="B680" s="79">
        <f t="shared" si="88"/>
        <v>124</v>
      </c>
      <c r="C680" s="82"/>
      <c r="D680" s="82"/>
      <c r="E680" s="82"/>
      <c r="F680" s="83"/>
      <c r="G680" s="82"/>
      <c r="H680" s="165" t="s">
        <v>605</v>
      </c>
      <c r="I680" s="166"/>
      <c r="J680" s="166"/>
      <c r="K680" s="166"/>
      <c r="L680" s="166"/>
      <c r="M680" s="166">
        <f>150000-6000+50000+46000</f>
        <v>240000</v>
      </c>
      <c r="N680" s="166"/>
      <c r="O680" s="166">
        <f t="shared" si="89"/>
        <v>240000</v>
      </c>
      <c r="P680" s="166"/>
      <c r="Q680" s="166">
        <f t="shared" si="90"/>
        <v>240000</v>
      </c>
      <c r="R680" s="166">
        <f t="shared" si="91"/>
        <v>0</v>
      </c>
      <c r="S680" s="166">
        <f t="shared" si="92"/>
        <v>240000</v>
      </c>
    </row>
    <row r="681" spans="2:19" x14ac:dyDescent="0.2">
      <c r="B681" s="79">
        <f t="shared" si="88"/>
        <v>125</v>
      </c>
      <c r="C681" s="82"/>
      <c r="D681" s="82"/>
      <c r="E681" s="82"/>
      <c r="F681" s="83"/>
      <c r="G681" s="82"/>
      <c r="H681" s="165" t="s">
        <v>606</v>
      </c>
      <c r="I681" s="166"/>
      <c r="J681" s="166"/>
      <c r="K681" s="166"/>
      <c r="L681" s="166"/>
      <c r="M681" s="166">
        <f>280000-280000</f>
        <v>0</v>
      </c>
      <c r="N681" s="166"/>
      <c r="O681" s="166">
        <f t="shared" si="89"/>
        <v>0</v>
      </c>
      <c r="P681" s="166"/>
      <c r="Q681" s="166">
        <f t="shared" si="90"/>
        <v>0</v>
      </c>
      <c r="R681" s="166">
        <f t="shared" si="91"/>
        <v>0</v>
      </c>
      <c r="S681" s="166">
        <f t="shared" si="92"/>
        <v>0</v>
      </c>
    </row>
    <row r="682" spans="2:19" x14ac:dyDescent="0.2">
      <c r="B682" s="79">
        <f t="shared" si="88"/>
        <v>126</v>
      </c>
      <c r="C682" s="82"/>
      <c r="D682" s="82"/>
      <c r="E682" s="82"/>
      <c r="F682" s="83"/>
      <c r="G682" s="82"/>
      <c r="H682" s="165" t="s">
        <v>607</v>
      </c>
      <c r="I682" s="166"/>
      <c r="J682" s="166"/>
      <c r="K682" s="166"/>
      <c r="L682" s="166"/>
      <c r="M682" s="166">
        <f>35000-35000</f>
        <v>0</v>
      </c>
      <c r="N682" s="166"/>
      <c r="O682" s="166">
        <f t="shared" si="89"/>
        <v>0</v>
      </c>
      <c r="P682" s="166"/>
      <c r="Q682" s="166">
        <f t="shared" si="90"/>
        <v>0</v>
      </c>
      <c r="R682" s="166">
        <f t="shared" si="91"/>
        <v>0</v>
      </c>
      <c r="S682" s="166">
        <f t="shared" si="92"/>
        <v>0</v>
      </c>
    </row>
    <row r="683" spans="2:19" x14ac:dyDescent="0.2">
      <c r="B683" s="79">
        <f t="shared" si="88"/>
        <v>127</v>
      </c>
      <c r="C683" s="82"/>
      <c r="D683" s="82"/>
      <c r="E683" s="82"/>
      <c r="F683" s="83"/>
      <c r="G683" s="82"/>
      <c r="H683" s="165" t="s">
        <v>608</v>
      </c>
      <c r="I683" s="166"/>
      <c r="J683" s="166"/>
      <c r="K683" s="166"/>
      <c r="L683" s="166"/>
      <c r="M683" s="166">
        <f>115000+30000-3000</f>
        <v>142000</v>
      </c>
      <c r="N683" s="166"/>
      <c r="O683" s="166">
        <f t="shared" si="89"/>
        <v>142000</v>
      </c>
      <c r="P683" s="166"/>
      <c r="Q683" s="166">
        <f t="shared" si="90"/>
        <v>142000</v>
      </c>
      <c r="R683" s="166">
        <f t="shared" si="91"/>
        <v>0</v>
      </c>
      <c r="S683" s="166">
        <f t="shared" si="92"/>
        <v>142000</v>
      </c>
    </row>
    <row r="684" spans="2:19" x14ac:dyDescent="0.2">
      <c r="B684" s="79">
        <f t="shared" si="88"/>
        <v>128</v>
      </c>
      <c r="C684" s="82"/>
      <c r="D684" s="82"/>
      <c r="E684" s="82"/>
      <c r="F684" s="83"/>
      <c r="G684" s="82"/>
      <c r="H684" s="165" t="s">
        <v>609</v>
      </c>
      <c r="I684" s="166"/>
      <c r="J684" s="166"/>
      <c r="K684" s="166"/>
      <c r="L684" s="166"/>
      <c r="M684" s="166">
        <f>100000-2000</f>
        <v>98000</v>
      </c>
      <c r="N684" s="166"/>
      <c r="O684" s="166">
        <f t="shared" si="89"/>
        <v>98000</v>
      </c>
      <c r="P684" s="166"/>
      <c r="Q684" s="166">
        <f t="shared" si="90"/>
        <v>98000</v>
      </c>
      <c r="R684" s="166">
        <f t="shared" si="91"/>
        <v>0</v>
      </c>
      <c r="S684" s="166">
        <f t="shared" si="92"/>
        <v>98000</v>
      </c>
    </row>
    <row r="685" spans="2:19" x14ac:dyDescent="0.2">
      <c r="B685" s="79">
        <f t="shared" si="88"/>
        <v>129</v>
      </c>
      <c r="C685" s="82"/>
      <c r="D685" s="82"/>
      <c r="E685" s="82"/>
      <c r="F685" s="83"/>
      <c r="G685" s="82"/>
      <c r="H685" s="165" t="s">
        <v>610</v>
      </c>
      <c r="I685" s="166"/>
      <c r="J685" s="166"/>
      <c r="K685" s="166"/>
      <c r="L685" s="166"/>
      <c r="M685" s="166">
        <f>45000-45000</f>
        <v>0</v>
      </c>
      <c r="N685" s="166"/>
      <c r="O685" s="166">
        <f t="shared" si="89"/>
        <v>0</v>
      </c>
      <c r="P685" s="166"/>
      <c r="Q685" s="166">
        <f t="shared" si="90"/>
        <v>0</v>
      </c>
      <c r="R685" s="166">
        <f t="shared" si="91"/>
        <v>0</v>
      </c>
      <c r="S685" s="166">
        <f t="shared" si="92"/>
        <v>0</v>
      </c>
    </row>
    <row r="686" spans="2:19" x14ac:dyDescent="0.2">
      <c r="B686" s="79">
        <f t="shared" ref="B686:B696" si="93">B685+1</f>
        <v>130</v>
      </c>
      <c r="C686" s="82"/>
      <c r="D686" s="82"/>
      <c r="E686" s="82"/>
      <c r="F686" s="83"/>
      <c r="G686" s="82"/>
      <c r="H686" s="165" t="s">
        <v>611</v>
      </c>
      <c r="I686" s="166"/>
      <c r="J686" s="166"/>
      <c r="K686" s="166"/>
      <c r="L686" s="166"/>
      <c r="M686" s="166">
        <v>70000</v>
      </c>
      <c r="N686" s="166"/>
      <c r="O686" s="166">
        <f t="shared" ref="O686:O696" si="94">M686+N686</f>
        <v>70000</v>
      </c>
      <c r="P686" s="166"/>
      <c r="Q686" s="166">
        <f t="shared" si="90"/>
        <v>70000</v>
      </c>
      <c r="R686" s="166">
        <f t="shared" si="91"/>
        <v>0</v>
      </c>
      <c r="S686" s="166">
        <f t="shared" si="92"/>
        <v>70000</v>
      </c>
    </row>
    <row r="687" spans="2:19" x14ac:dyDescent="0.2">
      <c r="B687" s="79">
        <f t="shared" si="93"/>
        <v>131</v>
      </c>
      <c r="C687" s="82"/>
      <c r="D687" s="82"/>
      <c r="E687" s="82"/>
      <c r="F687" s="83"/>
      <c r="G687" s="82"/>
      <c r="H687" s="165" t="s">
        <v>636</v>
      </c>
      <c r="I687" s="166"/>
      <c r="J687" s="166"/>
      <c r="K687" s="166"/>
      <c r="L687" s="166"/>
      <c r="M687" s="166">
        <f>100000+51990</f>
        <v>151990</v>
      </c>
      <c r="N687" s="166"/>
      <c r="O687" s="166">
        <f t="shared" si="94"/>
        <v>151990</v>
      </c>
      <c r="P687" s="166"/>
      <c r="Q687" s="166">
        <f t="shared" si="90"/>
        <v>151990</v>
      </c>
      <c r="R687" s="166">
        <f t="shared" si="91"/>
        <v>0</v>
      </c>
      <c r="S687" s="166">
        <f t="shared" si="92"/>
        <v>151990</v>
      </c>
    </row>
    <row r="688" spans="2:19" ht="24" x14ac:dyDescent="0.2">
      <c r="B688" s="79">
        <f t="shared" si="93"/>
        <v>132</v>
      </c>
      <c r="C688" s="82"/>
      <c r="D688" s="82"/>
      <c r="E688" s="82"/>
      <c r="F688" s="83"/>
      <c r="G688" s="82"/>
      <c r="H688" s="165" t="s">
        <v>691</v>
      </c>
      <c r="I688" s="166"/>
      <c r="J688" s="166"/>
      <c r="K688" s="166"/>
      <c r="L688" s="166"/>
      <c r="M688" s="166">
        <v>10000</v>
      </c>
      <c r="N688" s="166"/>
      <c r="O688" s="166">
        <f t="shared" si="94"/>
        <v>10000</v>
      </c>
      <c r="P688" s="166"/>
      <c r="Q688" s="166">
        <f t="shared" si="90"/>
        <v>10000</v>
      </c>
      <c r="R688" s="166">
        <f t="shared" si="91"/>
        <v>0</v>
      </c>
      <c r="S688" s="166">
        <f t="shared" si="92"/>
        <v>10000</v>
      </c>
    </row>
    <row r="689" spans="2:19" x14ac:dyDescent="0.2">
      <c r="B689" s="79">
        <f t="shared" si="93"/>
        <v>133</v>
      </c>
      <c r="C689" s="82"/>
      <c r="D689" s="82"/>
      <c r="E689" s="82"/>
      <c r="F689" s="83"/>
      <c r="G689" s="82"/>
      <c r="H689" s="165" t="s">
        <v>692</v>
      </c>
      <c r="I689" s="166"/>
      <c r="J689" s="166"/>
      <c r="K689" s="166"/>
      <c r="L689" s="166"/>
      <c r="M689" s="166">
        <v>5000</v>
      </c>
      <c r="N689" s="166"/>
      <c r="O689" s="166">
        <f t="shared" si="94"/>
        <v>5000</v>
      </c>
      <c r="P689" s="166"/>
      <c r="Q689" s="166">
        <f t="shared" si="90"/>
        <v>5000</v>
      </c>
      <c r="R689" s="166">
        <f t="shared" si="91"/>
        <v>0</v>
      </c>
      <c r="S689" s="166">
        <f t="shared" si="92"/>
        <v>5000</v>
      </c>
    </row>
    <row r="690" spans="2:19" ht="24" x14ac:dyDescent="0.2">
      <c r="B690" s="79">
        <f t="shared" si="93"/>
        <v>134</v>
      </c>
      <c r="C690" s="82"/>
      <c r="D690" s="82"/>
      <c r="E690" s="82"/>
      <c r="F690" s="83"/>
      <c r="G690" s="82"/>
      <c r="H690" s="165" t="s">
        <v>736</v>
      </c>
      <c r="I690" s="166"/>
      <c r="J690" s="166"/>
      <c r="K690" s="166"/>
      <c r="L690" s="166"/>
      <c r="M690" s="166">
        <v>45000</v>
      </c>
      <c r="N690" s="166"/>
      <c r="O690" s="166">
        <f t="shared" si="94"/>
        <v>45000</v>
      </c>
      <c r="P690" s="166"/>
      <c r="Q690" s="166">
        <f t="shared" si="90"/>
        <v>45000</v>
      </c>
      <c r="R690" s="166">
        <f t="shared" si="91"/>
        <v>0</v>
      </c>
      <c r="S690" s="166">
        <f t="shared" si="92"/>
        <v>45000</v>
      </c>
    </row>
    <row r="691" spans="2:19" x14ac:dyDescent="0.2">
      <c r="B691" s="79">
        <f t="shared" si="93"/>
        <v>135</v>
      </c>
      <c r="C691" s="82"/>
      <c r="D691" s="82"/>
      <c r="E691" s="82"/>
      <c r="F691" s="83"/>
      <c r="G691" s="82"/>
      <c r="H691" s="165" t="s">
        <v>741</v>
      </c>
      <c r="I691" s="166"/>
      <c r="J691" s="166"/>
      <c r="K691" s="166"/>
      <c r="L691" s="166"/>
      <c r="M691" s="166">
        <v>100000</v>
      </c>
      <c r="N691" s="166"/>
      <c r="O691" s="166">
        <f t="shared" si="94"/>
        <v>100000</v>
      </c>
      <c r="P691" s="166"/>
      <c r="Q691" s="166">
        <f t="shared" si="90"/>
        <v>100000</v>
      </c>
      <c r="R691" s="166">
        <f t="shared" si="91"/>
        <v>0</v>
      </c>
      <c r="S691" s="166">
        <f t="shared" si="92"/>
        <v>100000</v>
      </c>
    </row>
    <row r="692" spans="2:19" x14ac:dyDescent="0.2">
      <c r="B692" s="79">
        <f t="shared" si="93"/>
        <v>136</v>
      </c>
      <c r="C692" s="82"/>
      <c r="D692" s="82"/>
      <c r="E692" s="82"/>
      <c r="F692" s="83"/>
      <c r="G692" s="82"/>
      <c r="H692" s="165" t="s">
        <v>770</v>
      </c>
      <c r="I692" s="166"/>
      <c r="J692" s="166"/>
      <c r="K692" s="166"/>
      <c r="L692" s="166"/>
      <c r="M692" s="166">
        <v>10000</v>
      </c>
      <c r="N692" s="166"/>
      <c r="O692" s="166">
        <f t="shared" si="94"/>
        <v>10000</v>
      </c>
      <c r="P692" s="166"/>
      <c r="Q692" s="166">
        <f t="shared" si="90"/>
        <v>10000</v>
      </c>
      <c r="R692" s="166">
        <f t="shared" si="91"/>
        <v>0</v>
      </c>
      <c r="S692" s="166">
        <f t="shared" si="92"/>
        <v>10000</v>
      </c>
    </row>
    <row r="693" spans="2:19" x14ac:dyDescent="0.2">
      <c r="B693" s="79">
        <f t="shared" si="93"/>
        <v>137</v>
      </c>
      <c r="C693" s="4"/>
      <c r="D693" s="4"/>
      <c r="E693" s="4"/>
      <c r="F693" s="55" t="s">
        <v>5</v>
      </c>
      <c r="G693" s="15">
        <v>720</v>
      </c>
      <c r="H693" s="15" t="s">
        <v>437</v>
      </c>
      <c r="I693" s="52">
        <f>I694</f>
        <v>0</v>
      </c>
      <c r="J693" s="52">
        <f>J694</f>
        <v>0</v>
      </c>
      <c r="K693" s="52"/>
      <c r="L693" s="126"/>
      <c r="M693" s="52">
        <f>M694</f>
        <v>278676</v>
      </c>
      <c r="N693" s="52">
        <f>N694</f>
        <v>0</v>
      </c>
      <c r="O693" s="52">
        <f t="shared" si="94"/>
        <v>278676</v>
      </c>
      <c r="P693" s="126"/>
      <c r="Q693" s="52">
        <f t="shared" si="90"/>
        <v>278676</v>
      </c>
      <c r="R693" s="52">
        <f t="shared" si="91"/>
        <v>0</v>
      </c>
      <c r="S693" s="52">
        <f t="shared" si="92"/>
        <v>278676</v>
      </c>
    </row>
    <row r="694" spans="2:19" x14ac:dyDescent="0.2">
      <c r="B694" s="79">
        <f t="shared" si="93"/>
        <v>138</v>
      </c>
      <c r="C694" s="4"/>
      <c r="D694" s="4"/>
      <c r="E694" s="4"/>
      <c r="F694" s="89" t="s">
        <v>5</v>
      </c>
      <c r="G694" s="90">
        <v>720</v>
      </c>
      <c r="H694" s="90" t="s">
        <v>437</v>
      </c>
      <c r="I694" s="91"/>
      <c r="J694" s="91"/>
      <c r="K694" s="91"/>
      <c r="L694" s="80"/>
      <c r="M694" s="91">
        <f>M695+M696</f>
        <v>278676</v>
      </c>
      <c r="N694" s="91">
        <f>N695+N696</f>
        <v>0</v>
      </c>
      <c r="O694" s="91">
        <f t="shared" si="94"/>
        <v>278676</v>
      </c>
      <c r="P694" s="80"/>
      <c r="Q694" s="91">
        <f t="shared" si="90"/>
        <v>278676</v>
      </c>
      <c r="R694" s="91">
        <f t="shared" si="91"/>
        <v>0</v>
      </c>
      <c r="S694" s="91">
        <f t="shared" si="92"/>
        <v>278676</v>
      </c>
    </row>
    <row r="695" spans="2:19" x14ac:dyDescent="0.2">
      <c r="B695" s="79">
        <f t="shared" si="93"/>
        <v>139</v>
      </c>
      <c r="C695" s="4"/>
      <c r="D695" s="4"/>
      <c r="E695" s="4"/>
      <c r="F695" s="112"/>
      <c r="G695" s="111">
        <v>723</v>
      </c>
      <c r="H695" s="111" t="s">
        <v>438</v>
      </c>
      <c r="I695" s="80"/>
      <c r="J695" s="80"/>
      <c r="K695" s="80"/>
      <c r="L695" s="80"/>
      <c r="M695" s="80">
        <f>55000-20850-34150</f>
        <v>0</v>
      </c>
      <c r="N695" s="80"/>
      <c r="O695" s="80">
        <f t="shared" si="94"/>
        <v>0</v>
      </c>
      <c r="P695" s="80"/>
      <c r="Q695" s="80">
        <f t="shared" si="90"/>
        <v>0</v>
      </c>
      <c r="R695" s="80">
        <f t="shared" si="91"/>
        <v>0</v>
      </c>
      <c r="S695" s="80">
        <f t="shared" si="92"/>
        <v>0</v>
      </c>
    </row>
    <row r="696" spans="2:19" x14ac:dyDescent="0.2">
      <c r="B696" s="79">
        <f t="shared" si="93"/>
        <v>140</v>
      </c>
      <c r="C696" s="4"/>
      <c r="D696" s="4"/>
      <c r="E696" s="4"/>
      <c r="F696" s="112"/>
      <c r="G696" s="111">
        <v>723</v>
      </c>
      <c r="H696" s="111" t="s">
        <v>530</v>
      </c>
      <c r="I696" s="80"/>
      <c r="J696" s="80"/>
      <c r="K696" s="80"/>
      <c r="L696" s="80"/>
      <c r="M696" s="80">
        <f>297675-82549+63550</f>
        <v>278676</v>
      </c>
      <c r="N696" s="80"/>
      <c r="O696" s="80">
        <f t="shared" si="94"/>
        <v>278676</v>
      </c>
      <c r="P696" s="80"/>
      <c r="Q696" s="80">
        <f t="shared" si="90"/>
        <v>278676</v>
      </c>
      <c r="R696" s="80">
        <f t="shared" si="91"/>
        <v>0</v>
      </c>
      <c r="S696" s="80">
        <f t="shared" si="92"/>
        <v>278676</v>
      </c>
    </row>
    <row r="742" spans="2:19" ht="27" x14ac:dyDescent="0.35">
      <c r="B742" s="248" t="s">
        <v>303</v>
      </c>
      <c r="C742" s="249"/>
      <c r="D742" s="249"/>
      <c r="E742" s="249"/>
      <c r="F742" s="249"/>
      <c r="G742" s="249"/>
      <c r="H742" s="249"/>
      <c r="I742" s="249"/>
      <c r="J742" s="249"/>
      <c r="K742" s="249"/>
      <c r="L742" s="249"/>
      <c r="M742" s="249"/>
      <c r="N742" s="249"/>
      <c r="O742" s="249"/>
      <c r="P742" s="249"/>
      <c r="Q742" s="249"/>
    </row>
    <row r="743" spans="2:19" ht="12.75" customHeight="1" x14ac:dyDescent="0.2">
      <c r="B743" s="260" t="s">
        <v>281</v>
      </c>
      <c r="C743" s="261"/>
      <c r="D743" s="261"/>
      <c r="E743" s="261"/>
      <c r="F743" s="261"/>
      <c r="G743" s="261"/>
      <c r="H743" s="261"/>
      <c r="I743" s="261"/>
      <c r="J743" s="261"/>
      <c r="K743" s="261"/>
      <c r="L743" s="261"/>
      <c r="M743" s="261"/>
      <c r="N743" s="261"/>
      <c r="O743" s="262"/>
      <c r="P743" s="208"/>
      <c r="Q743" s="250" t="s">
        <v>779</v>
      </c>
      <c r="R743" s="250" t="s">
        <v>773</v>
      </c>
      <c r="S743" s="250" t="s">
        <v>774</v>
      </c>
    </row>
    <row r="744" spans="2:19" ht="12.75" customHeight="1" x14ac:dyDescent="0.2">
      <c r="B744" s="253" t="s">
        <v>112</v>
      </c>
      <c r="C744" s="255" t="s">
        <v>120</v>
      </c>
      <c r="D744" s="255" t="s">
        <v>121</v>
      </c>
      <c r="E744" s="257" t="s">
        <v>125</v>
      </c>
      <c r="F744" s="255" t="s">
        <v>122</v>
      </c>
      <c r="G744" s="255" t="s">
        <v>123</v>
      </c>
      <c r="H744" s="263" t="s">
        <v>124</v>
      </c>
      <c r="I744" s="250" t="s">
        <v>777</v>
      </c>
      <c r="J744" s="251" t="s">
        <v>773</v>
      </c>
      <c r="K744" s="251" t="s">
        <v>775</v>
      </c>
      <c r="L744" s="197"/>
      <c r="M744" s="250" t="s">
        <v>778</v>
      </c>
      <c r="N744" s="251" t="s">
        <v>773</v>
      </c>
      <c r="O744" s="251" t="s">
        <v>776</v>
      </c>
      <c r="P744" s="198"/>
      <c r="Q744" s="251"/>
      <c r="R744" s="251"/>
      <c r="S744" s="251"/>
    </row>
    <row r="745" spans="2:19" x14ac:dyDescent="0.2">
      <c r="B745" s="253"/>
      <c r="C745" s="255"/>
      <c r="D745" s="255"/>
      <c r="E745" s="258"/>
      <c r="F745" s="255"/>
      <c r="G745" s="255"/>
      <c r="H745" s="263"/>
      <c r="I745" s="251"/>
      <c r="J745" s="251"/>
      <c r="K745" s="251"/>
      <c r="L745" s="198"/>
      <c r="M745" s="251"/>
      <c r="N745" s="251"/>
      <c r="O745" s="251"/>
      <c r="P745" s="198"/>
      <c r="Q745" s="251"/>
      <c r="R745" s="251"/>
      <c r="S745" s="251"/>
    </row>
    <row r="746" spans="2:19" x14ac:dyDescent="0.2">
      <c r="B746" s="253"/>
      <c r="C746" s="255"/>
      <c r="D746" s="255"/>
      <c r="E746" s="258"/>
      <c r="F746" s="255"/>
      <c r="G746" s="255"/>
      <c r="H746" s="263"/>
      <c r="I746" s="251"/>
      <c r="J746" s="251"/>
      <c r="K746" s="251"/>
      <c r="L746" s="198"/>
      <c r="M746" s="251"/>
      <c r="N746" s="251"/>
      <c r="O746" s="251"/>
      <c r="P746" s="198"/>
      <c r="Q746" s="251"/>
      <c r="R746" s="251"/>
      <c r="S746" s="251"/>
    </row>
    <row r="747" spans="2:19" ht="13.5" thickBot="1" x14ac:dyDescent="0.25">
      <c r="B747" s="254"/>
      <c r="C747" s="256"/>
      <c r="D747" s="256"/>
      <c r="E747" s="259"/>
      <c r="F747" s="256"/>
      <c r="G747" s="256"/>
      <c r="H747" s="264"/>
      <c r="I747" s="252"/>
      <c r="J747" s="252"/>
      <c r="K747" s="252"/>
      <c r="L747" s="199"/>
      <c r="M747" s="252"/>
      <c r="N747" s="252"/>
      <c r="O747" s="252"/>
      <c r="P747" s="199"/>
      <c r="Q747" s="252"/>
      <c r="R747" s="252"/>
      <c r="S747" s="252"/>
    </row>
    <row r="748" spans="2:19" ht="16.5" thickTop="1" x14ac:dyDescent="0.2">
      <c r="B748" s="78">
        <v>1</v>
      </c>
      <c r="C748" s="265" t="s">
        <v>303</v>
      </c>
      <c r="D748" s="266"/>
      <c r="E748" s="266"/>
      <c r="F748" s="266"/>
      <c r="G748" s="266"/>
      <c r="H748" s="267"/>
      <c r="I748" s="47">
        <f>I1575+I1325+I1220+I965+I749</f>
        <v>13829052</v>
      </c>
      <c r="J748" s="47">
        <f>J1575+J1325+J1220+J965+J749</f>
        <v>236045</v>
      </c>
      <c r="K748" s="47">
        <f>I748+J748</f>
        <v>14065097</v>
      </c>
      <c r="L748" s="200"/>
      <c r="M748" s="47">
        <f>M1575+M1325+M1220+M965+M749</f>
        <v>1343066</v>
      </c>
      <c r="N748" s="47">
        <f>N1575+N1325+N1220+N965+N749</f>
        <v>0</v>
      </c>
      <c r="O748" s="47">
        <f>M748+N748</f>
        <v>1343066</v>
      </c>
      <c r="P748" s="200"/>
      <c r="Q748" s="47">
        <f t="shared" ref="Q748:Q811" si="95">M748+I748</f>
        <v>15172118</v>
      </c>
      <c r="R748" s="47">
        <f t="shared" ref="R748:R751" si="96">N748+J748</f>
        <v>236045</v>
      </c>
      <c r="S748" s="47">
        <f t="shared" ref="S748:S751" si="97">O748+K748</f>
        <v>15408163</v>
      </c>
    </row>
    <row r="749" spans="2:19" ht="15" x14ac:dyDescent="0.2">
      <c r="B749" s="79">
        <f t="shared" ref="B749:B812" si="98">B748+1</f>
        <v>2</v>
      </c>
      <c r="C749" s="191">
        <v>1</v>
      </c>
      <c r="D749" s="245" t="s">
        <v>200</v>
      </c>
      <c r="E749" s="246"/>
      <c r="F749" s="246"/>
      <c r="G749" s="246"/>
      <c r="H749" s="247"/>
      <c r="I749" s="48">
        <f>I750+I762+I776</f>
        <v>3426617</v>
      </c>
      <c r="J749" s="48">
        <f>J750+J762+J776</f>
        <v>1280</v>
      </c>
      <c r="K749" s="48">
        <f t="shared" ref="K749:K812" si="99">I749+J749</f>
        <v>3427897</v>
      </c>
      <c r="L749" s="201"/>
      <c r="M749" s="48">
        <f>M750+M762+M776</f>
        <v>736556</v>
      </c>
      <c r="N749" s="48">
        <f>N750+N762+N776</f>
        <v>0</v>
      </c>
      <c r="O749" s="48">
        <f t="shared" ref="O749:O812" si="100">M749+N749</f>
        <v>736556</v>
      </c>
      <c r="P749" s="201"/>
      <c r="Q749" s="48">
        <f t="shared" si="95"/>
        <v>4163173</v>
      </c>
      <c r="R749" s="48">
        <f t="shared" si="96"/>
        <v>1280</v>
      </c>
      <c r="S749" s="48">
        <f t="shared" si="97"/>
        <v>4164453</v>
      </c>
    </row>
    <row r="750" spans="2:19" x14ac:dyDescent="0.2">
      <c r="B750" s="79">
        <f t="shared" si="98"/>
        <v>3</v>
      </c>
      <c r="C750" s="15"/>
      <c r="D750" s="15"/>
      <c r="E750" s="15"/>
      <c r="F750" s="55" t="s">
        <v>199</v>
      </c>
      <c r="G750" s="15">
        <v>640</v>
      </c>
      <c r="H750" s="15" t="s">
        <v>135</v>
      </c>
      <c r="I750" s="52">
        <f>SUM(I751:I761)</f>
        <v>366099</v>
      </c>
      <c r="J750" s="52">
        <f>SUM(J751:J761)</f>
        <v>0</v>
      </c>
      <c r="K750" s="52">
        <f t="shared" si="99"/>
        <v>366099</v>
      </c>
      <c r="L750" s="126"/>
      <c r="M750" s="52"/>
      <c r="N750" s="52"/>
      <c r="O750" s="52">
        <f t="shared" si="100"/>
        <v>0</v>
      </c>
      <c r="P750" s="126"/>
      <c r="Q750" s="52">
        <f t="shared" si="95"/>
        <v>366099</v>
      </c>
      <c r="R750" s="52">
        <f t="shared" si="96"/>
        <v>0</v>
      </c>
      <c r="S750" s="52">
        <f t="shared" si="97"/>
        <v>366099</v>
      </c>
    </row>
    <row r="751" spans="2:19" x14ac:dyDescent="0.2">
      <c r="B751" s="79">
        <f t="shared" si="98"/>
        <v>4</v>
      </c>
      <c r="C751" s="15"/>
      <c r="D751" s="15"/>
      <c r="E751" s="15"/>
      <c r="F751" s="55"/>
      <c r="G751" s="15"/>
      <c r="H751" s="64" t="s">
        <v>249</v>
      </c>
      <c r="I751" s="62">
        <v>95582</v>
      </c>
      <c r="J751" s="62"/>
      <c r="K751" s="62">
        <f t="shared" si="99"/>
        <v>95582</v>
      </c>
      <c r="L751" s="80"/>
      <c r="M751" s="62"/>
      <c r="N751" s="62"/>
      <c r="O751" s="62">
        <f t="shared" si="100"/>
        <v>0</v>
      </c>
      <c r="P751" s="80"/>
      <c r="Q751" s="62">
        <f t="shared" si="95"/>
        <v>95582</v>
      </c>
      <c r="R751" s="62">
        <f t="shared" si="96"/>
        <v>0</v>
      </c>
      <c r="S751" s="62">
        <f t="shared" si="97"/>
        <v>95582</v>
      </c>
    </row>
    <row r="752" spans="2:19" x14ac:dyDescent="0.2">
      <c r="B752" s="79">
        <f t="shared" si="98"/>
        <v>5</v>
      </c>
      <c r="C752" s="15"/>
      <c r="D752" s="15"/>
      <c r="E752" s="15"/>
      <c r="F752" s="55"/>
      <c r="G752" s="15"/>
      <c r="H752" s="64" t="s">
        <v>719</v>
      </c>
      <c r="I752" s="62">
        <f>2000-2000</f>
        <v>0</v>
      </c>
      <c r="J752" s="62"/>
      <c r="K752" s="62">
        <f t="shared" si="99"/>
        <v>0</v>
      </c>
      <c r="L752" s="80"/>
      <c r="M752" s="62"/>
      <c r="N752" s="62"/>
      <c r="O752" s="62">
        <f t="shared" si="100"/>
        <v>0</v>
      </c>
      <c r="P752" s="80"/>
      <c r="Q752" s="62"/>
      <c r="R752" s="62"/>
      <c r="S752" s="62"/>
    </row>
    <row r="753" spans="1:19" x14ac:dyDescent="0.2">
      <c r="B753" s="79">
        <f t="shared" si="98"/>
        <v>6</v>
      </c>
      <c r="C753" s="15"/>
      <c r="D753" s="15"/>
      <c r="E753" s="15"/>
      <c r="F753" s="55"/>
      <c r="G753" s="15"/>
      <c r="H753" s="64" t="s">
        <v>375</v>
      </c>
      <c r="I753" s="62">
        <v>73941</v>
      </c>
      <c r="J753" s="62"/>
      <c r="K753" s="62">
        <f t="shared" si="99"/>
        <v>73941</v>
      </c>
      <c r="L753" s="80"/>
      <c r="M753" s="62"/>
      <c r="N753" s="62"/>
      <c r="O753" s="62">
        <f t="shared" si="100"/>
        <v>0</v>
      </c>
      <c r="P753" s="80"/>
      <c r="Q753" s="62">
        <f t="shared" si="95"/>
        <v>73941</v>
      </c>
      <c r="R753" s="62">
        <f t="shared" ref="R753:R772" si="101">N753+J753</f>
        <v>0</v>
      </c>
      <c r="S753" s="62">
        <f t="shared" ref="S753:S772" si="102">O753+K753</f>
        <v>73941</v>
      </c>
    </row>
    <row r="754" spans="1:19" x14ac:dyDescent="0.2">
      <c r="B754" s="79">
        <f t="shared" si="98"/>
        <v>7</v>
      </c>
      <c r="C754" s="15"/>
      <c r="D754" s="15"/>
      <c r="E754" s="15"/>
      <c r="F754" s="55"/>
      <c r="G754" s="15"/>
      <c r="H754" s="64" t="s">
        <v>376</v>
      </c>
      <c r="I754" s="62">
        <v>45086</v>
      </c>
      <c r="J754" s="62"/>
      <c r="K754" s="62">
        <f t="shared" si="99"/>
        <v>45086</v>
      </c>
      <c r="L754" s="80"/>
      <c r="M754" s="62"/>
      <c r="N754" s="62"/>
      <c r="O754" s="62">
        <f t="shared" si="100"/>
        <v>0</v>
      </c>
      <c r="P754" s="80"/>
      <c r="Q754" s="62">
        <f t="shared" si="95"/>
        <v>45086</v>
      </c>
      <c r="R754" s="62">
        <f t="shared" si="101"/>
        <v>0</v>
      </c>
      <c r="S754" s="62">
        <f t="shared" si="102"/>
        <v>45086</v>
      </c>
    </row>
    <row r="755" spans="1:19" x14ac:dyDescent="0.2">
      <c r="B755" s="79">
        <f t="shared" si="98"/>
        <v>8</v>
      </c>
      <c r="C755" s="15"/>
      <c r="D755" s="15"/>
      <c r="E755" s="15"/>
      <c r="F755" s="55"/>
      <c r="G755" s="15"/>
      <c r="H755" s="64" t="s">
        <v>289</v>
      </c>
      <c r="I755" s="62">
        <v>21642</v>
      </c>
      <c r="J755" s="62"/>
      <c r="K755" s="62">
        <f t="shared" si="99"/>
        <v>21642</v>
      </c>
      <c r="L755" s="80"/>
      <c r="M755" s="62"/>
      <c r="N755" s="62"/>
      <c r="O755" s="62">
        <f t="shared" si="100"/>
        <v>0</v>
      </c>
      <c r="P755" s="80"/>
      <c r="Q755" s="62">
        <f t="shared" si="95"/>
        <v>21642</v>
      </c>
      <c r="R755" s="62">
        <f t="shared" si="101"/>
        <v>0</v>
      </c>
      <c r="S755" s="62">
        <f t="shared" si="102"/>
        <v>21642</v>
      </c>
    </row>
    <row r="756" spans="1:19" x14ac:dyDescent="0.2">
      <c r="B756" s="79">
        <f t="shared" si="98"/>
        <v>9</v>
      </c>
      <c r="C756" s="15"/>
      <c r="D756" s="15"/>
      <c r="E756" s="15"/>
      <c r="F756" s="55"/>
      <c r="G756" s="15"/>
      <c r="H756" s="64" t="s">
        <v>290</v>
      </c>
      <c r="I756" s="62">
        <v>36069</v>
      </c>
      <c r="J756" s="62"/>
      <c r="K756" s="62">
        <f t="shared" si="99"/>
        <v>36069</v>
      </c>
      <c r="L756" s="80"/>
      <c r="M756" s="62"/>
      <c r="N756" s="62"/>
      <c r="O756" s="62">
        <f t="shared" si="100"/>
        <v>0</v>
      </c>
      <c r="P756" s="80"/>
      <c r="Q756" s="62">
        <f t="shared" si="95"/>
        <v>36069</v>
      </c>
      <c r="R756" s="62">
        <f t="shared" si="101"/>
        <v>0</v>
      </c>
      <c r="S756" s="62">
        <f t="shared" si="102"/>
        <v>36069</v>
      </c>
    </row>
    <row r="757" spans="1:19" x14ac:dyDescent="0.2">
      <c r="B757" s="79">
        <f t="shared" si="98"/>
        <v>10</v>
      </c>
      <c r="C757" s="15"/>
      <c r="D757" s="15"/>
      <c r="E757" s="15"/>
      <c r="F757" s="55"/>
      <c r="G757" s="15"/>
      <c r="H757" s="64" t="s">
        <v>291</v>
      </c>
      <c r="I757" s="62">
        <v>75744</v>
      </c>
      <c r="J757" s="62"/>
      <c r="K757" s="62">
        <f t="shared" si="99"/>
        <v>75744</v>
      </c>
      <c r="L757" s="80"/>
      <c r="M757" s="62"/>
      <c r="N757" s="62"/>
      <c r="O757" s="62">
        <f t="shared" si="100"/>
        <v>0</v>
      </c>
      <c r="P757" s="80"/>
      <c r="Q757" s="62">
        <f t="shared" si="95"/>
        <v>75744</v>
      </c>
      <c r="R757" s="62">
        <f t="shared" si="101"/>
        <v>0</v>
      </c>
      <c r="S757" s="62">
        <f t="shared" si="102"/>
        <v>75744</v>
      </c>
    </row>
    <row r="758" spans="1:19" x14ac:dyDescent="0.2">
      <c r="B758" s="79">
        <f t="shared" si="98"/>
        <v>11</v>
      </c>
      <c r="C758" s="15"/>
      <c r="D758" s="15"/>
      <c r="E758" s="15"/>
      <c r="F758" s="55"/>
      <c r="G758" s="15"/>
      <c r="H758" s="64" t="s">
        <v>640</v>
      </c>
      <c r="I758" s="62">
        <f>7000-7000</f>
        <v>0</v>
      </c>
      <c r="J758" s="62"/>
      <c r="K758" s="62">
        <f t="shared" si="99"/>
        <v>0</v>
      </c>
      <c r="L758" s="80"/>
      <c r="M758" s="62"/>
      <c r="N758" s="62"/>
      <c r="O758" s="62">
        <f t="shared" si="100"/>
        <v>0</v>
      </c>
      <c r="P758" s="80"/>
      <c r="Q758" s="62">
        <f t="shared" si="95"/>
        <v>0</v>
      </c>
      <c r="R758" s="62">
        <f t="shared" si="101"/>
        <v>0</v>
      </c>
      <c r="S758" s="62">
        <f t="shared" si="102"/>
        <v>0</v>
      </c>
    </row>
    <row r="759" spans="1:19" x14ac:dyDescent="0.2">
      <c r="B759" s="79">
        <f t="shared" si="98"/>
        <v>12</v>
      </c>
      <c r="C759" s="15"/>
      <c r="D759" s="15"/>
      <c r="E759" s="15"/>
      <c r="F759" s="55"/>
      <c r="G759" s="15"/>
      <c r="H759" s="64" t="s">
        <v>377</v>
      </c>
      <c r="I759" s="62">
        <f>18035-18035</f>
        <v>0</v>
      </c>
      <c r="J759" s="62"/>
      <c r="K759" s="62">
        <f t="shared" si="99"/>
        <v>0</v>
      </c>
      <c r="L759" s="80"/>
      <c r="M759" s="62"/>
      <c r="N759" s="62"/>
      <c r="O759" s="62">
        <f t="shared" si="100"/>
        <v>0</v>
      </c>
      <c r="P759" s="80"/>
      <c r="Q759" s="62">
        <f t="shared" si="95"/>
        <v>0</v>
      </c>
      <c r="R759" s="62">
        <f t="shared" si="101"/>
        <v>0</v>
      </c>
      <c r="S759" s="62">
        <f t="shared" si="102"/>
        <v>0</v>
      </c>
    </row>
    <row r="760" spans="1:19" x14ac:dyDescent="0.2">
      <c r="B760" s="79">
        <f t="shared" si="98"/>
        <v>13</v>
      </c>
      <c r="C760" s="15"/>
      <c r="D760" s="15"/>
      <c r="E760" s="15"/>
      <c r="F760" s="55"/>
      <c r="G760" s="15"/>
      <c r="H760" s="64" t="s">
        <v>662</v>
      </c>
      <c r="I760" s="62">
        <v>18035</v>
      </c>
      <c r="J760" s="62"/>
      <c r="K760" s="62">
        <f t="shared" si="99"/>
        <v>18035</v>
      </c>
      <c r="L760" s="80"/>
      <c r="M760" s="62"/>
      <c r="N760" s="62"/>
      <c r="O760" s="62">
        <f t="shared" si="100"/>
        <v>0</v>
      </c>
      <c r="P760" s="80"/>
      <c r="Q760" s="62">
        <f t="shared" si="95"/>
        <v>18035</v>
      </c>
      <c r="R760" s="62">
        <f t="shared" si="101"/>
        <v>0</v>
      </c>
      <c r="S760" s="62">
        <f t="shared" si="102"/>
        <v>18035</v>
      </c>
    </row>
    <row r="761" spans="1:19" x14ac:dyDescent="0.2">
      <c r="B761" s="79">
        <f t="shared" si="98"/>
        <v>14</v>
      </c>
      <c r="C761" s="15"/>
      <c r="D761" s="15"/>
      <c r="E761" s="15"/>
      <c r="F761" s="55"/>
      <c r="G761" s="15"/>
      <c r="H761" s="64" t="s">
        <v>650</v>
      </c>
      <c r="I761" s="62">
        <f>7000-7000</f>
        <v>0</v>
      </c>
      <c r="J761" s="62"/>
      <c r="K761" s="62">
        <f t="shared" si="99"/>
        <v>0</v>
      </c>
      <c r="L761" s="80"/>
      <c r="M761" s="62"/>
      <c r="N761" s="62"/>
      <c r="O761" s="62">
        <f t="shared" si="100"/>
        <v>0</v>
      </c>
      <c r="P761" s="80"/>
      <c r="Q761" s="62">
        <f t="shared" si="95"/>
        <v>0</v>
      </c>
      <c r="R761" s="62">
        <f t="shared" si="101"/>
        <v>0</v>
      </c>
      <c r="S761" s="62">
        <f t="shared" si="102"/>
        <v>0</v>
      </c>
    </row>
    <row r="762" spans="1:19" s="75" customFormat="1" ht="15" x14ac:dyDescent="0.25">
      <c r="A762" s="71"/>
      <c r="B762" s="79">
        <f t="shared" si="98"/>
        <v>15</v>
      </c>
      <c r="C762" s="18"/>
      <c r="D762" s="18"/>
      <c r="E762" s="18">
        <v>3</v>
      </c>
      <c r="F762" s="53"/>
      <c r="G762" s="18"/>
      <c r="H762" s="18" t="s">
        <v>269</v>
      </c>
      <c r="I762" s="50">
        <f>I763+I764+I765+I771</f>
        <v>417563</v>
      </c>
      <c r="J762" s="50">
        <f>J763+J764+J765+J771</f>
        <v>1664</v>
      </c>
      <c r="K762" s="50">
        <f t="shared" si="99"/>
        <v>419227</v>
      </c>
      <c r="L762" s="203"/>
      <c r="M762" s="50">
        <f>M763+M764+M765+M771+M774+M772</f>
        <v>64660</v>
      </c>
      <c r="N762" s="50">
        <f>N763+N764+N765+N771+N774+N772</f>
        <v>0</v>
      </c>
      <c r="O762" s="50">
        <f t="shared" si="100"/>
        <v>64660</v>
      </c>
      <c r="P762" s="203"/>
      <c r="Q762" s="50">
        <f t="shared" si="95"/>
        <v>482223</v>
      </c>
      <c r="R762" s="50">
        <f t="shared" si="101"/>
        <v>1664</v>
      </c>
      <c r="S762" s="50">
        <f t="shared" si="102"/>
        <v>483887</v>
      </c>
    </row>
    <row r="763" spans="1:19" x14ac:dyDescent="0.2">
      <c r="B763" s="79">
        <f t="shared" si="98"/>
        <v>16</v>
      </c>
      <c r="C763" s="15"/>
      <c r="D763" s="15"/>
      <c r="E763" s="15"/>
      <c r="F763" s="55" t="s">
        <v>199</v>
      </c>
      <c r="G763" s="15">
        <v>610</v>
      </c>
      <c r="H763" s="15" t="s">
        <v>136</v>
      </c>
      <c r="I763" s="52">
        <f>233795+1300</f>
        <v>235095</v>
      </c>
      <c r="J763" s="52">
        <v>1849</v>
      </c>
      <c r="K763" s="52">
        <f t="shared" si="99"/>
        <v>236944</v>
      </c>
      <c r="L763" s="126"/>
      <c r="M763" s="52"/>
      <c r="N763" s="52"/>
      <c r="O763" s="52">
        <f t="shared" si="100"/>
        <v>0</v>
      </c>
      <c r="P763" s="126"/>
      <c r="Q763" s="52">
        <f t="shared" si="95"/>
        <v>235095</v>
      </c>
      <c r="R763" s="52">
        <f t="shared" si="101"/>
        <v>1849</v>
      </c>
      <c r="S763" s="52">
        <f t="shared" si="102"/>
        <v>236944</v>
      </c>
    </row>
    <row r="764" spans="1:19" x14ac:dyDescent="0.2">
      <c r="B764" s="79">
        <f t="shared" si="98"/>
        <v>17</v>
      </c>
      <c r="C764" s="15"/>
      <c r="D764" s="15"/>
      <c r="E764" s="15"/>
      <c r="F764" s="55" t="s">
        <v>199</v>
      </c>
      <c r="G764" s="15">
        <v>620</v>
      </c>
      <c r="H764" s="15" t="s">
        <v>131</v>
      </c>
      <c r="I764" s="52">
        <f>88720+700</f>
        <v>89420</v>
      </c>
      <c r="J764" s="52"/>
      <c r="K764" s="52">
        <f t="shared" si="99"/>
        <v>89420</v>
      </c>
      <c r="L764" s="126"/>
      <c r="M764" s="52"/>
      <c r="N764" s="52"/>
      <c r="O764" s="52">
        <f t="shared" si="100"/>
        <v>0</v>
      </c>
      <c r="P764" s="126"/>
      <c r="Q764" s="52">
        <f t="shared" si="95"/>
        <v>89420</v>
      </c>
      <c r="R764" s="52">
        <f t="shared" si="101"/>
        <v>0</v>
      </c>
      <c r="S764" s="52">
        <f t="shared" si="102"/>
        <v>89420</v>
      </c>
    </row>
    <row r="765" spans="1:19" s="75" customFormat="1" x14ac:dyDescent="0.2">
      <c r="A765" s="71"/>
      <c r="B765" s="79">
        <f t="shared" si="98"/>
        <v>18</v>
      </c>
      <c r="C765" s="15"/>
      <c r="D765" s="15"/>
      <c r="E765" s="15"/>
      <c r="F765" s="55" t="s">
        <v>199</v>
      </c>
      <c r="G765" s="15">
        <v>630</v>
      </c>
      <c r="H765" s="15" t="s">
        <v>128</v>
      </c>
      <c r="I765" s="52">
        <f>I770+I769+I768+I767+I766</f>
        <v>87768</v>
      </c>
      <c r="J765" s="52">
        <f>J770+J769+J768+J767+J766</f>
        <v>2715</v>
      </c>
      <c r="K765" s="52">
        <f t="shared" si="99"/>
        <v>90483</v>
      </c>
      <c r="L765" s="126"/>
      <c r="M765" s="52">
        <f>M770+M769+M768+M767+M766</f>
        <v>0</v>
      </c>
      <c r="N765" s="52">
        <f>N770+N769+N768+N767+N766</f>
        <v>0</v>
      </c>
      <c r="O765" s="52">
        <f t="shared" si="100"/>
        <v>0</v>
      </c>
      <c r="P765" s="126"/>
      <c r="Q765" s="52">
        <f t="shared" si="95"/>
        <v>87768</v>
      </c>
      <c r="R765" s="52">
        <f t="shared" si="101"/>
        <v>2715</v>
      </c>
      <c r="S765" s="52">
        <f t="shared" si="102"/>
        <v>90483</v>
      </c>
    </row>
    <row r="766" spans="1:19" s="75" customFormat="1" x14ac:dyDescent="0.2">
      <c r="A766" s="71"/>
      <c r="B766" s="79">
        <f t="shared" si="98"/>
        <v>19</v>
      </c>
      <c r="C766" s="4"/>
      <c r="D766" s="4"/>
      <c r="E766" s="4"/>
      <c r="F766" s="56" t="s">
        <v>199</v>
      </c>
      <c r="G766" s="4">
        <v>632</v>
      </c>
      <c r="H766" s="4" t="s">
        <v>139</v>
      </c>
      <c r="I766" s="26">
        <v>49700</v>
      </c>
      <c r="J766" s="26"/>
      <c r="K766" s="26">
        <f t="shared" si="99"/>
        <v>49700</v>
      </c>
      <c r="L766" s="80"/>
      <c r="M766" s="26"/>
      <c r="N766" s="26"/>
      <c r="O766" s="26">
        <f t="shared" si="100"/>
        <v>0</v>
      </c>
      <c r="P766" s="80"/>
      <c r="Q766" s="26">
        <f t="shared" si="95"/>
        <v>49700</v>
      </c>
      <c r="R766" s="26">
        <f t="shared" si="101"/>
        <v>0</v>
      </c>
      <c r="S766" s="26">
        <f t="shared" si="102"/>
        <v>49700</v>
      </c>
    </row>
    <row r="767" spans="1:19" x14ac:dyDescent="0.2">
      <c r="B767" s="79">
        <f t="shared" si="98"/>
        <v>20</v>
      </c>
      <c r="C767" s="4"/>
      <c r="D767" s="4"/>
      <c r="E767" s="4"/>
      <c r="F767" s="56" t="s">
        <v>199</v>
      </c>
      <c r="G767" s="4">
        <v>633</v>
      </c>
      <c r="H767" s="4" t="s">
        <v>132</v>
      </c>
      <c r="I767" s="26">
        <f>18864+3424</f>
        <v>22288</v>
      </c>
      <c r="J767" s="26">
        <v>1664</v>
      </c>
      <c r="K767" s="26">
        <f t="shared" si="99"/>
        <v>23952</v>
      </c>
      <c r="L767" s="80"/>
      <c r="M767" s="26"/>
      <c r="N767" s="26"/>
      <c r="O767" s="26">
        <f t="shared" si="100"/>
        <v>0</v>
      </c>
      <c r="P767" s="80"/>
      <c r="Q767" s="26">
        <f t="shared" si="95"/>
        <v>22288</v>
      </c>
      <c r="R767" s="26">
        <f t="shared" si="101"/>
        <v>1664</v>
      </c>
      <c r="S767" s="26">
        <f t="shared" si="102"/>
        <v>23952</v>
      </c>
    </row>
    <row r="768" spans="1:19" x14ac:dyDescent="0.2">
      <c r="B768" s="79">
        <f t="shared" si="98"/>
        <v>21</v>
      </c>
      <c r="C768" s="4"/>
      <c r="D768" s="4"/>
      <c r="E768" s="4"/>
      <c r="F768" s="56" t="s">
        <v>199</v>
      </c>
      <c r="G768" s="4">
        <v>635</v>
      </c>
      <c r="H768" s="4" t="s">
        <v>138</v>
      </c>
      <c r="I768" s="26">
        <v>1000</v>
      </c>
      <c r="J768" s="26">
        <v>1051</v>
      </c>
      <c r="K768" s="26">
        <f t="shared" si="99"/>
        <v>2051</v>
      </c>
      <c r="L768" s="80"/>
      <c r="M768" s="26"/>
      <c r="N768" s="26"/>
      <c r="O768" s="26">
        <f t="shared" si="100"/>
        <v>0</v>
      </c>
      <c r="P768" s="80"/>
      <c r="Q768" s="26">
        <f t="shared" si="95"/>
        <v>1000</v>
      </c>
      <c r="R768" s="26">
        <f t="shared" si="101"/>
        <v>1051</v>
      </c>
      <c r="S768" s="26">
        <f t="shared" si="102"/>
        <v>2051</v>
      </c>
    </row>
    <row r="769" spans="2:19" x14ac:dyDescent="0.2">
      <c r="B769" s="79">
        <f t="shared" si="98"/>
        <v>22</v>
      </c>
      <c r="C769" s="4"/>
      <c r="D769" s="4"/>
      <c r="E769" s="4"/>
      <c r="F769" s="56" t="s">
        <v>199</v>
      </c>
      <c r="G769" s="4">
        <v>636</v>
      </c>
      <c r="H769" s="4" t="s">
        <v>133</v>
      </c>
      <c r="I769" s="26">
        <v>7200</v>
      </c>
      <c r="J769" s="26"/>
      <c r="K769" s="26">
        <f t="shared" si="99"/>
        <v>7200</v>
      </c>
      <c r="L769" s="80"/>
      <c r="M769" s="26"/>
      <c r="N769" s="26"/>
      <c r="O769" s="26">
        <f t="shared" si="100"/>
        <v>0</v>
      </c>
      <c r="P769" s="80"/>
      <c r="Q769" s="26">
        <f t="shared" si="95"/>
        <v>7200</v>
      </c>
      <c r="R769" s="26">
        <f t="shared" si="101"/>
        <v>0</v>
      </c>
      <c r="S769" s="26">
        <f t="shared" si="102"/>
        <v>7200</v>
      </c>
    </row>
    <row r="770" spans="2:19" x14ac:dyDescent="0.2">
      <c r="B770" s="79">
        <f t="shared" si="98"/>
        <v>23</v>
      </c>
      <c r="C770" s="4"/>
      <c r="D770" s="4"/>
      <c r="E770" s="4"/>
      <c r="F770" s="56" t="s">
        <v>199</v>
      </c>
      <c r="G770" s="4">
        <v>637</v>
      </c>
      <c r="H770" s="4" t="s">
        <v>129</v>
      </c>
      <c r="I770" s="26">
        <v>7580</v>
      </c>
      <c r="J770" s="26"/>
      <c r="K770" s="26">
        <f t="shared" si="99"/>
        <v>7580</v>
      </c>
      <c r="L770" s="80"/>
      <c r="M770" s="26"/>
      <c r="N770" s="26"/>
      <c r="O770" s="26">
        <f t="shared" si="100"/>
        <v>0</v>
      </c>
      <c r="P770" s="80"/>
      <c r="Q770" s="26">
        <f t="shared" si="95"/>
        <v>7580</v>
      </c>
      <c r="R770" s="26">
        <f t="shared" si="101"/>
        <v>0</v>
      </c>
      <c r="S770" s="26">
        <f t="shared" si="102"/>
        <v>7580</v>
      </c>
    </row>
    <row r="771" spans="2:19" x14ac:dyDescent="0.2">
      <c r="B771" s="79">
        <f t="shared" si="98"/>
        <v>24</v>
      </c>
      <c r="C771" s="15"/>
      <c r="D771" s="15"/>
      <c r="E771" s="15"/>
      <c r="F771" s="55" t="s">
        <v>199</v>
      </c>
      <c r="G771" s="15">
        <v>640</v>
      </c>
      <c r="H771" s="15" t="s">
        <v>135</v>
      </c>
      <c r="I771" s="52">
        <v>5280</v>
      </c>
      <c r="J771" s="52">
        <v>-2900</v>
      </c>
      <c r="K771" s="52">
        <f t="shared" si="99"/>
        <v>2380</v>
      </c>
      <c r="L771" s="126"/>
      <c r="M771" s="52"/>
      <c r="N771" s="52"/>
      <c r="O771" s="52">
        <f t="shared" si="100"/>
        <v>0</v>
      </c>
      <c r="P771" s="126"/>
      <c r="Q771" s="52">
        <f t="shared" si="95"/>
        <v>5280</v>
      </c>
      <c r="R771" s="52">
        <f t="shared" si="101"/>
        <v>-2900</v>
      </c>
      <c r="S771" s="52">
        <f t="shared" si="102"/>
        <v>2380</v>
      </c>
    </row>
    <row r="772" spans="2:19" x14ac:dyDescent="0.2">
      <c r="B772" s="79">
        <f t="shared" si="98"/>
        <v>25</v>
      </c>
      <c r="C772" s="15"/>
      <c r="D772" s="15"/>
      <c r="E772" s="15"/>
      <c r="F772" s="89" t="s">
        <v>199</v>
      </c>
      <c r="G772" s="90">
        <v>716</v>
      </c>
      <c r="H772" s="90" t="s">
        <v>0</v>
      </c>
      <c r="I772" s="91"/>
      <c r="J772" s="91"/>
      <c r="K772" s="91">
        <f t="shared" si="99"/>
        <v>0</v>
      </c>
      <c r="L772" s="80"/>
      <c r="M772" s="91">
        <f>M773</f>
        <v>9660</v>
      </c>
      <c r="N772" s="91">
        <f>N773</f>
        <v>0</v>
      </c>
      <c r="O772" s="91">
        <f t="shared" si="100"/>
        <v>9660</v>
      </c>
      <c r="P772" s="80"/>
      <c r="Q772" s="91">
        <f t="shared" si="95"/>
        <v>9660</v>
      </c>
      <c r="R772" s="91">
        <f t="shared" si="101"/>
        <v>0</v>
      </c>
      <c r="S772" s="91">
        <f t="shared" si="102"/>
        <v>9660</v>
      </c>
    </row>
    <row r="773" spans="2:19" x14ac:dyDescent="0.2">
      <c r="B773" s="79">
        <f t="shared" si="98"/>
        <v>26</v>
      </c>
      <c r="C773" s="15"/>
      <c r="D773" s="15"/>
      <c r="E773" s="15"/>
      <c r="F773" s="55"/>
      <c r="G773" s="15"/>
      <c r="H773" s="64" t="s">
        <v>519</v>
      </c>
      <c r="I773" s="62"/>
      <c r="J773" s="62"/>
      <c r="K773" s="62">
        <f t="shared" si="99"/>
        <v>0</v>
      </c>
      <c r="L773" s="80"/>
      <c r="M773" s="62">
        <v>9660</v>
      </c>
      <c r="N773" s="62"/>
      <c r="O773" s="62">
        <f t="shared" si="100"/>
        <v>9660</v>
      </c>
      <c r="P773" s="80"/>
      <c r="Q773" s="62">
        <f>I773+M773</f>
        <v>9660</v>
      </c>
      <c r="R773" s="62">
        <f t="shared" ref="R773:S773" si="103">J773+N773</f>
        <v>0</v>
      </c>
      <c r="S773" s="62">
        <f t="shared" si="103"/>
        <v>9660</v>
      </c>
    </row>
    <row r="774" spans="2:19" x14ac:dyDescent="0.2">
      <c r="B774" s="79">
        <f t="shared" si="98"/>
        <v>27</v>
      </c>
      <c r="C774" s="4"/>
      <c r="D774" s="4"/>
      <c r="E774" s="4"/>
      <c r="F774" s="89" t="s">
        <v>199</v>
      </c>
      <c r="G774" s="90">
        <v>717</v>
      </c>
      <c r="H774" s="90" t="s">
        <v>194</v>
      </c>
      <c r="I774" s="91">
        <v>0</v>
      </c>
      <c r="J774" s="91">
        <v>0</v>
      </c>
      <c r="K774" s="91">
        <f t="shared" si="99"/>
        <v>0</v>
      </c>
      <c r="L774" s="80"/>
      <c r="M774" s="91">
        <f>M775</f>
        <v>55000</v>
      </c>
      <c r="N774" s="91">
        <f>N775</f>
        <v>0</v>
      </c>
      <c r="O774" s="91">
        <f t="shared" si="100"/>
        <v>55000</v>
      </c>
      <c r="P774" s="80"/>
      <c r="Q774" s="91">
        <f t="shared" si="95"/>
        <v>55000</v>
      </c>
      <c r="R774" s="91">
        <f t="shared" ref="R774:R792" si="104">N774+J774</f>
        <v>0</v>
      </c>
      <c r="S774" s="91">
        <f t="shared" ref="S774:S792" si="105">O774+K774</f>
        <v>55000</v>
      </c>
    </row>
    <row r="775" spans="2:19" x14ac:dyDescent="0.2">
      <c r="B775" s="79">
        <f t="shared" si="98"/>
        <v>28</v>
      </c>
      <c r="C775" s="82"/>
      <c r="D775" s="82"/>
      <c r="E775" s="82"/>
      <c r="F775" s="87"/>
      <c r="G775" s="88"/>
      <c r="H775" s="93" t="s">
        <v>502</v>
      </c>
      <c r="I775" s="66"/>
      <c r="J775" s="66"/>
      <c r="K775" s="66">
        <f t="shared" si="99"/>
        <v>0</v>
      </c>
      <c r="L775" s="166"/>
      <c r="M775" s="66">
        <v>55000</v>
      </c>
      <c r="N775" s="66"/>
      <c r="O775" s="66">
        <f t="shared" si="100"/>
        <v>55000</v>
      </c>
      <c r="P775" s="166"/>
      <c r="Q775" s="66">
        <f t="shared" si="95"/>
        <v>55000</v>
      </c>
      <c r="R775" s="66">
        <f t="shared" si="104"/>
        <v>0</v>
      </c>
      <c r="S775" s="66">
        <f t="shared" si="105"/>
        <v>55000</v>
      </c>
    </row>
    <row r="776" spans="2:19" ht="15" x14ac:dyDescent="0.25">
      <c r="B776" s="79">
        <f t="shared" si="98"/>
        <v>29</v>
      </c>
      <c r="C776" s="18"/>
      <c r="D776" s="18"/>
      <c r="E776" s="18">
        <v>4</v>
      </c>
      <c r="F776" s="53"/>
      <c r="G776" s="18"/>
      <c r="H776" s="18" t="s">
        <v>85</v>
      </c>
      <c r="I776" s="50">
        <f>I778+I782+I794+I813+I823+I832+I841+I853+I866+I881+I897+I910+I922+I930+I939+I952</f>
        <v>2642955</v>
      </c>
      <c r="J776" s="50">
        <f>J778+J782+J794+J813+J823+J832+J841+J853+J866+J881+J897+J910+J922+J930+J939+J952</f>
        <v>-384</v>
      </c>
      <c r="K776" s="50">
        <f t="shared" si="99"/>
        <v>2642571</v>
      </c>
      <c r="L776" s="203"/>
      <c r="M776" s="50">
        <f>M778+M782+M794+M813+M823+M832+M841+M853+M866+M881+M897+M910+M922+M930+M939+M952</f>
        <v>671896</v>
      </c>
      <c r="N776" s="50">
        <f>N778+N782+N794+N813+N823+N832+N841+N853+N866+N881+N897+N910+N922+N930+N939+N952</f>
        <v>0</v>
      </c>
      <c r="O776" s="50">
        <f t="shared" si="100"/>
        <v>671896</v>
      </c>
      <c r="P776" s="203"/>
      <c r="Q776" s="50">
        <f t="shared" si="95"/>
        <v>3314851</v>
      </c>
      <c r="R776" s="50">
        <f t="shared" si="104"/>
        <v>-384</v>
      </c>
      <c r="S776" s="50">
        <f t="shared" si="105"/>
        <v>3314467</v>
      </c>
    </row>
    <row r="777" spans="2:19" x14ac:dyDescent="0.2">
      <c r="B777" s="79">
        <f t="shared" si="98"/>
        <v>30</v>
      </c>
      <c r="C777" s="14"/>
      <c r="D777" s="14"/>
      <c r="E777" s="14"/>
      <c r="F777" s="54"/>
      <c r="G777" s="14"/>
      <c r="H777" s="14"/>
      <c r="I777" s="51">
        <f>I778</f>
        <v>29788</v>
      </c>
      <c r="J777" s="51">
        <f>J778</f>
        <v>-15576</v>
      </c>
      <c r="K777" s="51">
        <f t="shared" si="99"/>
        <v>14212</v>
      </c>
      <c r="L777" s="126"/>
      <c r="M777" s="51">
        <v>0</v>
      </c>
      <c r="N777" s="51">
        <v>1</v>
      </c>
      <c r="O777" s="51">
        <f t="shared" si="100"/>
        <v>1</v>
      </c>
      <c r="P777" s="126"/>
      <c r="Q777" s="51">
        <f t="shared" si="95"/>
        <v>29788</v>
      </c>
      <c r="R777" s="51">
        <f t="shared" si="104"/>
        <v>-15575</v>
      </c>
      <c r="S777" s="51">
        <f t="shared" si="105"/>
        <v>14213</v>
      </c>
    </row>
    <row r="778" spans="2:19" x14ac:dyDescent="0.2">
      <c r="B778" s="79">
        <f t="shared" si="98"/>
        <v>31</v>
      </c>
      <c r="C778" s="15"/>
      <c r="D778" s="15"/>
      <c r="E778" s="15"/>
      <c r="F778" s="55" t="s">
        <v>199</v>
      </c>
      <c r="G778" s="15">
        <v>630</v>
      </c>
      <c r="H778" s="15" t="s">
        <v>128</v>
      </c>
      <c r="I778" s="52">
        <f>I779+I780+I781</f>
        <v>29788</v>
      </c>
      <c r="J778" s="52">
        <f>J779+J780+J781</f>
        <v>-15576</v>
      </c>
      <c r="K778" s="52">
        <f t="shared" si="99"/>
        <v>14212</v>
      </c>
      <c r="L778" s="126"/>
      <c r="M778" s="52">
        <f>M779</f>
        <v>0</v>
      </c>
      <c r="N778" s="52">
        <f>N779</f>
        <v>0</v>
      </c>
      <c r="O778" s="52">
        <f t="shared" si="100"/>
        <v>0</v>
      </c>
      <c r="P778" s="126"/>
      <c r="Q778" s="52">
        <f t="shared" si="95"/>
        <v>29788</v>
      </c>
      <c r="R778" s="52">
        <f t="shared" si="104"/>
        <v>-15576</v>
      </c>
      <c r="S778" s="52">
        <f t="shared" si="105"/>
        <v>14212</v>
      </c>
    </row>
    <row r="779" spans="2:19" x14ac:dyDescent="0.2">
      <c r="B779" s="79">
        <f t="shared" si="98"/>
        <v>32</v>
      </c>
      <c r="C779" s="4"/>
      <c r="D779" s="4"/>
      <c r="E779" s="4"/>
      <c r="F779" s="56" t="s">
        <v>199</v>
      </c>
      <c r="G779" s="4">
        <v>635</v>
      </c>
      <c r="H779" s="4" t="s">
        <v>138</v>
      </c>
      <c r="I779" s="26">
        <f>30000-1500</f>
        <v>28500</v>
      </c>
      <c r="J779" s="26">
        <v>-16552</v>
      </c>
      <c r="K779" s="26">
        <f t="shared" si="99"/>
        <v>11948</v>
      </c>
      <c r="L779" s="80"/>
      <c r="M779" s="26"/>
      <c r="N779" s="26"/>
      <c r="O779" s="26">
        <f t="shared" si="100"/>
        <v>0</v>
      </c>
      <c r="P779" s="80"/>
      <c r="Q779" s="26">
        <f t="shared" si="95"/>
        <v>28500</v>
      </c>
      <c r="R779" s="26">
        <f t="shared" si="104"/>
        <v>-16552</v>
      </c>
      <c r="S779" s="26">
        <f t="shared" si="105"/>
        <v>11948</v>
      </c>
    </row>
    <row r="780" spans="2:19" x14ac:dyDescent="0.2">
      <c r="B780" s="79">
        <f t="shared" si="98"/>
        <v>33</v>
      </c>
      <c r="C780" s="4"/>
      <c r="D780" s="4"/>
      <c r="E780" s="4"/>
      <c r="F780" s="56" t="s">
        <v>199</v>
      </c>
      <c r="G780" s="4">
        <v>630</v>
      </c>
      <c r="H780" s="4" t="s">
        <v>612</v>
      </c>
      <c r="I780" s="26">
        <v>803</v>
      </c>
      <c r="J780" s="26"/>
      <c r="K780" s="26">
        <f t="shared" si="99"/>
        <v>803</v>
      </c>
      <c r="L780" s="80"/>
      <c r="M780" s="26"/>
      <c r="N780" s="26"/>
      <c r="O780" s="26">
        <f t="shared" si="100"/>
        <v>0</v>
      </c>
      <c r="P780" s="80"/>
      <c r="Q780" s="26">
        <f t="shared" si="95"/>
        <v>803</v>
      </c>
      <c r="R780" s="26">
        <f t="shared" si="104"/>
        <v>0</v>
      </c>
      <c r="S780" s="26">
        <f t="shared" si="105"/>
        <v>803</v>
      </c>
    </row>
    <row r="781" spans="2:19" x14ac:dyDescent="0.2">
      <c r="B781" s="79">
        <f t="shared" si="98"/>
        <v>34</v>
      </c>
      <c r="C781" s="4"/>
      <c r="D781" s="4"/>
      <c r="E781" s="4"/>
      <c r="F781" s="56" t="s">
        <v>76</v>
      </c>
      <c r="G781" s="4">
        <v>630</v>
      </c>
      <c r="H781" s="4" t="s">
        <v>663</v>
      </c>
      <c r="I781" s="26">
        <v>485</v>
      </c>
      <c r="J781" s="26">
        <v>976</v>
      </c>
      <c r="K781" s="26">
        <f t="shared" si="99"/>
        <v>1461</v>
      </c>
      <c r="L781" s="80"/>
      <c r="M781" s="26"/>
      <c r="N781" s="26"/>
      <c r="O781" s="26">
        <f t="shared" si="100"/>
        <v>0</v>
      </c>
      <c r="P781" s="80"/>
      <c r="Q781" s="26">
        <f t="shared" si="95"/>
        <v>485</v>
      </c>
      <c r="R781" s="26">
        <f t="shared" si="104"/>
        <v>976</v>
      </c>
      <c r="S781" s="26">
        <f t="shared" si="105"/>
        <v>1461</v>
      </c>
    </row>
    <row r="782" spans="2:19" x14ac:dyDescent="0.2">
      <c r="B782" s="79">
        <f t="shared" si="98"/>
        <v>35</v>
      </c>
      <c r="C782" s="14"/>
      <c r="D782" s="14"/>
      <c r="E782" s="14" t="s">
        <v>95</v>
      </c>
      <c r="F782" s="54"/>
      <c r="G782" s="14"/>
      <c r="H782" s="14" t="s">
        <v>64</v>
      </c>
      <c r="I782" s="51">
        <f>I785+I784+I783</f>
        <v>124245</v>
      </c>
      <c r="J782" s="51">
        <f>J785+J784+J783</f>
        <v>1174</v>
      </c>
      <c r="K782" s="51">
        <f t="shared" si="99"/>
        <v>125419</v>
      </c>
      <c r="L782" s="126"/>
      <c r="M782" s="51">
        <f>M785+M784+M783+M790</f>
        <v>20650</v>
      </c>
      <c r="N782" s="51">
        <f>N785+N784+N783+N790</f>
        <v>0</v>
      </c>
      <c r="O782" s="51">
        <f t="shared" si="100"/>
        <v>20650</v>
      </c>
      <c r="P782" s="126"/>
      <c r="Q782" s="51">
        <f t="shared" si="95"/>
        <v>144895</v>
      </c>
      <c r="R782" s="51">
        <f t="shared" si="104"/>
        <v>1174</v>
      </c>
      <c r="S782" s="51">
        <f t="shared" si="105"/>
        <v>146069</v>
      </c>
    </row>
    <row r="783" spans="2:19" x14ac:dyDescent="0.2">
      <c r="B783" s="79">
        <f t="shared" si="98"/>
        <v>36</v>
      </c>
      <c r="C783" s="15"/>
      <c r="D783" s="15"/>
      <c r="E783" s="15"/>
      <c r="F783" s="55" t="s">
        <v>199</v>
      </c>
      <c r="G783" s="15">
        <v>610</v>
      </c>
      <c r="H783" s="15" t="s">
        <v>136</v>
      </c>
      <c r="I783" s="52">
        <f>71840+900</f>
        <v>72740</v>
      </c>
      <c r="J783" s="52"/>
      <c r="K783" s="52">
        <f t="shared" si="99"/>
        <v>72740</v>
      </c>
      <c r="L783" s="126"/>
      <c r="M783" s="52"/>
      <c r="N783" s="52"/>
      <c r="O783" s="52">
        <f t="shared" si="100"/>
        <v>0</v>
      </c>
      <c r="P783" s="126"/>
      <c r="Q783" s="52">
        <f t="shared" si="95"/>
        <v>72740</v>
      </c>
      <c r="R783" s="52">
        <f t="shared" si="104"/>
        <v>0</v>
      </c>
      <c r="S783" s="52">
        <f t="shared" si="105"/>
        <v>72740</v>
      </c>
    </row>
    <row r="784" spans="2:19" x14ac:dyDescent="0.2">
      <c r="B784" s="79">
        <f t="shared" si="98"/>
        <v>37</v>
      </c>
      <c r="C784" s="15"/>
      <c r="D784" s="15"/>
      <c r="E784" s="15"/>
      <c r="F784" s="55" t="s">
        <v>199</v>
      </c>
      <c r="G784" s="15">
        <v>620</v>
      </c>
      <c r="H784" s="15" t="s">
        <v>131</v>
      </c>
      <c r="I784" s="52">
        <f>26670+300</f>
        <v>26970</v>
      </c>
      <c r="J784" s="52"/>
      <c r="K784" s="52">
        <f t="shared" si="99"/>
        <v>26970</v>
      </c>
      <c r="L784" s="126"/>
      <c r="M784" s="52"/>
      <c r="N784" s="52"/>
      <c r="O784" s="52">
        <f t="shared" si="100"/>
        <v>0</v>
      </c>
      <c r="P784" s="126"/>
      <c r="Q784" s="52">
        <f t="shared" si="95"/>
        <v>26970</v>
      </c>
      <c r="R784" s="52">
        <f t="shared" si="104"/>
        <v>0</v>
      </c>
      <c r="S784" s="52">
        <f t="shared" si="105"/>
        <v>26970</v>
      </c>
    </row>
    <row r="785" spans="2:19" x14ac:dyDescent="0.2">
      <c r="B785" s="79">
        <f t="shared" si="98"/>
        <v>38</v>
      </c>
      <c r="C785" s="15"/>
      <c r="D785" s="15"/>
      <c r="E785" s="15"/>
      <c r="F785" s="55" t="s">
        <v>199</v>
      </c>
      <c r="G785" s="15">
        <v>630</v>
      </c>
      <c r="H785" s="15" t="s">
        <v>128</v>
      </c>
      <c r="I785" s="52">
        <f>I789+I788+I787+I786</f>
        <v>24535</v>
      </c>
      <c r="J785" s="52">
        <f>J789+J788+J787+J786</f>
        <v>1174</v>
      </c>
      <c r="K785" s="52">
        <f t="shared" si="99"/>
        <v>25709</v>
      </c>
      <c r="L785" s="126"/>
      <c r="M785" s="52">
        <f>M789+M788+M787+M786</f>
        <v>0</v>
      </c>
      <c r="N785" s="52">
        <f>N789+N788+N787+N786</f>
        <v>0</v>
      </c>
      <c r="O785" s="52">
        <f t="shared" si="100"/>
        <v>0</v>
      </c>
      <c r="P785" s="126"/>
      <c r="Q785" s="52">
        <f t="shared" si="95"/>
        <v>24535</v>
      </c>
      <c r="R785" s="52">
        <f t="shared" si="104"/>
        <v>1174</v>
      </c>
      <c r="S785" s="52">
        <f t="shared" si="105"/>
        <v>25709</v>
      </c>
    </row>
    <row r="786" spans="2:19" x14ac:dyDescent="0.2">
      <c r="B786" s="79">
        <f t="shared" si="98"/>
        <v>39</v>
      </c>
      <c r="C786" s="4"/>
      <c r="D786" s="4"/>
      <c r="E786" s="4"/>
      <c r="F786" s="56" t="s">
        <v>199</v>
      </c>
      <c r="G786" s="4">
        <v>632</v>
      </c>
      <c r="H786" s="4" t="s">
        <v>139</v>
      </c>
      <c r="I786" s="26">
        <v>14200</v>
      </c>
      <c r="J786" s="26">
        <v>740</v>
      </c>
      <c r="K786" s="26">
        <f t="shared" si="99"/>
        <v>14940</v>
      </c>
      <c r="L786" s="80"/>
      <c r="M786" s="26"/>
      <c r="N786" s="26"/>
      <c r="O786" s="26">
        <f t="shared" si="100"/>
        <v>0</v>
      </c>
      <c r="P786" s="80"/>
      <c r="Q786" s="26">
        <f t="shared" si="95"/>
        <v>14200</v>
      </c>
      <c r="R786" s="26">
        <f t="shared" si="104"/>
        <v>740</v>
      </c>
      <c r="S786" s="26">
        <f t="shared" si="105"/>
        <v>14940</v>
      </c>
    </row>
    <row r="787" spans="2:19" x14ac:dyDescent="0.2">
      <c r="B787" s="79">
        <f t="shared" si="98"/>
        <v>40</v>
      </c>
      <c r="C787" s="4"/>
      <c r="D787" s="4"/>
      <c r="E787" s="4"/>
      <c r="F787" s="56" t="s">
        <v>199</v>
      </c>
      <c r="G787" s="4">
        <v>633</v>
      </c>
      <c r="H787" s="4" t="s">
        <v>132</v>
      </c>
      <c r="I787" s="26">
        <f>2540+3315</f>
        <v>5855</v>
      </c>
      <c r="J787" s="26">
        <v>434</v>
      </c>
      <c r="K787" s="26">
        <f t="shared" si="99"/>
        <v>6289</v>
      </c>
      <c r="L787" s="80"/>
      <c r="M787" s="26"/>
      <c r="N787" s="26"/>
      <c r="O787" s="26">
        <f t="shared" si="100"/>
        <v>0</v>
      </c>
      <c r="P787" s="80"/>
      <c r="Q787" s="26">
        <f t="shared" si="95"/>
        <v>5855</v>
      </c>
      <c r="R787" s="26">
        <f t="shared" si="104"/>
        <v>434</v>
      </c>
      <c r="S787" s="26">
        <f t="shared" si="105"/>
        <v>6289</v>
      </c>
    </row>
    <row r="788" spans="2:19" x14ac:dyDescent="0.2">
      <c r="B788" s="79">
        <f t="shared" si="98"/>
        <v>41</v>
      </c>
      <c r="C788" s="4"/>
      <c r="D788" s="4"/>
      <c r="E788" s="4"/>
      <c r="F788" s="56" t="s">
        <v>199</v>
      </c>
      <c r="G788" s="4">
        <v>635</v>
      </c>
      <c r="H788" s="4" t="s">
        <v>138</v>
      </c>
      <c r="I788" s="26">
        <v>2000</v>
      </c>
      <c r="J788" s="26"/>
      <c r="K788" s="26">
        <f t="shared" si="99"/>
        <v>2000</v>
      </c>
      <c r="L788" s="80"/>
      <c r="M788" s="26"/>
      <c r="N788" s="26"/>
      <c r="O788" s="26">
        <f t="shared" si="100"/>
        <v>0</v>
      </c>
      <c r="P788" s="80"/>
      <c r="Q788" s="26">
        <f t="shared" si="95"/>
        <v>2000</v>
      </c>
      <c r="R788" s="26">
        <f t="shared" si="104"/>
        <v>0</v>
      </c>
      <c r="S788" s="26">
        <f t="shared" si="105"/>
        <v>2000</v>
      </c>
    </row>
    <row r="789" spans="2:19" x14ac:dyDescent="0.2">
      <c r="B789" s="79">
        <f t="shared" si="98"/>
        <v>42</v>
      </c>
      <c r="C789" s="4"/>
      <c r="D789" s="4"/>
      <c r="E789" s="4"/>
      <c r="F789" s="56" t="s">
        <v>199</v>
      </c>
      <c r="G789" s="4">
        <v>637</v>
      </c>
      <c r="H789" s="4" t="s">
        <v>129</v>
      </c>
      <c r="I789" s="26">
        <v>2480</v>
      </c>
      <c r="J789" s="26"/>
      <c r="K789" s="26">
        <f t="shared" si="99"/>
        <v>2480</v>
      </c>
      <c r="L789" s="80"/>
      <c r="M789" s="26"/>
      <c r="N789" s="26"/>
      <c r="O789" s="26">
        <f t="shared" si="100"/>
        <v>0</v>
      </c>
      <c r="P789" s="80"/>
      <c r="Q789" s="26">
        <f t="shared" si="95"/>
        <v>2480</v>
      </c>
      <c r="R789" s="26">
        <f t="shared" si="104"/>
        <v>0</v>
      </c>
      <c r="S789" s="26">
        <f t="shared" si="105"/>
        <v>2480</v>
      </c>
    </row>
    <row r="790" spans="2:19" x14ac:dyDescent="0.2">
      <c r="B790" s="79">
        <f t="shared" si="98"/>
        <v>43</v>
      </c>
      <c r="C790" s="4"/>
      <c r="D790" s="4"/>
      <c r="E790" s="4"/>
      <c r="F790" s="55" t="s">
        <v>199</v>
      </c>
      <c r="G790" s="15">
        <v>710</v>
      </c>
      <c r="H790" s="15" t="s">
        <v>184</v>
      </c>
      <c r="I790" s="52">
        <f>I791</f>
        <v>0</v>
      </c>
      <c r="J790" s="52">
        <f>J791</f>
        <v>0</v>
      </c>
      <c r="K790" s="52">
        <f t="shared" si="99"/>
        <v>0</v>
      </c>
      <c r="L790" s="126"/>
      <c r="M790" s="52">
        <f>M791</f>
        <v>20650</v>
      </c>
      <c r="N790" s="52">
        <f>N791</f>
        <v>0</v>
      </c>
      <c r="O790" s="52">
        <f t="shared" si="100"/>
        <v>20650</v>
      </c>
      <c r="P790" s="126"/>
      <c r="Q790" s="52">
        <f t="shared" si="95"/>
        <v>20650</v>
      </c>
      <c r="R790" s="52">
        <f t="shared" si="104"/>
        <v>0</v>
      </c>
      <c r="S790" s="52">
        <f t="shared" si="105"/>
        <v>20650</v>
      </c>
    </row>
    <row r="791" spans="2:19" x14ac:dyDescent="0.2">
      <c r="B791" s="79">
        <f t="shared" si="98"/>
        <v>44</v>
      </c>
      <c r="C791" s="4"/>
      <c r="D791" s="4"/>
      <c r="E791" s="4"/>
      <c r="F791" s="89" t="s">
        <v>199</v>
      </c>
      <c r="G791" s="90">
        <v>717</v>
      </c>
      <c r="H791" s="90" t="s">
        <v>194</v>
      </c>
      <c r="I791" s="91"/>
      <c r="J791" s="91"/>
      <c r="K791" s="91">
        <f t="shared" si="99"/>
        <v>0</v>
      </c>
      <c r="L791" s="80"/>
      <c r="M791" s="91">
        <f>M792+M793</f>
        <v>20650</v>
      </c>
      <c r="N791" s="91">
        <f>N792+N793</f>
        <v>0</v>
      </c>
      <c r="O791" s="91">
        <f t="shared" si="100"/>
        <v>20650</v>
      </c>
      <c r="P791" s="80"/>
      <c r="Q791" s="91">
        <f t="shared" si="95"/>
        <v>20650</v>
      </c>
      <c r="R791" s="91">
        <f t="shared" si="104"/>
        <v>0</v>
      </c>
      <c r="S791" s="91">
        <f t="shared" si="105"/>
        <v>20650</v>
      </c>
    </row>
    <row r="792" spans="2:19" x14ac:dyDescent="0.2">
      <c r="B792" s="79">
        <f t="shared" si="98"/>
        <v>45</v>
      </c>
      <c r="C792" s="4"/>
      <c r="D792" s="4"/>
      <c r="E792" s="4"/>
      <c r="F792" s="183" t="s">
        <v>199</v>
      </c>
      <c r="G792" s="144"/>
      <c r="H792" s="167" t="s">
        <v>711</v>
      </c>
      <c r="I792" s="145"/>
      <c r="J792" s="145"/>
      <c r="K792" s="145">
        <f t="shared" si="99"/>
        <v>0</v>
      </c>
      <c r="L792" s="80"/>
      <c r="M792" s="145">
        <f>4500-350</f>
        <v>4150</v>
      </c>
      <c r="N792" s="145"/>
      <c r="O792" s="145">
        <f t="shared" si="100"/>
        <v>4150</v>
      </c>
      <c r="P792" s="80"/>
      <c r="Q792" s="145">
        <f t="shared" si="95"/>
        <v>4150</v>
      </c>
      <c r="R792" s="145">
        <f t="shared" si="104"/>
        <v>0</v>
      </c>
      <c r="S792" s="145">
        <f t="shared" si="105"/>
        <v>4150</v>
      </c>
    </row>
    <row r="793" spans="2:19" x14ac:dyDescent="0.2">
      <c r="B793" s="79">
        <f t="shared" si="98"/>
        <v>46</v>
      </c>
      <c r="C793" s="4"/>
      <c r="D793" s="4"/>
      <c r="E793" s="4"/>
      <c r="F793" s="187"/>
      <c r="G793" s="188"/>
      <c r="H793" s="63" t="s">
        <v>734</v>
      </c>
      <c r="I793" s="62"/>
      <c r="J793" s="62"/>
      <c r="K793" s="62">
        <f t="shared" si="99"/>
        <v>0</v>
      </c>
      <c r="L793" s="80"/>
      <c r="M793" s="62">
        <f>16000-500+1000</f>
        <v>16500</v>
      </c>
      <c r="N793" s="62"/>
      <c r="O793" s="62">
        <f t="shared" si="100"/>
        <v>16500</v>
      </c>
      <c r="P793" s="80"/>
      <c r="Q793" s="62">
        <f>M793</f>
        <v>16500</v>
      </c>
      <c r="R793" s="62">
        <f t="shared" ref="R793:S793" si="106">N793</f>
        <v>0</v>
      </c>
      <c r="S793" s="62">
        <f t="shared" si="106"/>
        <v>16500</v>
      </c>
    </row>
    <row r="794" spans="2:19" x14ac:dyDescent="0.2">
      <c r="B794" s="79">
        <f t="shared" si="98"/>
        <v>47</v>
      </c>
      <c r="C794" s="14"/>
      <c r="D794" s="14"/>
      <c r="E794" s="14" t="s">
        <v>94</v>
      </c>
      <c r="F794" s="54"/>
      <c r="G794" s="14"/>
      <c r="H794" s="14" t="s">
        <v>11</v>
      </c>
      <c r="I794" s="51">
        <f>I806+I799+I797+I795+I807+I796+I798</f>
        <v>210283</v>
      </c>
      <c r="J794" s="51">
        <f>J806+J799+J797+J795+J807+J796+J798</f>
        <v>1657</v>
      </c>
      <c r="K794" s="51">
        <f t="shared" si="99"/>
        <v>211940</v>
      </c>
      <c r="L794" s="126"/>
      <c r="M794" s="51">
        <f>M806+M799+M797+M795+M807</f>
        <v>335926</v>
      </c>
      <c r="N794" s="51">
        <f>N806+N799+N797+N795+N807</f>
        <v>0</v>
      </c>
      <c r="O794" s="51">
        <f t="shared" si="100"/>
        <v>335926</v>
      </c>
      <c r="P794" s="126"/>
      <c r="Q794" s="51">
        <f t="shared" si="95"/>
        <v>546209</v>
      </c>
      <c r="R794" s="51">
        <f t="shared" ref="R794:R807" si="107">N794+J794</f>
        <v>1657</v>
      </c>
      <c r="S794" s="51">
        <f t="shared" ref="S794:S807" si="108">O794+K794</f>
        <v>547866</v>
      </c>
    </row>
    <row r="795" spans="2:19" x14ac:dyDescent="0.2">
      <c r="B795" s="79">
        <f t="shared" si="98"/>
        <v>48</v>
      </c>
      <c r="C795" s="15"/>
      <c r="D795" s="15"/>
      <c r="E795" s="15"/>
      <c r="F795" s="55" t="s">
        <v>199</v>
      </c>
      <c r="G795" s="15">
        <v>610</v>
      </c>
      <c r="H795" s="15" t="s">
        <v>136</v>
      </c>
      <c r="I795" s="52">
        <f>89880+2600</f>
        <v>92480</v>
      </c>
      <c r="J795" s="52">
        <v>2800</v>
      </c>
      <c r="K795" s="52">
        <f t="shared" si="99"/>
        <v>95280</v>
      </c>
      <c r="L795" s="126"/>
      <c r="M795" s="52"/>
      <c r="N795" s="52"/>
      <c r="O795" s="52">
        <f t="shared" si="100"/>
        <v>0</v>
      </c>
      <c r="P795" s="126"/>
      <c r="Q795" s="52">
        <f t="shared" si="95"/>
        <v>92480</v>
      </c>
      <c r="R795" s="52">
        <f t="shared" si="107"/>
        <v>2800</v>
      </c>
      <c r="S795" s="52">
        <f t="shared" si="108"/>
        <v>95280</v>
      </c>
    </row>
    <row r="796" spans="2:19" x14ac:dyDescent="0.2">
      <c r="B796" s="79">
        <f t="shared" si="98"/>
        <v>49</v>
      </c>
      <c r="C796" s="15"/>
      <c r="D796" s="15"/>
      <c r="E796" s="15"/>
      <c r="F796" s="55" t="s">
        <v>493</v>
      </c>
      <c r="G796" s="15">
        <v>610</v>
      </c>
      <c r="H796" s="15" t="s">
        <v>494</v>
      </c>
      <c r="I796" s="52">
        <v>16032</v>
      </c>
      <c r="J796" s="52"/>
      <c r="K796" s="52">
        <f t="shared" si="99"/>
        <v>16032</v>
      </c>
      <c r="L796" s="126"/>
      <c r="M796" s="52"/>
      <c r="N796" s="52"/>
      <c r="O796" s="52">
        <f t="shared" si="100"/>
        <v>0</v>
      </c>
      <c r="P796" s="126"/>
      <c r="Q796" s="52">
        <f t="shared" si="95"/>
        <v>16032</v>
      </c>
      <c r="R796" s="52">
        <f t="shared" si="107"/>
        <v>0</v>
      </c>
      <c r="S796" s="52">
        <f t="shared" si="108"/>
        <v>16032</v>
      </c>
    </row>
    <row r="797" spans="2:19" x14ac:dyDescent="0.2">
      <c r="B797" s="79">
        <f t="shared" si="98"/>
        <v>50</v>
      </c>
      <c r="C797" s="15"/>
      <c r="D797" s="15"/>
      <c r="E797" s="15"/>
      <c r="F797" s="55" t="s">
        <v>199</v>
      </c>
      <c r="G797" s="15">
        <v>620</v>
      </c>
      <c r="H797" s="15" t="s">
        <v>131</v>
      </c>
      <c r="I797" s="52">
        <v>34481</v>
      </c>
      <c r="J797" s="52"/>
      <c r="K797" s="52">
        <f t="shared" si="99"/>
        <v>34481</v>
      </c>
      <c r="L797" s="126"/>
      <c r="M797" s="52"/>
      <c r="N797" s="52"/>
      <c r="O797" s="52">
        <f t="shared" si="100"/>
        <v>0</v>
      </c>
      <c r="P797" s="126"/>
      <c r="Q797" s="52">
        <f t="shared" si="95"/>
        <v>34481</v>
      </c>
      <c r="R797" s="52">
        <f t="shared" si="107"/>
        <v>0</v>
      </c>
      <c r="S797" s="52">
        <f t="shared" si="108"/>
        <v>34481</v>
      </c>
    </row>
    <row r="798" spans="2:19" x14ac:dyDescent="0.2">
      <c r="B798" s="79">
        <f t="shared" si="98"/>
        <v>51</v>
      </c>
      <c r="C798" s="15"/>
      <c r="D798" s="15"/>
      <c r="E798" s="15"/>
      <c r="F798" s="55" t="s">
        <v>199</v>
      </c>
      <c r="G798" s="15">
        <v>620</v>
      </c>
      <c r="H798" s="15" t="s">
        <v>496</v>
      </c>
      <c r="I798" s="52">
        <v>5611</v>
      </c>
      <c r="J798" s="52"/>
      <c r="K798" s="52">
        <f t="shared" si="99"/>
        <v>5611</v>
      </c>
      <c r="L798" s="126"/>
      <c r="M798" s="52"/>
      <c r="N798" s="52"/>
      <c r="O798" s="52">
        <f t="shared" si="100"/>
        <v>0</v>
      </c>
      <c r="P798" s="126"/>
      <c r="Q798" s="52">
        <f t="shared" si="95"/>
        <v>5611</v>
      </c>
      <c r="R798" s="52">
        <f t="shared" si="107"/>
        <v>0</v>
      </c>
      <c r="S798" s="52">
        <f t="shared" si="108"/>
        <v>5611</v>
      </c>
    </row>
    <row r="799" spans="2:19" x14ac:dyDescent="0.2">
      <c r="B799" s="79">
        <f t="shared" si="98"/>
        <v>52</v>
      </c>
      <c r="C799" s="15"/>
      <c r="D799" s="15"/>
      <c r="E799" s="15"/>
      <c r="F799" s="55" t="s">
        <v>199</v>
      </c>
      <c r="G799" s="15">
        <v>630</v>
      </c>
      <c r="H799" s="15" t="s">
        <v>128</v>
      </c>
      <c r="I799" s="52">
        <f>I804+I803+I801+I800+I802+I805</f>
        <v>58679</v>
      </c>
      <c r="J799" s="52">
        <f>J804+J803+J801+J800+J802+J805</f>
        <v>1657</v>
      </c>
      <c r="K799" s="52">
        <f t="shared" si="99"/>
        <v>60336</v>
      </c>
      <c r="L799" s="126"/>
      <c r="M799" s="52">
        <v>0</v>
      </c>
      <c r="N799" s="52"/>
      <c r="O799" s="52">
        <f t="shared" si="100"/>
        <v>0</v>
      </c>
      <c r="P799" s="126"/>
      <c r="Q799" s="52">
        <f t="shared" si="95"/>
        <v>58679</v>
      </c>
      <c r="R799" s="52">
        <f t="shared" si="107"/>
        <v>1657</v>
      </c>
      <c r="S799" s="52">
        <f t="shared" si="108"/>
        <v>60336</v>
      </c>
    </row>
    <row r="800" spans="2:19" x14ac:dyDescent="0.2">
      <c r="B800" s="79">
        <f t="shared" si="98"/>
        <v>53</v>
      </c>
      <c r="C800" s="4"/>
      <c r="D800" s="4"/>
      <c r="E800" s="4"/>
      <c r="F800" s="56" t="s">
        <v>199</v>
      </c>
      <c r="G800" s="4">
        <v>632</v>
      </c>
      <c r="H800" s="4" t="s">
        <v>139</v>
      </c>
      <c r="I800" s="26">
        <v>22410</v>
      </c>
      <c r="J800" s="26"/>
      <c r="K800" s="26">
        <f t="shared" si="99"/>
        <v>22410</v>
      </c>
      <c r="L800" s="80"/>
      <c r="M800" s="26"/>
      <c r="N800" s="26"/>
      <c r="O800" s="26">
        <f t="shared" si="100"/>
        <v>0</v>
      </c>
      <c r="P800" s="80"/>
      <c r="Q800" s="26">
        <f t="shared" si="95"/>
        <v>22410</v>
      </c>
      <c r="R800" s="26">
        <f t="shared" si="107"/>
        <v>0</v>
      </c>
      <c r="S800" s="26">
        <f t="shared" si="108"/>
        <v>22410</v>
      </c>
    </row>
    <row r="801" spans="2:19" x14ac:dyDescent="0.2">
      <c r="B801" s="79">
        <f t="shared" si="98"/>
        <v>54</v>
      </c>
      <c r="C801" s="4"/>
      <c r="D801" s="4"/>
      <c r="E801" s="4"/>
      <c r="F801" s="56" t="s">
        <v>199</v>
      </c>
      <c r="G801" s="4">
        <v>633</v>
      </c>
      <c r="H801" s="4" t="s">
        <v>132</v>
      </c>
      <c r="I801" s="26">
        <f>7288+1424</f>
        <v>8712</v>
      </c>
      <c r="J801" s="26">
        <v>1301</v>
      </c>
      <c r="K801" s="26">
        <f t="shared" si="99"/>
        <v>10013</v>
      </c>
      <c r="L801" s="80"/>
      <c r="M801" s="26"/>
      <c r="N801" s="26"/>
      <c r="O801" s="26">
        <f t="shared" si="100"/>
        <v>0</v>
      </c>
      <c r="P801" s="80"/>
      <c r="Q801" s="26">
        <f t="shared" si="95"/>
        <v>8712</v>
      </c>
      <c r="R801" s="26">
        <f t="shared" si="107"/>
        <v>1301</v>
      </c>
      <c r="S801" s="26">
        <f t="shared" si="108"/>
        <v>10013</v>
      </c>
    </row>
    <row r="802" spans="2:19" x14ac:dyDescent="0.2">
      <c r="B802" s="79">
        <f t="shared" si="98"/>
        <v>55</v>
      </c>
      <c r="C802" s="4"/>
      <c r="D802" s="4"/>
      <c r="E802" s="4"/>
      <c r="F802" s="56" t="s">
        <v>199</v>
      </c>
      <c r="G802" s="4">
        <v>633</v>
      </c>
      <c r="H802" s="4" t="s">
        <v>495</v>
      </c>
      <c r="I802" s="26">
        <f>43770-16032-5611-12000</f>
        <v>10127</v>
      </c>
      <c r="J802" s="26"/>
      <c r="K802" s="26">
        <f t="shared" si="99"/>
        <v>10127</v>
      </c>
      <c r="L802" s="80"/>
      <c r="M802" s="26"/>
      <c r="N802" s="26"/>
      <c r="O802" s="26">
        <f t="shared" si="100"/>
        <v>0</v>
      </c>
      <c r="P802" s="80"/>
      <c r="Q802" s="26">
        <f t="shared" si="95"/>
        <v>10127</v>
      </c>
      <c r="R802" s="26">
        <f t="shared" si="107"/>
        <v>0</v>
      </c>
      <c r="S802" s="26">
        <f t="shared" si="108"/>
        <v>10127</v>
      </c>
    </row>
    <row r="803" spans="2:19" x14ac:dyDescent="0.2">
      <c r="B803" s="79">
        <f t="shared" si="98"/>
        <v>56</v>
      </c>
      <c r="C803" s="4"/>
      <c r="D803" s="4"/>
      <c r="E803" s="4"/>
      <c r="F803" s="56" t="s">
        <v>199</v>
      </c>
      <c r="G803" s="4">
        <v>635</v>
      </c>
      <c r="H803" s="4" t="s">
        <v>138</v>
      </c>
      <c r="I803" s="26">
        <v>2000</v>
      </c>
      <c r="J803" s="26">
        <v>356</v>
      </c>
      <c r="K803" s="26">
        <f t="shared" si="99"/>
        <v>2356</v>
      </c>
      <c r="L803" s="80"/>
      <c r="M803" s="26"/>
      <c r="N803" s="26"/>
      <c r="O803" s="26">
        <f t="shared" si="100"/>
        <v>0</v>
      </c>
      <c r="P803" s="80"/>
      <c r="Q803" s="26">
        <f t="shared" si="95"/>
        <v>2000</v>
      </c>
      <c r="R803" s="26">
        <f t="shared" si="107"/>
        <v>356</v>
      </c>
      <c r="S803" s="26">
        <f t="shared" si="108"/>
        <v>2356</v>
      </c>
    </row>
    <row r="804" spans="2:19" x14ac:dyDescent="0.2">
      <c r="B804" s="79">
        <f t="shared" si="98"/>
        <v>57</v>
      </c>
      <c r="C804" s="4"/>
      <c r="D804" s="4"/>
      <c r="E804" s="4"/>
      <c r="F804" s="56" t="s">
        <v>199</v>
      </c>
      <c r="G804" s="4">
        <v>637</v>
      </c>
      <c r="H804" s="4" t="s">
        <v>129</v>
      </c>
      <c r="I804" s="26">
        <v>3430</v>
      </c>
      <c r="J804" s="26"/>
      <c r="K804" s="26">
        <f t="shared" si="99"/>
        <v>3430</v>
      </c>
      <c r="L804" s="80"/>
      <c r="M804" s="26"/>
      <c r="N804" s="26"/>
      <c r="O804" s="26">
        <f t="shared" si="100"/>
        <v>0</v>
      </c>
      <c r="P804" s="80"/>
      <c r="Q804" s="26">
        <f t="shared" si="95"/>
        <v>3430</v>
      </c>
      <c r="R804" s="26">
        <f t="shared" si="107"/>
        <v>0</v>
      </c>
      <c r="S804" s="26">
        <f t="shared" si="108"/>
        <v>3430</v>
      </c>
    </row>
    <row r="805" spans="2:19" x14ac:dyDescent="0.2">
      <c r="B805" s="79">
        <f t="shared" si="98"/>
        <v>58</v>
      </c>
      <c r="C805" s="4"/>
      <c r="D805" s="4"/>
      <c r="E805" s="4"/>
      <c r="F805" s="56" t="s">
        <v>199</v>
      </c>
      <c r="G805" s="4">
        <v>630</v>
      </c>
      <c r="H805" s="4" t="s">
        <v>613</v>
      </c>
      <c r="I805" s="26">
        <v>12000</v>
      </c>
      <c r="J805" s="26"/>
      <c r="K805" s="26">
        <f t="shared" si="99"/>
        <v>12000</v>
      </c>
      <c r="L805" s="80"/>
      <c r="M805" s="26"/>
      <c r="N805" s="26"/>
      <c r="O805" s="26">
        <f t="shared" si="100"/>
        <v>0</v>
      </c>
      <c r="P805" s="80"/>
      <c r="Q805" s="26">
        <f t="shared" si="95"/>
        <v>12000</v>
      </c>
      <c r="R805" s="26">
        <f t="shared" si="107"/>
        <v>0</v>
      </c>
      <c r="S805" s="26">
        <f t="shared" si="108"/>
        <v>12000</v>
      </c>
    </row>
    <row r="806" spans="2:19" x14ac:dyDescent="0.2">
      <c r="B806" s="79">
        <f t="shared" si="98"/>
        <v>59</v>
      </c>
      <c r="C806" s="15"/>
      <c r="D806" s="15"/>
      <c r="E806" s="15"/>
      <c r="F806" s="55" t="s">
        <v>199</v>
      </c>
      <c r="G806" s="15">
        <v>640</v>
      </c>
      <c r="H806" s="15" t="s">
        <v>135</v>
      </c>
      <c r="I806" s="52">
        <v>3000</v>
      </c>
      <c r="J806" s="52">
        <v>-2800</v>
      </c>
      <c r="K806" s="52">
        <f t="shared" si="99"/>
        <v>200</v>
      </c>
      <c r="L806" s="126"/>
      <c r="M806" s="52"/>
      <c r="N806" s="52"/>
      <c r="O806" s="52">
        <f t="shared" si="100"/>
        <v>0</v>
      </c>
      <c r="P806" s="126"/>
      <c r="Q806" s="52">
        <f t="shared" si="95"/>
        <v>3000</v>
      </c>
      <c r="R806" s="52">
        <f t="shared" si="107"/>
        <v>-2800</v>
      </c>
      <c r="S806" s="52">
        <f t="shared" si="108"/>
        <v>200</v>
      </c>
    </row>
    <row r="807" spans="2:19" x14ac:dyDescent="0.2">
      <c r="B807" s="79">
        <f t="shared" si="98"/>
        <v>60</v>
      </c>
      <c r="C807" s="15"/>
      <c r="D807" s="15"/>
      <c r="E807" s="15"/>
      <c r="F807" s="55" t="s">
        <v>199</v>
      </c>
      <c r="G807" s="15">
        <v>710</v>
      </c>
      <c r="H807" s="15" t="s">
        <v>184</v>
      </c>
      <c r="I807" s="52">
        <f>I810</f>
        <v>0</v>
      </c>
      <c r="J807" s="52">
        <f>J810</f>
        <v>0</v>
      </c>
      <c r="K807" s="52">
        <f t="shared" si="99"/>
        <v>0</v>
      </c>
      <c r="L807" s="126"/>
      <c r="M807" s="52">
        <f>M810+M808</f>
        <v>335926</v>
      </c>
      <c r="N807" s="52">
        <f>N810+N808</f>
        <v>0</v>
      </c>
      <c r="O807" s="52">
        <f t="shared" si="100"/>
        <v>335926</v>
      </c>
      <c r="P807" s="126"/>
      <c r="Q807" s="52">
        <f t="shared" si="95"/>
        <v>335926</v>
      </c>
      <c r="R807" s="52">
        <f t="shared" si="107"/>
        <v>0</v>
      </c>
      <c r="S807" s="52">
        <f t="shared" si="108"/>
        <v>335926</v>
      </c>
    </row>
    <row r="808" spans="2:19" x14ac:dyDescent="0.2">
      <c r="B808" s="79">
        <f t="shared" si="98"/>
        <v>61</v>
      </c>
      <c r="C808" s="15"/>
      <c r="D808" s="15"/>
      <c r="E808" s="15"/>
      <c r="F808" s="89" t="s">
        <v>199</v>
      </c>
      <c r="G808" s="90">
        <v>716</v>
      </c>
      <c r="H808" s="90" t="s">
        <v>0</v>
      </c>
      <c r="I808" s="91"/>
      <c r="J808" s="91"/>
      <c r="K808" s="91">
        <f t="shared" si="99"/>
        <v>0</v>
      </c>
      <c r="L808" s="80"/>
      <c r="M808" s="91">
        <f>M809</f>
        <v>10800</v>
      </c>
      <c r="N808" s="91">
        <f>N809</f>
        <v>0</v>
      </c>
      <c r="O808" s="91">
        <f t="shared" si="100"/>
        <v>10800</v>
      </c>
      <c r="P808" s="80"/>
      <c r="Q808" s="91">
        <f>I808+M808</f>
        <v>10800</v>
      </c>
      <c r="R808" s="91">
        <f t="shared" ref="R808:S809" si="109">J808+N808</f>
        <v>0</v>
      </c>
      <c r="S808" s="91">
        <f t="shared" si="109"/>
        <v>10800</v>
      </c>
    </row>
    <row r="809" spans="2:19" x14ac:dyDescent="0.2">
      <c r="B809" s="79">
        <f t="shared" si="98"/>
        <v>62</v>
      </c>
      <c r="C809" s="15"/>
      <c r="D809" s="15"/>
      <c r="E809" s="15"/>
      <c r="F809" s="55"/>
      <c r="G809" s="15"/>
      <c r="H809" s="64" t="s">
        <v>512</v>
      </c>
      <c r="I809" s="52"/>
      <c r="J809" s="52"/>
      <c r="K809" s="52">
        <f t="shared" si="99"/>
        <v>0</v>
      </c>
      <c r="L809" s="126"/>
      <c r="M809" s="62">
        <v>10800</v>
      </c>
      <c r="N809" s="62"/>
      <c r="O809" s="62">
        <f t="shared" si="100"/>
        <v>10800</v>
      </c>
      <c r="P809" s="80"/>
      <c r="Q809" s="62">
        <f>I809+M809</f>
        <v>10800</v>
      </c>
      <c r="R809" s="62">
        <f t="shared" si="109"/>
        <v>0</v>
      </c>
      <c r="S809" s="62">
        <f t="shared" si="109"/>
        <v>10800</v>
      </c>
    </row>
    <row r="810" spans="2:19" x14ac:dyDescent="0.2">
      <c r="B810" s="79">
        <f t="shared" si="98"/>
        <v>63</v>
      </c>
      <c r="C810" s="15"/>
      <c r="D810" s="15"/>
      <c r="E810" s="15"/>
      <c r="F810" s="89" t="s">
        <v>199</v>
      </c>
      <c r="G810" s="90">
        <v>717</v>
      </c>
      <c r="H810" s="90" t="s">
        <v>194</v>
      </c>
      <c r="I810" s="91"/>
      <c r="J810" s="91"/>
      <c r="K810" s="91">
        <f t="shared" si="99"/>
        <v>0</v>
      </c>
      <c r="L810" s="80"/>
      <c r="M810" s="91">
        <f>SUM(M811:M812)</f>
        <v>325126</v>
      </c>
      <c r="N810" s="91">
        <f>SUM(N811:N812)</f>
        <v>0</v>
      </c>
      <c r="O810" s="91">
        <f t="shared" si="100"/>
        <v>325126</v>
      </c>
      <c r="P810" s="80"/>
      <c r="Q810" s="91">
        <f t="shared" si="95"/>
        <v>325126</v>
      </c>
      <c r="R810" s="91">
        <f t="shared" ref="R810:R876" si="110">N810+J810</f>
        <v>0</v>
      </c>
      <c r="S810" s="91">
        <f t="shared" ref="S810:S876" si="111">O810+K810</f>
        <v>325126</v>
      </c>
    </row>
    <row r="811" spans="2:19" x14ac:dyDescent="0.2">
      <c r="B811" s="79">
        <f t="shared" si="98"/>
        <v>64</v>
      </c>
      <c r="C811" s="15"/>
      <c r="D811" s="15"/>
      <c r="E811" s="15"/>
      <c r="F811" s="68"/>
      <c r="G811" s="64"/>
      <c r="H811" s="64" t="s">
        <v>435</v>
      </c>
      <c r="I811" s="62"/>
      <c r="J811" s="62"/>
      <c r="K811" s="62">
        <f t="shared" si="99"/>
        <v>0</v>
      </c>
      <c r="L811" s="80"/>
      <c r="M811" s="62">
        <f>162976-21000-10050-1800-2000+17000</f>
        <v>145126</v>
      </c>
      <c r="N811" s="62"/>
      <c r="O811" s="62">
        <f t="shared" si="100"/>
        <v>145126</v>
      </c>
      <c r="P811" s="80"/>
      <c r="Q811" s="62">
        <f t="shared" si="95"/>
        <v>145126</v>
      </c>
      <c r="R811" s="62">
        <f t="shared" si="110"/>
        <v>0</v>
      </c>
      <c r="S811" s="62">
        <f t="shared" si="111"/>
        <v>145126</v>
      </c>
    </row>
    <row r="812" spans="2:19" x14ac:dyDescent="0.2">
      <c r="B812" s="79">
        <f t="shared" si="98"/>
        <v>65</v>
      </c>
      <c r="C812" s="15"/>
      <c r="D812" s="15"/>
      <c r="E812" s="15"/>
      <c r="F812" s="68"/>
      <c r="G812" s="64"/>
      <c r="H812" s="64" t="s">
        <v>613</v>
      </c>
      <c r="I812" s="62"/>
      <c r="J812" s="62"/>
      <c r="K812" s="62">
        <f t="shared" si="99"/>
        <v>0</v>
      </c>
      <c r="L812" s="80"/>
      <c r="M812" s="62">
        <v>180000</v>
      </c>
      <c r="N812" s="62"/>
      <c r="O812" s="62">
        <f t="shared" si="100"/>
        <v>180000</v>
      </c>
      <c r="P812" s="80"/>
      <c r="Q812" s="62">
        <f t="shared" ref="Q812:Q886" si="112">M812+I812</f>
        <v>180000</v>
      </c>
      <c r="R812" s="62">
        <f t="shared" si="110"/>
        <v>0</v>
      </c>
      <c r="S812" s="62">
        <f t="shared" si="111"/>
        <v>180000</v>
      </c>
    </row>
    <row r="813" spans="2:19" x14ac:dyDescent="0.2">
      <c r="B813" s="79">
        <f t="shared" ref="B813:B829" si="113">B812+1</f>
        <v>66</v>
      </c>
      <c r="C813" s="14"/>
      <c r="D813" s="14"/>
      <c r="E813" s="14" t="s">
        <v>88</v>
      </c>
      <c r="F813" s="54"/>
      <c r="G813" s="14"/>
      <c r="H813" s="14" t="s">
        <v>63</v>
      </c>
      <c r="I813" s="51">
        <f>I816+I815+I814</f>
        <v>133180</v>
      </c>
      <c r="J813" s="51">
        <f>J816+J815+J814+J822</f>
        <v>414</v>
      </c>
      <c r="K813" s="51">
        <f t="shared" ref="K813:K879" si="114">I813+J813</f>
        <v>133594</v>
      </c>
      <c r="L813" s="126"/>
      <c r="M813" s="51">
        <f>M816+M815+M814</f>
        <v>0</v>
      </c>
      <c r="N813" s="51">
        <f>N816+N815+N814</f>
        <v>0</v>
      </c>
      <c r="O813" s="51">
        <f t="shared" ref="O813:O879" si="115">M813+N813</f>
        <v>0</v>
      </c>
      <c r="P813" s="126"/>
      <c r="Q813" s="51">
        <f t="shared" si="112"/>
        <v>133180</v>
      </c>
      <c r="R813" s="51">
        <f t="shared" si="110"/>
        <v>414</v>
      </c>
      <c r="S813" s="51">
        <f t="shared" si="111"/>
        <v>133594</v>
      </c>
    </row>
    <row r="814" spans="2:19" x14ac:dyDescent="0.2">
      <c r="B814" s="79">
        <f t="shared" si="113"/>
        <v>67</v>
      </c>
      <c r="C814" s="15"/>
      <c r="D814" s="15"/>
      <c r="E814" s="15"/>
      <c r="F814" s="55" t="s">
        <v>199</v>
      </c>
      <c r="G814" s="15">
        <v>610</v>
      </c>
      <c r="H814" s="15" t="s">
        <v>136</v>
      </c>
      <c r="I814" s="52">
        <v>74290</v>
      </c>
      <c r="J814" s="52"/>
      <c r="K814" s="52">
        <f t="shared" si="114"/>
        <v>74290</v>
      </c>
      <c r="L814" s="126"/>
      <c r="M814" s="52"/>
      <c r="N814" s="52"/>
      <c r="O814" s="52">
        <f t="shared" si="115"/>
        <v>0</v>
      </c>
      <c r="P814" s="126"/>
      <c r="Q814" s="52">
        <f t="shared" si="112"/>
        <v>74290</v>
      </c>
      <c r="R814" s="52">
        <f t="shared" si="110"/>
        <v>0</v>
      </c>
      <c r="S814" s="52">
        <f t="shared" si="111"/>
        <v>74290</v>
      </c>
    </row>
    <row r="815" spans="2:19" x14ac:dyDescent="0.2">
      <c r="B815" s="79">
        <f t="shared" si="113"/>
        <v>68</v>
      </c>
      <c r="C815" s="15"/>
      <c r="D815" s="15"/>
      <c r="E815" s="15"/>
      <c r="F815" s="55" t="s">
        <v>199</v>
      </c>
      <c r="G815" s="15">
        <v>620</v>
      </c>
      <c r="H815" s="15" t="s">
        <v>131</v>
      </c>
      <c r="I815" s="52">
        <v>27587</v>
      </c>
      <c r="J815" s="52"/>
      <c r="K815" s="52">
        <f t="shared" si="114"/>
        <v>27587</v>
      </c>
      <c r="L815" s="126"/>
      <c r="M815" s="52"/>
      <c r="N815" s="52"/>
      <c r="O815" s="52">
        <f t="shared" si="115"/>
        <v>0</v>
      </c>
      <c r="P815" s="126"/>
      <c r="Q815" s="52">
        <f t="shared" si="112"/>
        <v>27587</v>
      </c>
      <c r="R815" s="52">
        <f t="shared" si="110"/>
        <v>0</v>
      </c>
      <c r="S815" s="52">
        <f t="shared" si="111"/>
        <v>27587</v>
      </c>
    </row>
    <row r="816" spans="2:19" x14ac:dyDescent="0.2">
      <c r="B816" s="79">
        <f t="shared" si="113"/>
        <v>69</v>
      </c>
      <c r="C816" s="15"/>
      <c r="D816" s="15"/>
      <c r="E816" s="15"/>
      <c r="F816" s="55" t="s">
        <v>199</v>
      </c>
      <c r="G816" s="15">
        <v>630</v>
      </c>
      <c r="H816" s="15" t="s">
        <v>128</v>
      </c>
      <c r="I816" s="52">
        <f>I820+I819+I818+I817+I821</f>
        <v>31303</v>
      </c>
      <c r="J816" s="52">
        <f>J820+J819+J818+J817+J821</f>
        <v>389</v>
      </c>
      <c r="K816" s="52">
        <f t="shared" si="114"/>
        <v>31692</v>
      </c>
      <c r="L816" s="126"/>
      <c r="M816" s="52">
        <v>0</v>
      </c>
      <c r="N816" s="52">
        <v>0</v>
      </c>
      <c r="O816" s="52">
        <f t="shared" si="115"/>
        <v>0</v>
      </c>
      <c r="P816" s="126"/>
      <c r="Q816" s="52">
        <f t="shared" si="112"/>
        <v>31303</v>
      </c>
      <c r="R816" s="52">
        <f t="shared" si="110"/>
        <v>389</v>
      </c>
      <c r="S816" s="52">
        <f t="shared" si="111"/>
        <v>31692</v>
      </c>
    </row>
    <row r="817" spans="2:19" x14ac:dyDescent="0.2">
      <c r="B817" s="79">
        <f t="shared" si="113"/>
        <v>70</v>
      </c>
      <c r="C817" s="4"/>
      <c r="D817" s="4"/>
      <c r="E817" s="4"/>
      <c r="F817" s="56" t="s">
        <v>199</v>
      </c>
      <c r="G817" s="4">
        <v>632</v>
      </c>
      <c r="H817" s="4" t="s">
        <v>139</v>
      </c>
      <c r="I817" s="26">
        <v>18530</v>
      </c>
      <c r="J817" s="26"/>
      <c r="K817" s="26">
        <f t="shared" si="114"/>
        <v>18530</v>
      </c>
      <c r="L817" s="80"/>
      <c r="M817" s="26"/>
      <c r="N817" s="26"/>
      <c r="O817" s="26">
        <f t="shared" si="115"/>
        <v>0</v>
      </c>
      <c r="P817" s="80"/>
      <c r="Q817" s="26">
        <f t="shared" si="112"/>
        <v>18530</v>
      </c>
      <c r="R817" s="26">
        <f t="shared" si="110"/>
        <v>0</v>
      </c>
      <c r="S817" s="26">
        <f t="shared" si="111"/>
        <v>18530</v>
      </c>
    </row>
    <row r="818" spans="2:19" x14ac:dyDescent="0.2">
      <c r="B818" s="79">
        <f t="shared" si="113"/>
        <v>71</v>
      </c>
      <c r="C818" s="4"/>
      <c r="D818" s="4"/>
      <c r="E818" s="4"/>
      <c r="F818" s="56" t="s">
        <v>199</v>
      </c>
      <c r="G818" s="4">
        <v>633</v>
      </c>
      <c r="H818" s="4" t="s">
        <v>132</v>
      </c>
      <c r="I818" s="26">
        <f>5541+1152</f>
        <v>6693</v>
      </c>
      <c r="J818" s="26">
        <v>162</v>
      </c>
      <c r="K818" s="26">
        <f t="shared" si="114"/>
        <v>6855</v>
      </c>
      <c r="L818" s="80"/>
      <c r="M818" s="26"/>
      <c r="N818" s="26"/>
      <c r="O818" s="26">
        <f t="shared" si="115"/>
        <v>0</v>
      </c>
      <c r="P818" s="80"/>
      <c r="Q818" s="26">
        <f t="shared" si="112"/>
        <v>6693</v>
      </c>
      <c r="R818" s="26">
        <f t="shared" si="110"/>
        <v>162</v>
      </c>
      <c r="S818" s="26">
        <f t="shared" si="111"/>
        <v>6855</v>
      </c>
    </row>
    <row r="819" spans="2:19" x14ac:dyDescent="0.2">
      <c r="B819" s="79">
        <f t="shared" si="113"/>
        <v>72</v>
      </c>
      <c r="C819" s="4"/>
      <c r="D819" s="4"/>
      <c r="E819" s="4"/>
      <c r="F819" s="56" t="s">
        <v>199</v>
      </c>
      <c r="G819" s="4">
        <v>635</v>
      </c>
      <c r="H819" s="4" t="s">
        <v>138</v>
      </c>
      <c r="I819" s="26">
        <v>150</v>
      </c>
      <c r="J819" s="26">
        <v>227</v>
      </c>
      <c r="K819" s="26">
        <f t="shared" si="114"/>
        <v>377</v>
      </c>
      <c r="L819" s="80"/>
      <c r="M819" s="26"/>
      <c r="N819" s="26"/>
      <c r="O819" s="26">
        <f t="shared" si="115"/>
        <v>0</v>
      </c>
      <c r="P819" s="80"/>
      <c r="Q819" s="26">
        <f t="shared" si="112"/>
        <v>150</v>
      </c>
      <c r="R819" s="26">
        <f t="shared" si="110"/>
        <v>227</v>
      </c>
      <c r="S819" s="26">
        <f t="shared" si="111"/>
        <v>377</v>
      </c>
    </row>
    <row r="820" spans="2:19" x14ac:dyDescent="0.2">
      <c r="B820" s="79">
        <f t="shared" si="113"/>
        <v>73</v>
      </c>
      <c r="C820" s="4"/>
      <c r="D820" s="4"/>
      <c r="E820" s="4"/>
      <c r="F820" s="56" t="s">
        <v>199</v>
      </c>
      <c r="G820" s="4">
        <v>637</v>
      </c>
      <c r="H820" s="4" t="s">
        <v>129</v>
      </c>
      <c r="I820" s="26">
        <v>2330</v>
      </c>
      <c r="J820" s="26"/>
      <c r="K820" s="26">
        <f t="shared" si="114"/>
        <v>2330</v>
      </c>
      <c r="L820" s="80"/>
      <c r="M820" s="26"/>
      <c r="N820" s="26"/>
      <c r="O820" s="26">
        <f t="shared" si="115"/>
        <v>0</v>
      </c>
      <c r="P820" s="80"/>
      <c r="Q820" s="26">
        <f t="shared" si="112"/>
        <v>2330</v>
      </c>
      <c r="R820" s="26">
        <f t="shared" si="110"/>
        <v>0</v>
      </c>
      <c r="S820" s="26">
        <f t="shared" si="111"/>
        <v>2330</v>
      </c>
    </row>
    <row r="821" spans="2:19" x14ac:dyDescent="0.2">
      <c r="B821" s="79">
        <f t="shared" si="113"/>
        <v>74</v>
      </c>
      <c r="C821" s="4"/>
      <c r="D821" s="4"/>
      <c r="E821" s="4"/>
      <c r="F821" s="183" t="s">
        <v>199</v>
      </c>
      <c r="G821" s="144">
        <v>633</v>
      </c>
      <c r="H821" s="167" t="s">
        <v>642</v>
      </c>
      <c r="I821" s="145">
        <f>3000+1600-1000</f>
        <v>3600</v>
      </c>
      <c r="J821" s="145"/>
      <c r="K821" s="145">
        <f t="shared" si="114"/>
        <v>3600</v>
      </c>
      <c r="L821" s="80"/>
      <c r="M821" s="145">
        <v>0</v>
      </c>
      <c r="N821" s="145">
        <v>0</v>
      </c>
      <c r="O821" s="145">
        <f t="shared" si="115"/>
        <v>0</v>
      </c>
      <c r="P821" s="80"/>
      <c r="Q821" s="145">
        <f t="shared" si="112"/>
        <v>3600</v>
      </c>
      <c r="R821" s="145">
        <f t="shared" si="110"/>
        <v>0</v>
      </c>
      <c r="S821" s="145">
        <f t="shared" si="111"/>
        <v>3600</v>
      </c>
    </row>
    <row r="822" spans="2:19" x14ac:dyDescent="0.2">
      <c r="B822" s="79">
        <f t="shared" si="113"/>
        <v>75</v>
      </c>
      <c r="C822" s="4"/>
      <c r="D822" s="4"/>
      <c r="E822" s="4"/>
      <c r="F822" s="55" t="s">
        <v>199</v>
      </c>
      <c r="G822" s="15">
        <v>640</v>
      </c>
      <c r="H822" s="15" t="s">
        <v>135</v>
      </c>
      <c r="I822" s="52">
        <v>0</v>
      </c>
      <c r="J822" s="52">
        <v>25</v>
      </c>
      <c r="K822" s="52">
        <f t="shared" si="114"/>
        <v>25</v>
      </c>
      <c r="L822" s="126"/>
      <c r="M822" s="52"/>
      <c r="N822" s="52"/>
      <c r="O822" s="52">
        <f t="shared" si="115"/>
        <v>0</v>
      </c>
      <c r="P822" s="126"/>
      <c r="Q822" s="52">
        <f t="shared" si="112"/>
        <v>0</v>
      </c>
      <c r="R822" s="52">
        <f t="shared" si="110"/>
        <v>25</v>
      </c>
      <c r="S822" s="52">
        <f t="shared" si="111"/>
        <v>25</v>
      </c>
    </row>
    <row r="823" spans="2:19" x14ac:dyDescent="0.2">
      <c r="B823" s="79">
        <f t="shared" si="113"/>
        <v>76</v>
      </c>
      <c r="C823" s="14"/>
      <c r="D823" s="14"/>
      <c r="E823" s="14" t="s">
        <v>98</v>
      </c>
      <c r="F823" s="54"/>
      <c r="G823" s="14"/>
      <c r="H823" s="14" t="s">
        <v>99</v>
      </c>
      <c r="I823" s="51">
        <f>I831+I826+I825+I824</f>
        <v>174749</v>
      </c>
      <c r="J823" s="51">
        <f>J831+J826+J825+J824</f>
        <v>-6287</v>
      </c>
      <c r="K823" s="51">
        <f t="shared" si="114"/>
        <v>168462</v>
      </c>
      <c r="L823" s="126"/>
      <c r="M823" s="51">
        <f>M831+M826+M825+M824</f>
        <v>0</v>
      </c>
      <c r="N823" s="51">
        <f>N831+N826+N825+N824</f>
        <v>0</v>
      </c>
      <c r="O823" s="51">
        <f t="shared" si="115"/>
        <v>0</v>
      </c>
      <c r="P823" s="126"/>
      <c r="Q823" s="51">
        <f t="shared" si="112"/>
        <v>174749</v>
      </c>
      <c r="R823" s="51">
        <f t="shared" si="110"/>
        <v>-6287</v>
      </c>
      <c r="S823" s="51">
        <f t="shared" si="111"/>
        <v>168462</v>
      </c>
    </row>
    <row r="824" spans="2:19" ht="13.5" customHeight="1" x14ac:dyDescent="0.2">
      <c r="B824" s="79">
        <f t="shared" si="113"/>
        <v>77</v>
      </c>
      <c r="C824" s="15"/>
      <c r="D824" s="15"/>
      <c r="E824" s="15"/>
      <c r="F824" s="55" t="s">
        <v>199</v>
      </c>
      <c r="G824" s="15">
        <v>610</v>
      </c>
      <c r="H824" s="15" t="s">
        <v>136</v>
      </c>
      <c r="I824" s="52">
        <v>89455</v>
      </c>
      <c r="J824" s="52"/>
      <c r="K824" s="52">
        <f t="shared" si="114"/>
        <v>89455</v>
      </c>
      <c r="L824" s="126"/>
      <c r="M824" s="52"/>
      <c r="N824" s="52"/>
      <c r="O824" s="52">
        <f t="shared" si="115"/>
        <v>0</v>
      </c>
      <c r="P824" s="126"/>
      <c r="Q824" s="52">
        <f t="shared" si="112"/>
        <v>89455</v>
      </c>
      <c r="R824" s="52">
        <f t="shared" si="110"/>
        <v>0</v>
      </c>
      <c r="S824" s="52">
        <f t="shared" si="111"/>
        <v>89455</v>
      </c>
    </row>
    <row r="825" spans="2:19" x14ac:dyDescent="0.2">
      <c r="B825" s="79">
        <f t="shared" si="113"/>
        <v>78</v>
      </c>
      <c r="C825" s="15"/>
      <c r="D825" s="15"/>
      <c r="E825" s="15"/>
      <c r="F825" s="55" t="s">
        <v>199</v>
      </c>
      <c r="G825" s="15">
        <v>620</v>
      </c>
      <c r="H825" s="15" t="s">
        <v>131</v>
      </c>
      <c r="I825" s="52">
        <v>33221</v>
      </c>
      <c r="J825" s="52"/>
      <c r="K825" s="52">
        <f t="shared" si="114"/>
        <v>33221</v>
      </c>
      <c r="L825" s="126"/>
      <c r="M825" s="52"/>
      <c r="N825" s="52"/>
      <c r="O825" s="52">
        <f t="shared" si="115"/>
        <v>0</v>
      </c>
      <c r="P825" s="126"/>
      <c r="Q825" s="52">
        <f t="shared" si="112"/>
        <v>33221</v>
      </c>
      <c r="R825" s="52">
        <f t="shared" si="110"/>
        <v>0</v>
      </c>
      <c r="S825" s="52">
        <f t="shared" si="111"/>
        <v>33221</v>
      </c>
    </row>
    <row r="826" spans="2:19" x14ac:dyDescent="0.2">
      <c r="B826" s="79">
        <f t="shared" si="113"/>
        <v>79</v>
      </c>
      <c r="C826" s="15"/>
      <c r="D826" s="15"/>
      <c r="E826" s="15"/>
      <c r="F826" s="55" t="s">
        <v>199</v>
      </c>
      <c r="G826" s="15">
        <v>630</v>
      </c>
      <c r="H826" s="15" t="s">
        <v>128</v>
      </c>
      <c r="I826" s="52">
        <f>I830+I829+I828+I827</f>
        <v>50613</v>
      </c>
      <c r="J826" s="52">
        <f>J830+J829+J828+J827</f>
        <v>-6610</v>
      </c>
      <c r="K826" s="52">
        <f t="shared" si="114"/>
        <v>44003</v>
      </c>
      <c r="L826" s="126"/>
      <c r="M826" s="52">
        <f>M830+M829+M828+M827</f>
        <v>0</v>
      </c>
      <c r="N826" s="52">
        <f>N830+N829+N828+N827</f>
        <v>0</v>
      </c>
      <c r="O826" s="52">
        <f t="shared" si="115"/>
        <v>0</v>
      </c>
      <c r="P826" s="126"/>
      <c r="Q826" s="52">
        <f t="shared" si="112"/>
        <v>50613</v>
      </c>
      <c r="R826" s="52">
        <f t="shared" si="110"/>
        <v>-6610</v>
      </c>
      <c r="S826" s="52">
        <f t="shared" si="111"/>
        <v>44003</v>
      </c>
    </row>
    <row r="827" spans="2:19" ht="15" customHeight="1" x14ac:dyDescent="0.2">
      <c r="B827" s="79">
        <f t="shared" si="113"/>
        <v>80</v>
      </c>
      <c r="C827" s="4"/>
      <c r="D827" s="4"/>
      <c r="E827" s="4"/>
      <c r="F827" s="56" t="s">
        <v>199</v>
      </c>
      <c r="G827" s="4">
        <v>632</v>
      </c>
      <c r="H827" s="4" t="s">
        <v>139</v>
      </c>
      <c r="I827" s="26">
        <v>37410</v>
      </c>
      <c r="J827" s="26">
        <v>-10784</v>
      </c>
      <c r="K827" s="26">
        <f t="shared" si="114"/>
        <v>26626</v>
      </c>
      <c r="L827" s="80"/>
      <c r="M827" s="26"/>
      <c r="N827" s="26"/>
      <c r="O827" s="26">
        <f t="shared" si="115"/>
        <v>0</v>
      </c>
      <c r="P827" s="80"/>
      <c r="Q827" s="26">
        <f t="shared" si="112"/>
        <v>37410</v>
      </c>
      <c r="R827" s="26">
        <f t="shared" si="110"/>
        <v>-10784</v>
      </c>
      <c r="S827" s="26">
        <f t="shared" si="111"/>
        <v>26626</v>
      </c>
    </row>
    <row r="828" spans="2:19" x14ac:dyDescent="0.2">
      <c r="B828" s="79">
        <f t="shared" si="113"/>
        <v>81</v>
      </c>
      <c r="C828" s="4"/>
      <c r="D828" s="4"/>
      <c r="E828" s="4"/>
      <c r="F828" s="56" t="s">
        <v>199</v>
      </c>
      <c r="G828" s="4">
        <v>633</v>
      </c>
      <c r="H828" s="4" t="s">
        <v>132</v>
      </c>
      <c r="I828" s="26">
        <f>5943+1520</f>
        <v>7463</v>
      </c>
      <c r="J828" s="26">
        <v>1830</v>
      </c>
      <c r="K828" s="26">
        <f t="shared" si="114"/>
        <v>9293</v>
      </c>
      <c r="L828" s="80"/>
      <c r="M828" s="26"/>
      <c r="N828" s="26"/>
      <c r="O828" s="26">
        <f t="shared" si="115"/>
        <v>0</v>
      </c>
      <c r="P828" s="80"/>
      <c r="Q828" s="26">
        <f t="shared" si="112"/>
        <v>7463</v>
      </c>
      <c r="R828" s="26">
        <f t="shared" si="110"/>
        <v>1830</v>
      </c>
      <c r="S828" s="26">
        <f t="shared" si="111"/>
        <v>9293</v>
      </c>
    </row>
    <row r="829" spans="2:19" x14ac:dyDescent="0.2">
      <c r="B829" s="79">
        <f t="shared" si="113"/>
        <v>82</v>
      </c>
      <c r="C829" s="4"/>
      <c r="D829" s="4"/>
      <c r="E829" s="4"/>
      <c r="F829" s="56" t="s">
        <v>199</v>
      </c>
      <c r="G829" s="4">
        <v>635</v>
      </c>
      <c r="H829" s="4" t="s">
        <v>138</v>
      </c>
      <c r="I829" s="26">
        <v>2450</v>
      </c>
      <c r="J829" s="26">
        <v>2344</v>
      </c>
      <c r="K829" s="26">
        <f t="shared" si="114"/>
        <v>4794</v>
      </c>
      <c r="L829" s="80"/>
      <c r="M829" s="26"/>
      <c r="N829" s="26"/>
      <c r="O829" s="26">
        <f t="shared" si="115"/>
        <v>0</v>
      </c>
      <c r="P829" s="80"/>
      <c r="Q829" s="26">
        <f t="shared" si="112"/>
        <v>2450</v>
      </c>
      <c r="R829" s="26">
        <f t="shared" si="110"/>
        <v>2344</v>
      </c>
      <c r="S829" s="26">
        <f t="shared" si="111"/>
        <v>4794</v>
      </c>
    </row>
    <row r="830" spans="2:19" x14ac:dyDescent="0.2">
      <c r="B830" s="79">
        <f t="shared" ref="B830:B880" si="116">B829+1</f>
        <v>83</v>
      </c>
      <c r="C830" s="4"/>
      <c r="D830" s="4"/>
      <c r="E830" s="4"/>
      <c r="F830" s="56" t="s">
        <v>199</v>
      </c>
      <c r="G830" s="4">
        <v>637</v>
      </c>
      <c r="H830" s="4" t="s">
        <v>129</v>
      </c>
      <c r="I830" s="26">
        <v>3290</v>
      </c>
      <c r="J830" s="26"/>
      <c r="K830" s="26">
        <f t="shared" si="114"/>
        <v>3290</v>
      </c>
      <c r="L830" s="80"/>
      <c r="M830" s="26"/>
      <c r="N830" s="26"/>
      <c r="O830" s="26">
        <f t="shared" si="115"/>
        <v>0</v>
      </c>
      <c r="P830" s="80"/>
      <c r="Q830" s="26">
        <f t="shared" si="112"/>
        <v>3290</v>
      </c>
      <c r="R830" s="26">
        <f t="shared" si="110"/>
        <v>0</v>
      </c>
      <c r="S830" s="26">
        <f t="shared" si="111"/>
        <v>3290</v>
      </c>
    </row>
    <row r="831" spans="2:19" x14ac:dyDescent="0.2">
      <c r="B831" s="79">
        <f t="shared" si="116"/>
        <v>84</v>
      </c>
      <c r="C831" s="15"/>
      <c r="D831" s="15"/>
      <c r="E831" s="15"/>
      <c r="F831" s="55" t="s">
        <v>199</v>
      </c>
      <c r="G831" s="15">
        <v>640</v>
      </c>
      <c r="H831" s="15" t="s">
        <v>135</v>
      </c>
      <c r="I831" s="52">
        <v>1460</v>
      </c>
      <c r="J831" s="52">
        <v>323</v>
      </c>
      <c r="K831" s="52">
        <f t="shared" si="114"/>
        <v>1783</v>
      </c>
      <c r="L831" s="126"/>
      <c r="M831" s="52"/>
      <c r="N831" s="52"/>
      <c r="O831" s="52">
        <f t="shared" si="115"/>
        <v>0</v>
      </c>
      <c r="P831" s="126"/>
      <c r="Q831" s="52">
        <f t="shared" si="112"/>
        <v>1460</v>
      </c>
      <c r="R831" s="52">
        <f t="shared" si="110"/>
        <v>323</v>
      </c>
      <c r="S831" s="52">
        <f t="shared" si="111"/>
        <v>1783</v>
      </c>
    </row>
    <row r="832" spans="2:19" x14ac:dyDescent="0.2">
      <c r="B832" s="79">
        <f t="shared" si="116"/>
        <v>85</v>
      </c>
      <c r="C832" s="14"/>
      <c r="D832" s="14"/>
      <c r="E832" s="14" t="s">
        <v>101</v>
      </c>
      <c r="F832" s="54"/>
      <c r="G832" s="14"/>
      <c r="H832" s="14" t="s">
        <v>102</v>
      </c>
      <c r="I832" s="51">
        <f>I840+I835+I834+I833</f>
        <v>171703</v>
      </c>
      <c r="J832" s="51">
        <f>J840+J835+J834+J833</f>
        <v>-2450</v>
      </c>
      <c r="K832" s="51">
        <f t="shared" si="114"/>
        <v>169253</v>
      </c>
      <c r="L832" s="126"/>
      <c r="M832" s="51">
        <f>M840+M835+M834+M833</f>
        <v>0</v>
      </c>
      <c r="N832" s="51">
        <f>N840+N835+N834+N833</f>
        <v>0</v>
      </c>
      <c r="O832" s="51">
        <f t="shared" si="115"/>
        <v>0</v>
      </c>
      <c r="P832" s="126"/>
      <c r="Q832" s="51">
        <f t="shared" si="112"/>
        <v>171703</v>
      </c>
      <c r="R832" s="51">
        <f t="shared" si="110"/>
        <v>-2450</v>
      </c>
      <c r="S832" s="51">
        <f t="shared" si="111"/>
        <v>169253</v>
      </c>
    </row>
    <row r="833" spans="2:19" x14ac:dyDescent="0.2">
      <c r="B833" s="79">
        <f t="shared" si="116"/>
        <v>86</v>
      </c>
      <c r="C833" s="15"/>
      <c r="D833" s="15"/>
      <c r="E833" s="15"/>
      <c r="F833" s="55" t="s">
        <v>199</v>
      </c>
      <c r="G833" s="15">
        <v>610</v>
      </c>
      <c r="H833" s="15" t="s">
        <v>136</v>
      </c>
      <c r="I833" s="52">
        <f>90396+3000</f>
        <v>93396</v>
      </c>
      <c r="J833" s="52">
        <v>700</v>
      </c>
      <c r="K833" s="52">
        <f t="shared" si="114"/>
        <v>94096</v>
      </c>
      <c r="L833" s="126"/>
      <c r="M833" s="52"/>
      <c r="N833" s="52"/>
      <c r="O833" s="52">
        <f t="shared" si="115"/>
        <v>0</v>
      </c>
      <c r="P833" s="126"/>
      <c r="Q833" s="52">
        <f t="shared" si="112"/>
        <v>93396</v>
      </c>
      <c r="R833" s="52">
        <f t="shared" si="110"/>
        <v>700</v>
      </c>
      <c r="S833" s="52">
        <f t="shared" si="111"/>
        <v>94096</v>
      </c>
    </row>
    <row r="834" spans="2:19" x14ac:dyDescent="0.2">
      <c r="B834" s="79">
        <f t="shared" si="116"/>
        <v>87</v>
      </c>
      <c r="C834" s="15"/>
      <c r="D834" s="15"/>
      <c r="E834" s="15"/>
      <c r="F834" s="55" t="s">
        <v>199</v>
      </c>
      <c r="G834" s="15">
        <v>620</v>
      </c>
      <c r="H834" s="15" t="s">
        <v>131</v>
      </c>
      <c r="I834" s="52">
        <v>34433</v>
      </c>
      <c r="J834" s="52"/>
      <c r="K834" s="52">
        <f t="shared" si="114"/>
        <v>34433</v>
      </c>
      <c r="L834" s="126"/>
      <c r="M834" s="52"/>
      <c r="N834" s="52"/>
      <c r="O834" s="52">
        <f t="shared" si="115"/>
        <v>0</v>
      </c>
      <c r="P834" s="126"/>
      <c r="Q834" s="52">
        <f t="shared" si="112"/>
        <v>34433</v>
      </c>
      <c r="R834" s="52">
        <f t="shared" si="110"/>
        <v>0</v>
      </c>
      <c r="S834" s="52">
        <f t="shared" si="111"/>
        <v>34433</v>
      </c>
    </row>
    <row r="835" spans="2:19" x14ac:dyDescent="0.2">
      <c r="B835" s="79">
        <f t="shared" si="116"/>
        <v>88</v>
      </c>
      <c r="C835" s="15"/>
      <c r="D835" s="15"/>
      <c r="E835" s="15"/>
      <c r="F835" s="55" t="s">
        <v>199</v>
      </c>
      <c r="G835" s="15">
        <v>630</v>
      </c>
      <c r="H835" s="15" t="s">
        <v>128</v>
      </c>
      <c r="I835" s="52">
        <f>I839+I838+I837+I836</f>
        <v>41494</v>
      </c>
      <c r="J835" s="52">
        <f>J839+J838+J837+J836</f>
        <v>-2450</v>
      </c>
      <c r="K835" s="52">
        <f t="shared" si="114"/>
        <v>39044</v>
      </c>
      <c r="L835" s="126"/>
      <c r="M835" s="52">
        <v>0</v>
      </c>
      <c r="N835" s="52"/>
      <c r="O835" s="52">
        <f t="shared" si="115"/>
        <v>0</v>
      </c>
      <c r="P835" s="126"/>
      <c r="Q835" s="52">
        <f t="shared" si="112"/>
        <v>41494</v>
      </c>
      <c r="R835" s="52">
        <f t="shared" si="110"/>
        <v>-2450</v>
      </c>
      <c r="S835" s="52">
        <f t="shared" si="111"/>
        <v>39044</v>
      </c>
    </row>
    <row r="836" spans="2:19" x14ac:dyDescent="0.2">
      <c r="B836" s="79">
        <f t="shared" si="116"/>
        <v>89</v>
      </c>
      <c r="C836" s="4"/>
      <c r="D836" s="4"/>
      <c r="E836" s="4"/>
      <c r="F836" s="56" t="s">
        <v>199</v>
      </c>
      <c r="G836" s="4">
        <v>632</v>
      </c>
      <c r="H836" s="4" t="s">
        <v>139</v>
      </c>
      <c r="I836" s="26">
        <v>26980</v>
      </c>
      <c r="J836" s="26">
        <v>-3600</v>
      </c>
      <c r="K836" s="26">
        <f t="shared" si="114"/>
        <v>23380</v>
      </c>
      <c r="L836" s="80"/>
      <c r="M836" s="26"/>
      <c r="N836" s="26"/>
      <c r="O836" s="26">
        <f t="shared" si="115"/>
        <v>0</v>
      </c>
      <c r="P836" s="80"/>
      <c r="Q836" s="26">
        <f t="shared" si="112"/>
        <v>26980</v>
      </c>
      <c r="R836" s="26">
        <f t="shared" si="110"/>
        <v>-3600</v>
      </c>
      <c r="S836" s="26">
        <f t="shared" si="111"/>
        <v>23380</v>
      </c>
    </row>
    <row r="837" spans="2:19" x14ac:dyDescent="0.2">
      <c r="B837" s="79">
        <f t="shared" si="116"/>
        <v>90</v>
      </c>
      <c r="C837" s="4"/>
      <c r="D837" s="4"/>
      <c r="E837" s="4"/>
      <c r="F837" s="56" t="s">
        <v>199</v>
      </c>
      <c r="G837" s="4">
        <v>633</v>
      </c>
      <c r="H837" s="4" t="s">
        <v>132</v>
      </c>
      <c r="I837" s="26">
        <f>7350+1424</f>
        <v>8774</v>
      </c>
      <c r="J837" s="26">
        <v>-54</v>
      </c>
      <c r="K837" s="26">
        <f t="shared" si="114"/>
        <v>8720</v>
      </c>
      <c r="L837" s="80"/>
      <c r="M837" s="26"/>
      <c r="N837" s="26"/>
      <c r="O837" s="26">
        <f t="shared" si="115"/>
        <v>0</v>
      </c>
      <c r="P837" s="80"/>
      <c r="Q837" s="26">
        <f t="shared" si="112"/>
        <v>8774</v>
      </c>
      <c r="R837" s="26">
        <f t="shared" si="110"/>
        <v>-54</v>
      </c>
      <c r="S837" s="26">
        <f t="shared" si="111"/>
        <v>8720</v>
      </c>
    </row>
    <row r="838" spans="2:19" x14ac:dyDescent="0.2">
      <c r="B838" s="79">
        <f t="shared" si="116"/>
        <v>91</v>
      </c>
      <c r="C838" s="4"/>
      <c r="D838" s="4"/>
      <c r="E838" s="4"/>
      <c r="F838" s="56" t="s">
        <v>199</v>
      </c>
      <c r="G838" s="4">
        <v>635</v>
      </c>
      <c r="H838" s="4" t="s">
        <v>138</v>
      </c>
      <c r="I838" s="26">
        <f>1100+1500</f>
        <v>2600</v>
      </c>
      <c r="J838" s="26">
        <v>1204</v>
      </c>
      <c r="K838" s="26">
        <f t="shared" si="114"/>
        <v>3804</v>
      </c>
      <c r="L838" s="80"/>
      <c r="M838" s="26"/>
      <c r="N838" s="26"/>
      <c r="O838" s="26">
        <f t="shared" si="115"/>
        <v>0</v>
      </c>
      <c r="P838" s="80"/>
      <c r="Q838" s="26">
        <f t="shared" si="112"/>
        <v>2600</v>
      </c>
      <c r="R838" s="26">
        <f t="shared" si="110"/>
        <v>1204</v>
      </c>
      <c r="S838" s="26">
        <f t="shared" si="111"/>
        <v>3804</v>
      </c>
    </row>
    <row r="839" spans="2:19" x14ac:dyDescent="0.2">
      <c r="B839" s="79">
        <f t="shared" si="116"/>
        <v>92</v>
      </c>
      <c r="C839" s="4"/>
      <c r="D839" s="4"/>
      <c r="E839" s="4"/>
      <c r="F839" s="56" t="s">
        <v>199</v>
      </c>
      <c r="G839" s="4">
        <v>637</v>
      </c>
      <c r="H839" s="4" t="s">
        <v>129</v>
      </c>
      <c r="I839" s="26">
        <v>3140</v>
      </c>
      <c r="J839" s="26"/>
      <c r="K839" s="26">
        <f t="shared" si="114"/>
        <v>3140</v>
      </c>
      <c r="L839" s="80"/>
      <c r="M839" s="26"/>
      <c r="N839" s="26"/>
      <c r="O839" s="26">
        <f t="shared" si="115"/>
        <v>0</v>
      </c>
      <c r="P839" s="80"/>
      <c r="Q839" s="26">
        <f t="shared" si="112"/>
        <v>3140</v>
      </c>
      <c r="R839" s="26">
        <f t="shared" si="110"/>
        <v>0</v>
      </c>
      <c r="S839" s="26">
        <f t="shared" si="111"/>
        <v>3140</v>
      </c>
    </row>
    <row r="840" spans="2:19" x14ac:dyDescent="0.2">
      <c r="B840" s="79">
        <f t="shared" si="116"/>
        <v>93</v>
      </c>
      <c r="C840" s="15"/>
      <c r="D840" s="15"/>
      <c r="E840" s="15"/>
      <c r="F840" s="55" t="s">
        <v>199</v>
      </c>
      <c r="G840" s="15">
        <v>640</v>
      </c>
      <c r="H840" s="15" t="s">
        <v>135</v>
      </c>
      <c r="I840" s="52">
        <v>2380</v>
      </c>
      <c r="J840" s="52">
        <v>-700</v>
      </c>
      <c r="K840" s="52">
        <f t="shared" si="114"/>
        <v>1680</v>
      </c>
      <c r="L840" s="126"/>
      <c r="M840" s="52"/>
      <c r="N840" s="52"/>
      <c r="O840" s="52">
        <f t="shared" si="115"/>
        <v>0</v>
      </c>
      <c r="P840" s="126"/>
      <c r="Q840" s="52">
        <f t="shared" si="112"/>
        <v>2380</v>
      </c>
      <c r="R840" s="52">
        <f t="shared" si="110"/>
        <v>-700</v>
      </c>
      <c r="S840" s="52">
        <f t="shared" si="111"/>
        <v>1680</v>
      </c>
    </row>
    <row r="841" spans="2:19" x14ac:dyDescent="0.2">
      <c r="B841" s="79">
        <f t="shared" si="116"/>
        <v>94</v>
      </c>
      <c r="C841" s="14"/>
      <c r="D841" s="14"/>
      <c r="E841" s="14" t="s">
        <v>86</v>
      </c>
      <c r="F841" s="54"/>
      <c r="G841" s="14"/>
      <c r="H841" s="14" t="s">
        <v>87</v>
      </c>
      <c r="I841" s="51">
        <f>I850+I849+I844+I843+I842</f>
        <v>249476</v>
      </c>
      <c r="J841" s="51">
        <f>J850+J849+J844+J843+J842</f>
        <v>-3224</v>
      </c>
      <c r="K841" s="51">
        <f t="shared" si="114"/>
        <v>246252</v>
      </c>
      <c r="L841" s="126"/>
      <c r="M841" s="51">
        <f>M850+M849+M844+M843+M842</f>
        <v>11000</v>
      </c>
      <c r="N841" s="51">
        <f>N850+N849+N844+N843+N842</f>
        <v>0</v>
      </c>
      <c r="O841" s="51">
        <f t="shared" si="115"/>
        <v>11000</v>
      </c>
      <c r="P841" s="126"/>
      <c r="Q841" s="51">
        <f t="shared" si="112"/>
        <v>260476</v>
      </c>
      <c r="R841" s="51">
        <f t="shared" si="110"/>
        <v>-3224</v>
      </c>
      <c r="S841" s="51">
        <f t="shared" si="111"/>
        <v>257252</v>
      </c>
    </row>
    <row r="842" spans="2:19" x14ac:dyDescent="0.2">
      <c r="B842" s="79">
        <f t="shared" si="116"/>
        <v>95</v>
      </c>
      <c r="C842" s="15"/>
      <c r="D842" s="15"/>
      <c r="E842" s="15"/>
      <c r="F842" s="55" t="s">
        <v>199</v>
      </c>
      <c r="G842" s="15">
        <v>610</v>
      </c>
      <c r="H842" s="15" t="s">
        <v>136</v>
      </c>
      <c r="I842" s="52">
        <v>136506</v>
      </c>
      <c r="J842" s="52">
        <v>1060</v>
      </c>
      <c r="K842" s="52">
        <f t="shared" si="114"/>
        <v>137566</v>
      </c>
      <c r="L842" s="126"/>
      <c r="M842" s="52"/>
      <c r="N842" s="52"/>
      <c r="O842" s="52">
        <f t="shared" si="115"/>
        <v>0</v>
      </c>
      <c r="P842" s="126"/>
      <c r="Q842" s="52">
        <f t="shared" si="112"/>
        <v>136506</v>
      </c>
      <c r="R842" s="52">
        <f t="shared" si="110"/>
        <v>1060</v>
      </c>
      <c r="S842" s="52">
        <f t="shared" si="111"/>
        <v>137566</v>
      </c>
    </row>
    <row r="843" spans="2:19" x14ac:dyDescent="0.2">
      <c r="B843" s="79">
        <f t="shared" si="116"/>
        <v>96</v>
      </c>
      <c r="C843" s="15"/>
      <c r="D843" s="15"/>
      <c r="E843" s="15"/>
      <c r="F843" s="55" t="s">
        <v>199</v>
      </c>
      <c r="G843" s="15">
        <v>620</v>
      </c>
      <c r="H843" s="15" t="s">
        <v>131</v>
      </c>
      <c r="I843" s="52">
        <v>51530</v>
      </c>
      <c r="J843" s="52">
        <v>-280</v>
      </c>
      <c r="K843" s="52">
        <f t="shared" si="114"/>
        <v>51250</v>
      </c>
      <c r="L843" s="126"/>
      <c r="M843" s="52"/>
      <c r="N843" s="52"/>
      <c r="O843" s="52">
        <f t="shared" si="115"/>
        <v>0</v>
      </c>
      <c r="P843" s="126"/>
      <c r="Q843" s="52">
        <f t="shared" si="112"/>
        <v>51530</v>
      </c>
      <c r="R843" s="52">
        <f t="shared" si="110"/>
        <v>-280</v>
      </c>
      <c r="S843" s="52">
        <f t="shared" si="111"/>
        <v>51250</v>
      </c>
    </row>
    <row r="844" spans="2:19" x14ac:dyDescent="0.2">
      <c r="B844" s="79">
        <f t="shared" si="116"/>
        <v>97</v>
      </c>
      <c r="C844" s="15"/>
      <c r="D844" s="15"/>
      <c r="E844" s="15"/>
      <c r="F844" s="55" t="s">
        <v>199</v>
      </c>
      <c r="G844" s="15">
        <v>630</v>
      </c>
      <c r="H844" s="15" t="s">
        <v>128</v>
      </c>
      <c r="I844" s="52">
        <f>I848+I847+I846+I845</f>
        <v>59088</v>
      </c>
      <c r="J844" s="52">
        <f>J848+J847+J846+J845</f>
        <v>-2104</v>
      </c>
      <c r="K844" s="52">
        <f t="shared" si="114"/>
        <v>56984</v>
      </c>
      <c r="L844" s="126"/>
      <c r="M844" s="52">
        <f>M848+M847+M846+M845</f>
        <v>0</v>
      </c>
      <c r="N844" s="52">
        <f>N848+N847+N846+N845</f>
        <v>0</v>
      </c>
      <c r="O844" s="52">
        <f t="shared" si="115"/>
        <v>0</v>
      </c>
      <c r="P844" s="126"/>
      <c r="Q844" s="52">
        <f t="shared" si="112"/>
        <v>59088</v>
      </c>
      <c r="R844" s="52">
        <f t="shared" si="110"/>
        <v>-2104</v>
      </c>
      <c r="S844" s="52">
        <f t="shared" si="111"/>
        <v>56984</v>
      </c>
    </row>
    <row r="845" spans="2:19" x14ac:dyDescent="0.2">
      <c r="B845" s="79">
        <f t="shared" si="116"/>
        <v>98</v>
      </c>
      <c r="C845" s="4"/>
      <c r="D845" s="4"/>
      <c r="E845" s="4"/>
      <c r="F845" s="56" t="s">
        <v>199</v>
      </c>
      <c r="G845" s="4">
        <v>632</v>
      </c>
      <c r="H845" s="4" t="s">
        <v>139</v>
      </c>
      <c r="I845" s="26">
        <v>41760</v>
      </c>
      <c r="J845" s="26">
        <v>-3332</v>
      </c>
      <c r="K845" s="26">
        <f t="shared" si="114"/>
        <v>38428</v>
      </c>
      <c r="L845" s="80"/>
      <c r="M845" s="26"/>
      <c r="N845" s="26"/>
      <c r="O845" s="26">
        <f t="shared" si="115"/>
        <v>0</v>
      </c>
      <c r="P845" s="80"/>
      <c r="Q845" s="26">
        <f t="shared" si="112"/>
        <v>41760</v>
      </c>
      <c r="R845" s="26">
        <f t="shared" si="110"/>
        <v>-3332</v>
      </c>
      <c r="S845" s="26">
        <f t="shared" si="111"/>
        <v>38428</v>
      </c>
    </row>
    <row r="846" spans="2:19" x14ac:dyDescent="0.2">
      <c r="B846" s="79">
        <f t="shared" si="116"/>
        <v>99</v>
      </c>
      <c r="C846" s="4"/>
      <c r="D846" s="4"/>
      <c r="E846" s="4"/>
      <c r="F846" s="56" t="s">
        <v>199</v>
      </c>
      <c r="G846" s="4">
        <v>633</v>
      </c>
      <c r="H846" s="4" t="s">
        <v>132</v>
      </c>
      <c r="I846" s="26">
        <f>8582+2096</f>
        <v>10678</v>
      </c>
      <c r="J846" s="26">
        <v>3032</v>
      </c>
      <c r="K846" s="26">
        <f t="shared" si="114"/>
        <v>13710</v>
      </c>
      <c r="L846" s="80"/>
      <c r="M846" s="26"/>
      <c r="N846" s="26"/>
      <c r="O846" s="26">
        <f t="shared" si="115"/>
        <v>0</v>
      </c>
      <c r="P846" s="80"/>
      <c r="Q846" s="26">
        <f t="shared" si="112"/>
        <v>10678</v>
      </c>
      <c r="R846" s="26">
        <f t="shared" si="110"/>
        <v>3032</v>
      </c>
      <c r="S846" s="26">
        <f t="shared" si="111"/>
        <v>13710</v>
      </c>
    </row>
    <row r="847" spans="2:19" x14ac:dyDescent="0.2">
      <c r="B847" s="79">
        <f t="shared" si="116"/>
        <v>100</v>
      </c>
      <c r="C847" s="4"/>
      <c r="D847" s="4"/>
      <c r="E847" s="4"/>
      <c r="F847" s="56" t="s">
        <v>199</v>
      </c>
      <c r="G847" s="4">
        <v>635</v>
      </c>
      <c r="H847" s="4" t="s">
        <v>138</v>
      </c>
      <c r="I847" s="26">
        <v>2550</v>
      </c>
      <c r="J847" s="26">
        <v>-1804</v>
      </c>
      <c r="K847" s="26">
        <f t="shared" si="114"/>
        <v>746</v>
      </c>
      <c r="L847" s="80"/>
      <c r="M847" s="26"/>
      <c r="N847" s="26"/>
      <c r="O847" s="26">
        <f t="shared" si="115"/>
        <v>0</v>
      </c>
      <c r="P847" s="80"/>
      <c r="Q847" s="26">
        <f t="shared" si="112"/>
        <v>2550</v>
      </c>
      <c r="R847" s="26">
        <f t="shared" si="110"/>
        <v>-1804</v>
      </c>
      <c r="S847" s="26">
        <f t="shared" si="111"/>
        <v>746</v>
      </c>
    </row>
    <row r="848" spans="2:19" x14ac:dyDescent="0.2">
      <c r="B848" s="79">
        <f t="shared" si="116"/>
        <v>101</v>
      </c>
      <c r="C848" s="4"/>
      <c r="D848" s="4"/>
      <c r="E848" s="4"/>
      <c r="F848" s="56" t="s">
        <v>199</v>
      </c>
      <c r="G848" s="4">
        <v>637</v>
      </c>
      <c r="H848" s="4" t="s">
        <v>129</v>
      </c>
      <c r="I848" s="26">
        <v>4100</v>
      </c>
      <c r="J848" s="26"/>
      <c r="K848" s="26">
        <f t="shared" si="114"/>
        <v>4100</v>
      </c>
      <c r="L848" s="80"/>
      <c r="M848" s="26"/>
      <c r="N848" s="26"/>
      <c r="O848" s="26">
        <f t="shared" si="115"/>
        <v>0</v>
      </c>
      <c r="P848" s="80"/>
      <c r="Q848" s="26">
        <f t="shared" si="112"/>
        <v>4100</v>
      </c>
      <c r="R848" s="26">
        <f t="shared" si="110"/>
        <v>0</v>
      </c>
      <c r="S848" s="26">
        <f t="shared" si="111"/>
        <v>4100</v>
      </c>
    </row>
    <row r="849" spans="1:19" x14ac:dyDescent="0.2">
      <c r="B849" s="79">
        <f t="shared" si="116"/>
        <v>102</v>
      </c>
      <c r="C849" s="15"/>
      <c r="D849" s="15"/>
      <c r="E849" s="15"/>
      <c r="F849" s="55" t="s">
        <v>199</v>
      </c>
      <c r="G849" s="15">
        <v>640</v>
      </c>
      <c r="H849" s="15" t="s">
        <v>135</v>
      </c>
      <c r="I849" s="52">
        <v>2352</v>
      </c>
      <c r="J849" s="52">
        <v>-1900</v>
      </c>
      <c r="K849" s="52">
        <f t="shared" si="114"/>
        <v>452</v>
      </c>
      <c r="L849" s="126"/>
      <c r="M849" s="52"/>
      <c r="N849" s="52"/>
      <c r="O849" s="52">
        <f t="shared" si="115"/>
        <v>0</v>
      </c>
      <c r="P849" s="126"/>
      <c r="Q849" s="52">
        <f t="shared" si="112"/>
        <v>2352</v>
      </c>
      <c r="R849" s="52">
        <f t="shared" si="110"/>
        <v>-1900</v>
      </c>
      <c r="S849" s="52">
        <f t="shared" si="111"/>
        <v>452</v>
      </c>
    </row>
    <row r="850" spans="1:19" s="75" customFormat="1" x14ac:dyDescent="0.2">
      <c r="A850" s="71"/>
      <c r="B850" s="79">
        <f t="shared" si="116"/>
        <v>103</v>
      </c>
      <c r="C850" s="15"/>
      <c r="D850" s="15"/>
      <c r="E850" s="15"/>
      <c r="F850" s="55" t="s">
        <v>199</v>
      </c>
      <c r="G850" s="15">
        <v>710</v>
      </c>
      <c r="H850" s="15" t="s">
        <v>184</v>
      </c>
      <c r="I850" s="52">
        <f>I851</f>
        <v>0</v>
      </c>
      <c r="J850" s="52">
        <f>J851</f>
        <v>0</v>
      </c>
      <c r="K850" s="52">
        <f t="shared" si="114"/>
        <v>0</v>
      </c>
      <c r="L850" s="126"/>
      <c r="M850" s="52">
        <f>M851</f>
        <v>11000</v>
      </c>
      <c r="N850" s="52">
        <f>N851</f>
        <v>0</v>
      </c>
      <c r="O850" s="52">
        <f t="shared" si="115"/>
        <v>11000</v>
      </c>
      <c r="P850" s="126"/>
      <c r="Q850" s="52">
        <f t="shared" si="112"/>
        <v>11000</v>
      </c>
      <c r="R850" s="52">
        <f t="shared" si="110"/>
        <v>0</v>
      </c>
      <c r="S850" s="52">
        <f t="shared" si="111"/>
        <v>11000</v>
      </c>
    </row>
    <row r="851" spans="1:19" x14ac:dyDescent="0.2">
      <c r="B851" s="79">
        <f t="shared" si="116"/>
        <v>104</v>
      </c>
      <c r="C851" s="4"/>
      <c r="D851" s="4"/>
      <c r="E851" s="4"/>
      <c r="F851" s="89" t="s">
        <v>199</v>
      </c>
      <c r="G851" s="90">
        <v>717</v>
      </c>
      <c r="H851" s="90" t="s">
        <v>194</v>
      </c>
      <c r="I851" s="91"/>
      <c r="J851" s="91"/>
      <c r="K851" s="91">
        <f t="shared" si="114"/>
        <v>0</v>
      </c>
      <c r="L851" s="80"/>
      <c r="M851" s="91">
        <f>M852</f>
        <v>11000</v>
      </c>
      <c r="N851" s="91"/>
      <c r="O851" s="91">
        <f t="shared" si="115"/>
        <v>11000</v>
      </c>
      <c r="P851" s="80"/>
      <c r="Q851" s="91">
        <f t="shared" si="112"/>
        <v>11000</v>
      </c>
      <c r="R851" s="91">
        <f t="shared" si="110"/>
        <v>0</v>
      </c>
      <c r="S851" s="91">
        <f t="shared" si="111"/>
        <v>11000</v>
      </c>
    </row>
    <row r="852" spans="1:19" hidden="1" x14ac:dyDescent="0.2">
      <c r="B852" s="79">
        <f t="shared" si="116"/>
        <v>105</v>
      </c>
      <c r="C852" s="4"/>
      <c r="D852" s="4"/>
      <c r="E852" s="4"/>
      <c r="F852" s="68"/>
      <c r="G852" s="64"/>
      <c r="H852" s="64" t="s">
        <v>503</v>
      </c>
      <c r="I852" s="62"/>
      <c r="J852" s="62"/>
      <c r="K852" s="62">
        <f t="shared" si="114"/>
        <v>0</v>
      </c>
      <c r="L852" s="80"/>
      <c r="M852" s="62">
        <f>15000-4000</f>
        <v>11000</v>
      </c>
      <c r="N852" s="62">
        <f>15000-4000</f>
        <v>11000</v>
      </c>
      <c r="O852" s="62">
        <f t="shared" si="115"/>
        <v>22000</v>
      </c>
      <c r="P852" s="80"/>
      <c r="Q852" s="26">
        <f t="shared" si="112"/>
        <v>11000</v>
      </c>
      <c r="R852" s="26">
        <f t="shared" si="110"/>
        <v>11000</v>
      </c>
      <c r="S852" s="26">
        <f t="shared" si="111"/>
        <v>22000</v>
      </c>
    </row>
    <row r="853" spans="1:19" x14ac:dyDescent="0.2">
      <c r="B853" s="79">
        <f t="shared" si="116"/>
        <v>106</v>
      </c>
      <c r="C853" s="14"/>
      <c r="D853" s="14"/>
      <c r="E853" s="14" t="s">
        <v>83</v>
      </c>
      <c r="F853" s="54"/>
      <c r="G853" s="14"/>
      <c r="H853" s="14" t="s">
        <v>84</v>
      </c>
      <c r="I853" s="51">
        <f>I862+I856+I855+I854</f>
        <v>262085</v>
      </c>
      <c r="J853" s="51">
        <f>J862+J856+J855+J854</f>
        <v>-4559</v>
      </c>
      <c r="K853" s="51">
        <f t="shared" si="114"/>
        <v>257526</v>
      </c>
      <c r="L853" s="126"/>
      <c r="M853" s="51">
        <f>M862+M856+M855+M854+M863</f>
        <v>7000</v>
      </c>
      <c r="N853" s="51">
        <f>N862+N856+N855+N854+N863</f>
        <v>0</v>
      </c>
      <c r="O853" s="51">
        <f t="shared" si="115"/>
        <v>7000</v>
      </c>
      <c r="P853" s="126"/>
      <c r="Q853" s="51">
        <f t="shared" si="112"/>
        <v>269085</v>
      </c>
      <c r="R853" s="51">
        <f t="shared" si="110"/>
        <v>-4559</v>
      </c>
      <c r="S853" s="51">
        <f t="shared" si="111"/>
        <v>264526</v>
      </c>
    </row>
    <row r="854" spans="1:19" x14ac:dyDescent="0.2">
      <c r="B854" s="79">
        <f t="shared" si="116"/>
        <v>107</v>
      </c>
      <c r="C854" s="15"/>
      <c r="D854" s="15"/>
      <c r="E854" s="15"/>
      <c r="F854" s="55" t="s">
        <v>199</v>
      </c>
      <c r="G854" s="15">
        <v>610</v>
      </c>
      <c r="H854" s="15" t="s">
        <v>136</v>
      </c>
      <c r="I854" s="52">
        <v>134310</v>
      </c>
      <c r="J854" s="52">
        <v>1763</v>
      </c>
      <c r="K854" s="52">
        <f t="shared" si="114"/>
        <v>136073</v>
      </c>
      <c r="L854" s="126"/>
      <c r="M854" s="52"/>
      <c r="N854" s="52"/>
      <c r="O854" s="52">
        <f t="shared" si="115"/>
        <v>0</v>
      </c>
      <c r="P854" s="126"/>
      <c r="Q854" s="52">
        <f t="shared" si="112"/>
        <v>134310</v>
      </c>
      <c r="R854" s="52">
        <f t="shared" si="110"/>
        <v>1763</v>
      </c>
      <c r="S854" s="52">
        <f t="shared" si="111"/>
        <v>136073</v>
      </c>
    </row>
    <row r="855" spans="1:19" s="9" customFormat="1" x14ac:dyDescent="0.2">
      <c r="A855" s="7"/>
      <c r="B855" s="79">
        <f t="shared" si="116"/>
        <v>108</v>
      </c>
      <c r="C855" s="15"/>
      <c r="D855" s="15"/>
      <c r="E855" s="15"/>
      <c r="F855" s="55" t="s">
        <v>199</v>
      </c>
      <c r="G855" s="15">
        <v>620</v>
      </c>
      <c r="H855" s="15" t="s">
        <v>131</v>
      </c>
      <c r="I855" s="52">
        <v>51588</v>
      </c>
      <c r="J855" s="52"/>
      <c r="K855" s="52">
        <f t="shared" si="114"/>
        <v>51588</v>
      </c>
      <c r="L855" s="126"/>
      <c r="M855" s="52"/>
      <c r="N855" s="52"/>
      <c r="O855" s="52">
        <f t="shared" si="115"/>
        <v>0</v>
      </c>
      <c r="P855" s="126"/>
      <c r="Q855" s="52">
        <f t="shared" si="112"/>
        <v>51588</v>
      </c>
      <c r="R855" s="52">
        <f t="shared" si="110"/>
        <v>0</v>
      </c>
      <c r="S855" s="52">
        <f t="shared" si="111"/>
        <v>51588</v>
      </c>
    </row>
    <row r="856" spans="1:19" x14ac:dyDescent="0.2">
      <c r="B856" s="79">
        <f t="shared" si="116"/>
        <v>109</v>
      </c>
      <c r="C856" s="15"/>
      <c r="D856" s="15"/>
      <c r="E856" s="15"/>
      <c r="F856" s="55" t="s">
        <v>199</v>
      </c>
      <c r="G856" s="15">
        <v>630</v>
      </c>
      <c r="H856" s="15" t="s">
        <v>128</v>
      </c>
      <c r="I856" s="52">
        <f>I861+I860+I859+I858</f>
        <v>71483</v>
      </c>
      <c r="J856" s="52">
        <f>J861+J860+J859+J858+J857</f>
        <v>-4322</v>
      </c>
      <c r="K856" s="52">
        <f t="shared" si="114"/>
        <v>67161</v>
      </c>
      <c r="L856" s="126"/>
      <c r="M856" s="52">
        <v>0</v>
      </c>
      <c r="N856" s="52"/>
      <c r="O856" s="52">
        <f t="shared" si="115"/>
        <v>0</v>
      </c>
      <c r="P856" s="126"/>
      <c r="Q856" s="52">
        <f t="shared" si="112"/>
        <v>71483</v>
      </c>
      <c r="R856" s="52">
        <f t="shared" si="110"/>
        <v>-4322</v>
      </c>
      <c r="S856" s="52">
        <f t="shared" si="111"/>
        <v>67161</v>
      </c>
    </row>
    <row r="857" spans="1:19" x14ac:dyDescent="0.2">
      <c r="B857" s="79">
        <f t="shared" si="116"/>
        <v>110</v>
      </c>
      <c r="C857" s="15"/>
      <c r="D857" s="15"/>
      <c r="E857" s="15"/>
      <c r="F857" s="56" t="s">
        <v>199</v>
      </c>
      <c r="G857" s="4">
        <v>631</v>
      </c>
      <c r="H857" s="4" t="s">
        <v>134</v>
      </c>
      <c r="I857" s="26">
        <v>0</v>
      </c>
      <c r="J857" s="26">
        <v>23</v>
      </c>
      <c r="K857" s="26">
        <f t="shared" ref="K857" si="117">I857+J857</f>
        <v>23</v>
      </c>
      <c r="L857" s="80"/>
      <c r="M857" s="26"/>
      <c r="N857" s="26"/>
      <c r="O857" s="26">
        <f t="shared" ref="O857" si="118">M857+N857</f>
        <v>0</v>
      </c>
      <c r="P857" s="80"/>
      <c r="Q857" s="26">
        <f t="shared" ref="Q857" si="119">M857+I857</f>
        <v>0</v>
      </c>
      <c r="R857" s="26">
        <f t="shared" ref="R857" si="120">N857+J857</f>
        <v>23</v>
      </c>
      <c r="S857" s="26">
        <f t="shared" ref="S857" si="121">O857+K857</f>
        <v>23</v>
      </c>
    </row>
    <row r="858" spans="1:19" x14ac:dyDescent="0.2">
      <c r="B858" s="79">
        <f t="shared" si="116"/>
        <v>111</v>
      </c>
      <c r="C858" s="4"/>
      <c r="D858" s="4"/>
      <c r="E858" s="4"/>
      <c r="F858" s="56" t="s">
        <v>199</v>
      </c>
      <c r="G858" s="4">
        <v>632</v>
      </c>
      <c r="H858" s="4" t="s">
        <v>139</v>
      </c>
      <c r="I858" s="26">
        <v>53910</v>
      </c>
      <c r="J858" s="26">
        <v>-12640</v>
      </c>
      <c r="K858" s="26">
        <f t="shared" si="114"/>
        <v>41270</v>
      </c>
      <c r="L858" s="80"/>
      <c r="M858" s="26"/>
      <c r="N858" s="26"/>
      <c r="O858" s="26">
        <f t="shared" si="115"/>
        <v>0</v>
      </c>
      <c r="P858" s="80"/>
      <c r="Q858" s="26">
        <f t="shared" si="112"/>
        <v>53910</v>
      </c>
      <c r="R858" s="26">
        <f t="shared" si="110"/>
        <v>-12640</v>
      </c>
      <c r="S858" s="26">
        <f t="shared" si="111"/>
        <v>41270</v>
      </c>
    </row>
    <row r="859" spans="1:19" x14ac:dyDescent="0.2">
      <c r="B859" s="79">
        <f t="shared" si="116"/>
        <v>112</v>
      </c>
      <c r="C859" s="4"/>
      <c r="D859" s="4"/>
      <c r="E859" s="4"/>
      <c r="F859" s="56" t="s">
        <v>199</v>
      </c>
      <c r="G859" s="4">
        <v>633</v>
      </c>
      <c r="H859" s="4" t="s">
        <v>132</v>
      </c>
      <c r="I859" s="26">
        <f>8043+2240+1560</f>
        <v>11843</v>
      </c>
      <c r="J859" s="26">
        <v>4779</v>
      </c>
      <c r="K859" s="26">
        <f t="shared" si="114"/>
        <v>16622</v>
      </c>
      <c r="L859" s="80"/>
      <c r="M859" s="26"/>
      <c r="N859" s="26"/>
      <c r="O859" s="26">
        <f t="shared" si="115"/>
        <v>0</v>
      </c>
      <c r="P859" s="80"/>
      <c r="Q859" s="26">
        <f t="shared" si="112"/>
        <v>11843</v>
      </c>
      <c r="R859" s="26">
        <f t="shared" si="110"/>
        <v>4779</v>
      </c>
      <c r="S859" s="26">
        <f t="shared" si="111"/>
        <v>16622</v>
      </c>
    </row>
    <row r="860" spans="1:19" x14ac:dyDescent="0.2">
      <c r="B860" s="79">
        <f t="shared" si="116"/>
        <v>113</v>
      </c>
      <c r="C860" s="4"/>
      <c r="D860" s="4"/>
      <c r="E860" s="4"/>
      <c r="F860" s="56" t="s">
        <v>199</v>
      </c>
      <c r="G860" s="4">
        <v>635</v>
      </c>
      <c r="H860" s="4" t="s">
        <v>138</v>
      </c>
      <c r="I860" s="26">
        <v>800</v>
      </c>
      <c r="J860" s="26">
        <v>3516</v>
      </c>
      <c r="K860" s="26">
        <f t="shared" si="114"/>
        <v>4316</v>
      </c>
      <c r="L860" s="80"/>
      <c r="M860" s="26"/>
      <c r="N860" s="26"/>
      <c r="O860" s="26">
        <f t="shared" si="115"/>
        <v>0</v>
      </c>
      <c r="P860" s="80"/>
      <c r="Q860" s="26">
        <f t="shared" si="112"/>
        <v>800</v>
      </c>
      <c r="R860" s="26">
        <f t="shared" si="110"/>
        <v>3516</v>
      </c>
      <c r="S860" s="26">
        <f t="shared" si="111"/>
        <v>4316</v>
      </c>
    </row>
    <row r="861" spans="1:19" x14ac:dyDescent="0.2">
      <c r="B861" s="79">
        <f t="shared" si="116"/>
        <v>114</v>
      </c>
      <c r="C861" s="4"/>
      <c r="D861" s="4"/>
      <c r="E861" s="4"/>
      <c r="F861" s="56" t="s">
        <v>199</v>
      </c>
      <c r="G861" s="4">
        <v>637</v>
      </c>
      <c r="H861" s="4" t="s">
        <v>129</v>
      </c>
      <c r="I861" s="26">
        <v>4930</v>
      </c>
      <c r="J861" s="26"/>
      <c r="K861" s="26">
        <f t="shared" si="114"/>
        <v>4930</v>
      </c>
      <c r="L861" s="80"/>
      <c r="M861" s="26"/>
      <c r="N861" s="26"/>
      <c r="O861" s="26">
        <f t="shared" si="115"/>
        <v>0</v>
      </c>
      <c r="P861" s="80"/>
      <c r="Q861" s="26">
        <f t="shared" si="112"/>
        <v>4930</v>
      </c>
      <c r="R861" s="26">
        <f t="shared" si="110"/>
        <v>0</v>
      </c>
      <c r="S861" s="26">
        <f t="shared" si="111"/>
        <v>4930</v>
      </c>
    </row>
    <row r="862" spans="1:19" x14ac:dyDescent="0.2">
      <c r="B862" s="79">
        <f t="shared" si="116"/>
        <v>115</v>
      </c>
      <c r="C862" s="15"/>
      <c r="D862" s="15"/>
      <c r="E862" s="15"/>
      <c r="F862" s="55" t="s">
        <v>199</v>
      </c>
      <c r="G862" s="15">
        <v>640</v>
      </c>
      <c r="H862" s="15" t="s">
        <v>135</v>
      </c>
      <c r="I862" s="52">
        <v>4704</v>
      </c>
      <c r="J862" s="52">
        <v>-2000</v>
      </c>
      <c r="K862" s="52">
        <f t="shared" si="114"/>
        <v>2704</v>
      </c>
      <c r="L862" s="126"/>
      <c r="M862" s="52"/>
      <c r="N862" s="52"/>
      <c r="O862" s="52">
        <f t="shared" si="115"/>
        <v>0</v>
      </c>
      <c r="P862" s="126"/>
      <c r="Q862" s="52">
        <f t="shared" si="112"/>
        <v>4704</v>
      </c>
      <c r="R862" s="52">
        <f t="shared" si="110"/>
        <v>-2000</v>
      </c>
      <c r="S862" s="52">
        <f t="shared" si="111"/>
        <v>2704</v>
      </c>
    </row>
    <row r="863" spans="1:19" x14ac:dyDescent="0.2">
      <c r="B863" s="79">
        <f t="shared" si="116"/>
        <v>116</v>
      </c>
      <c r="C863" s="15"/>
      <c r="D863" s="15"/>
      <c r="E863" s="15"/>
      <c r="F863" s="55" t="s">
        <v>199</v>
      </c>
      <c r="G863" s="15">
        <v>710</v>
      </c>
      <c r="H863" s="15" t="s">
        <v>184</v>
      </c>
      <c r="I863" s="52">
        <f>I864</f>
        <v>0</v>
      </c>
      <c r="J863" s="52">
        <f>J864</f>
        <v>0</v>
      </c>
      <c r="K863" s="52">
        <f t="shared" si="114"/>
        <v>0</v>
      </c>
      <c r="L863" s="126"/>
      <c r="M863" s="52">
        <f>M864</f>
        <v>7000</v>
      </c>
      <c r="N863" s="52">
        <f>N864</f>
        <v>0</v>
      </c>
      <c r="O863" s="52">
        <f t="shared" si="115"/>
        <v>7000</v>
      </c>
      <c r="P863" s="126"/>
      <c r="Q863" s="52">
        <f t="shared" si="112"/>
        <v>7000</v>
      </c>
      <c r="R863" s="52">
        <f t="shared" si="110"/>
        <v>0</v>
      </c>
      <c r="S863" s="52">
        <f t="shared" si="111"/>
        <v>7000</v>
      </c>
    </row>
    <row r="864" spans="1:19" x14ac:dyDescent="0.2">
      <c r="B864" s="79">
        <f t="shared" si="116"/>
        <v>117</v>
      </c>
      <c r="C864" s="15"/>
      <c r="D864" s="15"/>
      <c r="E864" s="15"/>
      <c r="F864" s="89" t="s">
        <v>199</v>
      </c>
      <c r="G864" s="90">
        <v>717</v>
      </c>
      <c r="H864" s="90" t="s">
        <v>194</v>
      </c>
      <c r="I864" s="91"/>
      <c r="J864" s="91"/>
      <c r="K864" s="91">
        <f t="shared" si="114"/>
        <v>0</v>
      </c>
      <c r="L864" s="80"/>
      <c r="M864" s="91">
        <f>M865</f>
        <v>7000</v>
      </c>
      <c r="N864" s="91">
        <f>N865</f>
        <v>0</v>
      </c>
      <c r="O864" s="91">
        <f t="shared" si="115"/>
        <v>7000</v>
      </c>
      <c r="P864" s="80"/>
      <c r="Q864" s="91">
        <f t="shared" si="112"/>
        <v>7000</v>
      </c>
      <c r="R864" s="91">
        <f t="shared" si="110"/>
        <v>0</v>
      </c>
      <c r="S864" s="91">
        <f t="shared" si="111"/>
        <v>7000</v>
      </c>
    </row>
    <row r="865" spans="2:19" x14ac:dyDescent="0.2">
      <c r="B865" s="79">
        <f t="shared" si="116"/>
        <v>118</v>
      </c>
      <c r="C865" s="15"/>
      <c r="D865" s="15"/>
      <c r="E865" s="15"/>
      <c r="F865" s="68"/>
      <c r="G865" s="64"/>
      <c r="H865" s="129" t="s">
        <v>544</v>
      </c>
      <c r="I865" s="128"/>
      <c r="J865" s="128"/>
      <c r="K865" s="128">
        <f t="shared" si="114"/>
        <v>0</v>
      </c>
      <c r="L865" s="80"/>
      <c r="M865" s="128">
        <f>3000+4000</f>
        <v>7000</v>
      </c>
      <c r="N865" s="128"/>
      <c r="O865" s="128">
        <f t="shared" si="115"/>
        <v>7000</v>
      </c>
      <c r="P865" s="80"/>
      <c r="Q865" s="128">
        <f t="shared" si="112"/>
        <v>7000</v>
      </c>
      <c r="R865" s="128">
        <f t="shared" si="110"/>
        <v>0</v>
      </c>
      <c r="S865" s="128">
        <f t="shared" si="111"/>
        <v>7000</v>
      </c>
    </row>
    <row r="866" spans="2:19" x14ac:dyDescent="0.2">
      <c r="B866" s="79">
        <f t="shared" si="116"/>
        <v>119</v>
      </c>
      <c r="C866" s="14"/>
      <c r="D866" s="14"/>
      <c r="E866" s="14" t="s">
        <v>105</v>
      </c>
      <c r="F866" s="54"/>
      <c r="G866" s="14"/>
      <c r="H866" s="14" t="s">
        <v>106</v>
      </c>
      <c r="I866" s="51">
        <f>I876+I875+I869+I868+I867</f>
        <v>165031</v>
      </c>
      <c r="J866" s="51">
        <f>J876+J875+J869+J868+J867</f>
        <v>5251</v>
      </c>
      <c r="K866" s="51">
        <f t="shared" si="114"/>
        <v>170282</v>
      </c>
      <c r="L866" s="126"/>
      <c r="M866" s="51">
        <f>M877+M879</f>
        <v>163000</v>
      </c>
      <c r="N866" s="51">
        <f>N877+N879</f>
        <v>0</v>
      </c>
      <c r="O866" s="51">
        <f t="shared" si="115"/>
        <v>163000</v>
      </c>
      <c r="P866" s="126"/>
      <c r="Q866" s="51">
        <f t="shared" si="112"/>
        <v>328031</v>
      </c>
      <c r="R866" s="51">
        <f t="shared" si="110"/>
        <v>5251</v>
      </c>
      <c r="S866" s="51">
        <f t="shared" si="111"/>
        <v>333282</v>
      </c>
    </row>
    <row r="867" spans="2:19" x14ac:dyDescent="0.2">
      <c r="B867" s="79">
        <f t="shared" si="116"/>
        <v>120</v>
      </c>
      <c r="C867" s="15"/>
      <c r="D867" s="15"/>
      <c r="E867" s="15"/>
      <c r="F867" s="55" t="s">
        <v>199</v>
      </c>
      <c r="G867" s="15">
        <v>610</v>
      </c>
      <c r="H867" s="15" t="s">
        <v>136</v>
      </c>
      <c r="I867" s="52">
        <v>99850</v>
      </c>
      <c r="J867" s="52">
        <v>1000</v>
      </c>
      <c r="K867" s="52">
        <f t="shared" si="114"/>
        <v>100850</v>
      </c>
      <c r="L867" s="126"/>
      <c r="M867" s="52"/>
      <c r="N867" s="52"/>
      <c r="O867" s="52">
        <f t="shared" si="115"/>
        <v>0</v>
      </c>
      <c r="P867" s="126"/>
      <c r="Q867" s="52">
        <f t="shared" si="112"/>
        <v>99850</v>
      </c>
      <c r="R867" s="52">
        <f t="shared" si="110"/>
        <v>1000</v>
      </c>
      <c r="S867" s="52">
        <f t="shared" si="111"/>
        <v>100850</v>
      </c>
    </row>
    <row r="868" spans="2:19" x14ac:dyDescent="0.2">
      <c r="B868" s="79">
        <f t="shared" si="116"/>
        <v>121</v>
      </c>
      <c r="C868" s="15"/>
      <c r="D868" s="15"/>
      <c r="E868" s="15"/>
      <c r="F868" s="55" t="s">
        <v>199</v>
      </c>
      <c r="G868" s="15">
        <v>620</v>
      </c>
      <c r="H868" s="15" t="s">
        <v>131</v>
      </c>
      <c r="I868" s="52">
        <v>37638</v>
      </c>
      <c r="J868" s="52">
        <v>105</v>
      </c>
      <c r="K868" s="52">
        <f t="shared" si="114"/>
        <v>37743</v>
      </c>
      <c r="L868" s="126"/>
      <c r="M868" s="52"/>
      <c r="N868" s="52"/>
      <c r="O868" s="52">
        <f t="shared" si="115"/>
        <v>0</v>
      </c>
      <c r="P868" s="126"/>
      <c r="Q868" s="52">
        <f t="shared" si="112"/>
        <v>37638</v>
      </c>
      <c r="R868" s="52">
        <f t="shared" si="110"/>
        <v>105</v>
      </c>
      <c r="S868" s="52">
        <f t="shared" si="111"/>
        <v>37743</v>
      </c>
    </row>
    <row r="869" spans="2:19" x14ac:dyDescent="0.2">
      <c r="B869" s="79">
        <f t="shared" si="116"/>
        <v>122</v>
      </c>
      <c r="C869" s="15"/>
      <c r="D869" s="15"/>
      <c r="E869" s="15"/>
      <c r="F869" s="55" t="s">
        <v>199</v>
      </c>
      <c r="G869" s="15">
        <v>630</v>
      </c>
      <c r="H869" s="15" t="s">
        <v>128</v>
      </c>
      <c r="I869" s="52">
        <f>I874+I873+I872+I871</f>
        <v>26043</v>
      </c>
      <c r="J869" s="52">
        <f>J874+J873+J872+J871+J870</f>
        <v>4846</v>
      </c>
      <c r="K869" s="52">
        <f t="shared" si="114"/>
        <v>30889</v>
      </c>
      <c r="L869" s="126"/>
      <c r="M869" s="52">
        <v>0</v>
      </c>
      <c r="N869" s="52"/>
      <c r="O869" s="52">
        <f t="shared" si="115"/>
        <v>0</v>
      </c>
      <c r="P869" s="126"/>
      <c r="Q869" s="52">
        <f t="shared" si="112"/>
        <v>26043</v>
      </c>
      <c r="R869" s="52">
        <f t="shared" si="110"/>
        <v>4846</v>
      </c>
      <c r="S869" s="52">
        <f t="shared" si="111"/>
        <v>30889</v>
      </c>
    </row>
    <row r="870" spans="2:19" x14ac:dyDescent="0.2">
      <c r="B870" s="79">
        <f t="shared" si="116"/>
        <v>123</v>
      </c>
      <c r="C870" s="15"/>
      <c r="D870" s="15"/>
      <c r="E870" s="15"/>
      <c r="F870" s="56" t="s">
        <v>199</v>
      </c>
      <c r="G870" s="4">
        <v>631</v>
      </c>
      <c r="H870" s="4" t="s">
        <v>134</v>
      </c>
      <c r="I870" s="26">
        <v>0</v>
      </c>
      <c r="J870" s="26">
        <v>23</v>
      </c>
      <c r="K870" s="26">
        <f t="shared" si="114"/>
        <v>23</v>
      </c>
      <c r="L870" s="80"/>
      <c r="M870" s="26"/>
      <c r="N870" s="26"/>
      <c r="O870" s="26">
        <f t="shared" si="115"/>
        <v>0</v>
      </c>
      <c r="P870" s="80"/>
      <c r="Q870" s="26">
        <f t="shared" si="112"/>
        <v>0</v>
      </c>
      <c r="R870" s="26">
        <f t="shared" si="110"/>
        <v>23</v>
      </c>
      <c r="S870" s="26">
        <f t="shared" si="111"/>
        <v>23</v>
      </c>
    </row>
    <row r="871" spans="2:19" x14ac:dyDescent="0.2">
      <c r="B871" s="79">
        <f t="shared" si="116"/>
        <v>124</v>
      </c>
      <c r="C871" s="4"/>
      <c r="D871" s="4"/>
      <c r="E871" s="4"/>
      <c r="F871" s="56" t="s">
        <v>199</v>
      </c>
      <c r="G871" s="4">
        <v>632</v>
      </c>
      <c r="H871" s="4" t="s">
        <v>139</v>
      </c>
      <c r="I871" s="26">
        <v>14100</v>
      </c>
      <c r="J871" s="26">
        <v>300</v>
      </c>
      <c r="K871" s="26">
        <f t="shared" si="114"/>
        <v>14400</v>
      </c>
      <c r="L871" s="80"/>
      <c r="M871" s="26"/>
      <c r="N871" s="26"/>
      <c r="O871" s="26">
        <f t="shared" si="115"/>
        <v>0</v>
      </c>
      <c r="P871" s="80"/>
      <c r="Q871" s="26">
        <f t="shared" si="112"/>
        <v>14100</v>
      </c>
      <c r="R871" s="26">
        <f t="shared" si="110"/>
        <v>300</v>
      </c>
      <c r="S871" s="26">
        <f t="shared" si="111"/>
        <v>14400</v>
      </c>
    </row>
    <row r="872" spans="2:19" x14ac:dyDescent="0.2">
      <c r="B872" s="79">
        <f t="shared" si="116"/>
        <v>125</v>
      </c>
      <c r="C872" s="4"/>
      <c r="D872" s="4"/>
      <c r="E872" s="4"/>
      <c r="F872" s="56" t="s">
        <v>199</v>
      </c>
      <c r="G872" s="4">
        <v>633</v>
      </c>
      <c r="H872" s="4" t="s">
        <v>132</v>
      </c>
      <c r="I872" s="26">
        <f>6847+1216</f>
        <v>8063</v>
      </c>
      <c r="J872" s="26">
        <v>22</v>
      </c>
      <c r="K872" s="26">
        <f t="shared" si="114"/>
        <v>8085</v>
      </c>
      <c r="L872" s="80"/>
      <c r="M872" s="26"/>
      <c r="N872" s="26"/>
      <c r="O872" s="26">
        <f t="shared" si="115"/>
        <v>0</v>
      </c>
      <c r="P872" s="80"/>
      <c r="Q872" s="26">
        <f t="shared" si="112"/>
        <v>8063</v>
      </c>
      <c r="R872" s="26">
        <f t="shared" si="110"/>
        <v>22</v>
      </c>
      <c r="S872" s="26">
        <f t="shared" si="111"/>
        <v>8085</v>
      </c>
    </row>
    <row r="873" spans="2:19" x14ac:dyDescent="0.2">
      <c r="B873" s="79">
        <f t="shared" si="116"/>
        <v>126</v>
      </c>
      <c r="C873" s="4"/>
      <c r="D873" s="4"/>
      <c r="E873" s="4"/>
      <c r="F873" s="56" t="s">
        <v>199</v>
      </c>
      <c r="G873" s="4">
        <v>635</v>
      </c>
      <c r="H873" s="4" t="s">
        <v>138</v>
      </c>
      <c r="I873" s="26">
        <v>550</v>
      </c>
      <c r="J873" s="26">
        <v>4501</v>
      </c>
      <c r="K873" s="26">
        <f t="shared" si="114"/>
        <v>5051</v>
      </c>
      <c r="L873" s="80"/>
      <c r="M873" s="26"/>
      <c r="N873" s="26"/>
      <c r="O873" s="26">
        <f t="shared" si="115"/>
        <v>0</v>
      </c>
      <c r="P873" s="80"/>
      <c r="Q873" s="26">
        <f t="shared" si="112"/>
        <v>550</v>
      </c>
      <c r="R873" s="26">
        <f t="shared" si="110"/>
        <v>4501</v>
      </c>
      <c r="S873" s="26">
        <f t="shared" si="111"/>
        <v>5051</v>
      </c>
    </row>
    <row r="874" spans="2:19" x14ac:dyDescent="0.2">
      <c r="B874" s="79">
        <f t="shared" si="116"/>
        <v>127</v>
      </c>
      <c r="C874" s="4"/>
      <c r="D874" s="4"/>
      <c r="E874" s="4"/>
      <c r="F874" s="56" t="s">
        <v>199</v>
      </c>
      <c r="G874" s="4">
        <v>637</v>
      </c>
      <c r="H874" s="4" t="s">
        <v>129</v>
      </c>
      <c r="I874" s="26">
        <v>3330</v>
      </c>
      <c r="J874" s="26"/>
      <c r="K874" s="26">
        <f t="shared" si="114"/>
        <v>3330</v>
      </c>
      <c r="L874" s="80"/>
      <c r="M874" s="26"/>
      <c r="N874" s="26"/>
      <c r="O874" s="26">
        <f t="shared" si="115"/>
        <v>0</v>
      </c>
      <c r="P874" s="80"/>
      <c r="Q874" s="26">
        <f t="shared" si="112"/>
        <v>3330</v>
      </c>
      <c r="R874" s="26">
        <f t="shared" si="110"/>
        <v>0</v>
      </c>
      <c r="S874" s="26">
        <f t="shared" si="111"/>
        <v>3330</v>
      </c>
    </row>
    <row r="875" spans="2:19" x14ac:dyDescent="0.2">
      <c r="B875" s="79">
        <f t="shared" si="116"/>
        <v>128</v>
      </c>
      <c r="C875" s="15"/>
      <c r="D875" s="15"/>
      <c r="E875" s="15"/>
      <c r="F875" s="55" t="s">
        <v>199</v>
      </c>
      <c r="G875" s="15">
        <v>640</v>
      </c>
      <c r="H875" s="15" t="s">
        <v>135</v>
      </c>
      <c r="I875" s="52">
        <v>1500</v>
      </c>
      <c r="J875" s="52">
        <v>-700</v>
      </c>
      <c r="K875" s="52">
        <f t="shared" si="114"/>
        <v>800</v>
      </c>
      <c r="L875" s="126"/>
      <c r="M875" s="52"/>
      <c r="N875" s="52"/>
      <c r="O875" s="52">
        <f t="shared" si="115"/>
        <v>0</v>
      </c>
      <c r="P875" s="126"/>
      <c r="Q875" s="52">
        <f t="shared" si="112"/>
        <v>1500</v>
      </c>
      <c r="R875" s="52">
        <f t="shared" si="110"/>
        <v>-700</v>
      </c>
      <c r="S875" s="52">
        <f t="shared" si="111"/>
        <v>800</v>
      </c>
    </row>
    <row r="876" spans="2:19" x14ac:dyDescent="0.2">
      <c r="B876" s="79">
        <f t="shared" si="116"/>
        <v>129</v>
      </c>
      <c r="C876" s="15"/>
      <c r="D876" s="15"/>
      <c r="E876" s="15"/>
      <c r="F876" s="55" t="s">
        <v>199</v>
      </c>
      <c r="G876" s="15">
        <v>710</v>
      </c>
      <c r="H876" s="15" t="s">
        <v>184</v>
      </c>
      <c r="I876" s="52">
        <f>I879</f>
        <v>0</v>
      </c>
      <c r="J876" s="52">
        <f>J879</f>
        <v>0</v>
      </c>
      <c r="K876" s="52">
        <f t="shared" si="114"/>
        <v>0</v>
      </c>
      <c r="L876" s="126"/>
      <c r="M876" s="52">
        <f>M879</f>
        <v>160000</v>
      </c>
      <c r="N876" s="52">
        <f>N879</f>
        <v>0</v>
      </c>
      <c r="O876" s="52">
        <f t="shared" si="115"/>
        <v>160000</v>
      </c>
      <c r="P876" s="126"/>
      <c r="Q876" s="52">
        <f t="shared" si="112"/>
        <v>160000</v>
      </c>
      <c r="R876" s="52">
        <f t="shared" si="110"/>
        <v>0</v>
      </c>
      <c r="S876" s="52">
        <f t="shared" si="111"/>
        <v>160000</v>
      </c>
    </row>
    <row r="877" spans="2:19" x14ac:dyDescent="0.2">
      <c r="B877" s="79">
        <f t="shared" si="116"/>
        <v>130</v>
      </c>
      <c r="C877" s="15"/>
      <c r="D877" s="15"/>
      <c r="E877" s="15"/>
      <c r="F877" s="89" t="s">
        <v>199</v>
      </c>
      <c r="G877" s="90">
        <v>716</v>
      </c>
      <c r="H877" s="90" t="s">
        <v>0</v>
      </c>
      <c r="I877" s="91"/>
      <c r="J877" s="91"/>
      <c r="K877" s="91">
        <f t="shared" si="114"/>
        <v>0</v>
      </c>
      <c r="L877" s="80"/>
      <c r="M877" s="91">
        <f>M878</f>
        <v>3000</v>
      </c>
      <c r="N877" s="91">
        <f>N878</f>
        <v>0</v>
      </c>
      <c r="O877" s="91">
        <f t="shared" si="115"/>
        <v>3000</v>
      </c>
      <c r="P877" s="80"/>
      <c r="Q877" s="91">
        <f t="shared" si="112"/>
        <v>3000</v>
      </c>
      <c r="R877" s="91">
        <f t="shared" ref="R877:R892" si="122">N877+J877</f>
        <v>0</v>
      </c>
      <c r="S877" s="91">
        <f t="shared" ref="S877:S892" si="123">O877+K877</f>
        <v>3000</v>
      </c>
    </row>
    <row r="878" spans="2:19" x14ac:dyDescent="0.2">
      <c r="B878" s="79">
        <f t="shared" si="116"/>
        <v>131</v>
      </c>
      <c r="C878" s="15"/>
      <c r="D878" s="15"/>
      <c r="E878" s="15"/>
      <c r="F878" s="56"/>
      <c r="G878" s="4"/>
      <c r="H878" s="4" t="s">
        <v>501</v>
      </c>
      <c r="I878" s="26"/>
      <c r="J878" s="26"/>
      <c r="K878" s="26">
        <f t="shared" si="114"/>
        <v>0</v>
      </c>
      <c r="L878" s="80"/>
      <c r="M878" s="26">
        <f>1500+1500</f>
        <v>3000</v>
      </c>
      <c r="N878" s="26"/>
      <c r="O878" s="26">
        <f t="shared" si="115"/>
        <v>3000</v>
      </c>
      <c r="P878" s="80"/>
      <c r="Q878" s="26">
        <f t="shared" si="112"/>
        <v>3000</v>
      </c>
      <c r="R878" s="26">
        <f t="shared" si="122"/>
        <v>0</v>
      </c>
      <c r="S878" s="26">
        <f t="shared" si="123"/>
        <v>3000</v>
      </c>
    </row>
    <row r="879" spans="2:19" x14ac:dyDescent="0.2">
      <c r="B879" s="79">
        <f t="shared" si="116"/>
        <v>132</v>
      </c>
      <c r="C879" s="4"/>
      <c r="D879" s="4"/>
      <c r="E879" s="4"/>
      <c r="F879" s="89" t="s">
        <v>199</v>
      </c>
      <c r="G879" s="90">
        <v>717</v>
      </c>
      <c r="H879" s="90" t="s">
        <v>194</v>
      </c>
      <c r="I879" s="91"/>
      <c r="J879" s="91"/>
      <c r="K879" s="91">
        <f t="shared" si="114"/>
        <v>0</v>
      </c>
      <c r="L879" s="80"/>
      <c r="M879" s="91">
        <f>M880</f>
        <v>160000</v>
      </c>
      <c r="N879" s="91">
        <f>N880</f>
        <v>0</v>
      </c>
      <c r="O879" s="91">
        <f t="shared" si="115"/>
        <v>160000</v>
      </c>
      <c r="P879" s="80"/>
      <c r="Q879" s="91">
        <f t="shared" si="112"/>
        <v>160000</v>
      </c>
      <c r="R879" s="91">
        <f t="shared" si="122"/>
        <v>0</v>
      </c>
      <c r="S879" s="91">
        <f t="shared" si="123"/>
        <v>160000</v>
      </c>
    </row>
    <row r="880" spans="2:19" x14ac:dyDescent="0.2">
      <c r="B880" s="79">
        <f t="shared" si="116"/>
        <v>133</v>
      </c>
      <c r="C880" s="4"/>
      <c r="D880" s="4"/>
      <c r="E880" s="4"/>
      <c r="F880" s="56"/>
      <c r="G880" s="4"/>
      <c r="H880" s="4" t="s">
        <v>338</v>
      </c>
      <c r="I880" s="26"/>
      <c r="J880" s="26"/>
      <c r="K880" s="26">
        <f t="shared" ref="K880:K945" si="124">I880+J880</f>
        <v>0</v>
      </c>
      <c r="L880" s="80"/>
      <c r="M880" s="26">
        <f>38500+6500+115000</f>
        <v>160000</v>
      </c>
      <c r="N880" s="26"/>
      <c r="O880" s="26">
        <f t="shared" ref="O880:O944" si="125">M880+N880</f>
        <v>160000</v>
      </c>
      <c r="P880" s="80"/>
      <c r="Q880" s="26">
        <f t="shared" si="112"/>
        <v>160000</v>
      </c>
      <c r="R880" s="26">
        <f t="shared" si="122"/>
        <v>0</v>
      </c>
      <c r="S880" s="26">
        <f t="shared" si="123"/>
        <v>160000</v>
      </c>
    </row>
    <row r="881" spans="2:19" x14ac:dyDescent="0.2">
      <c r="B881" s="79">
        <f t="shared" ref="B881:B944" si="126">B880+1</f>
        <v>134</v>
      </c>
      <c r="C881" s="14"/>
      <c r="D881" s="14"/>
      <c r="E881" s="14" t="s">
        <v>104</v>
      </c>
      <c r="F881" s="54"/>
      <c r="G881" s="14"/>
      <c r="H881" s="14" t="s">
        <v>251</v>
      </c>
      <c r="I881" s="51">
        <f>I891+I890+I884+I883+I882</f>
        <v>235116</v>
      </c>
      <c r="J881" s="51">
        <f>J891+J890+J884+J883+J882</f>
        <v>-705</v>
      </c>
      <c r="K881" s="51">
        <f t="shared" si="124"/>
        <v>234411</v>
      </c>
      <c r="L881" s="126"/>
      <c r="M881" s="51">
        <f>M891+M890+M884+M883+M882</f>
        <v>41660</v>
      </c>
      <c r="N881" s="51">
        <f>N891+N890+N884+N883+N882</f>
        <v>0</v>
      </c>
      <c r="O881" s="51">
        <f t="shared" si="125"/>
        <v>41660</v>
      </c>
      <c r="P881" s="126"/>
      <c r="Q881" s="51">
        <f t="shared" si="112"/>
        <v>276776</v>
      </c>
      <c r="R881" s="51">
        <f t="shared" si="122"/>
        <v>-705</v>
      </c>
      <c r="S881" s="51">
        <f t="shared" si="123"/>
        <v>276071</v>
      </c>
    </row>
    <row r="882" spans="2:19" x14ac:dyDescent="0.2">
      <c r="B882" s="79">
        <f t="shared" si="126"/>
        <v>135</v>
      </c>
      <c r="C882" s="15"/>
      <c r="D882" s="15"/>
      <c r="E882" s="15"/>
      <c r="F882" s="55" t="s">
        <v>199</v>
      </c>
      <c r="G882" s="15">
        <v>610</v>
      </c>
      <c r="H882" s="15" t="s">
        <v>136</v>
      </c>
      <c r="I882" s="52">
        <v>123215</v>
      </c>
      <c r="J882" s="52">
        <v>200</v>
      </c>
      <c r="K882" s="52">
        <f t="shared" si="124"/>
        <v>123415</v>
      </c>
      <c r="L882" s="126"/>
      <c r="M882" s="52"/>
      <c r="N882" s="52"/>
      <c r="O882" s="52">
        <f t="shared" si="125"/>
        <v>0</v>
      </c>
      <c r="P882" s="126"/>
      <c r="Q882" s="52">
        <f t="shared" si="112"/>
        <v>123215</v>
      </c>
      <c r="R882" s="52">
        <f t="shared" si="122"/>
        <v>200</v>
      </c>
      <c r="S882" s="52">
        <f t="shared" si="123"/>
        <v>123415</v>
      </c>
    </row>
    <row r="883" spans="2:19" x14ac:dyDescent="0.2">
      <c r="B883" s="79">
        <f t="shared" si="126"/>
        <v>136</v>
      </c>
      <c r="C883" s="15"/>
      <c r="D883" s="15"/>
      <c r="E883" s="15"/>
      <c r="F883" s="55" t="s">
        <v>199</v>
      </c>
      <c r="G883" s="15">
        <v>620</v>
      </c>
      <c r="H883" s="15" t="s">
        <v>131</v>
      </c>
      <c r="I883" s="52">
        <v>45750</v>
      </c>
      <c r="J883" s="52"/>
      <c r="K883" s="52">
        <f t="shared" si="124"/>
        <v>45750</v>
      </c>
      <c r="L883" s="126"/>
      <c r="M883" s="52"/>
      <c r="N883" s="52"/>
      <c r="O883" s="52">
        <f t="shared" si="125"/>
        <v>0</v>
      </c>
      <c r="P883" s="126"/>
      <c r="Q883" s="52">
        <f t="shared" si="112"/>
        <v>45750</v>
      </c>
      <c r="R883" s="52">
        <f t="shared" si="122"/>
        <v>0</v>
      </c>
      <c r="S883" s="52">
        <f t="shared" si="123"/>
        <v>45750</v>
      </c>
    </row>
    <row r="884" spans="2:19" x14ac:dyDescent="0.2">
      <c r="B884" s="79">
        <f t="shared" si="126"/>
        <v>137</v>
      </c>
      <c r="C884" s="15"/>
      <c r="D884" s="15"/>
      <c r="E884" s="15"/>
      <c r="F884" s="55" t="s">
        <v>199</v>
      </c>
      <c r="G884" s="15">
        <v>630</v>
      </c>
      <c r="H884" s="15" t="s">
        <v>128</v>
      </c>
      <c r="I884" s="52">
        <f>I889+I887+I886+I885+I888</f>
        <v>64611</v>
      </c>
      <c r="J884" s="52">
        <f>J889+J887+J886+J885+J888</f>
        <v>-705</v>
      </c>
      <c r="K884" s="52">
        <f t="shared" si="124"/>
        <v>63906</v>
      </c>
      <c r="L884" s="126"/>
      <c r="M884" s="52">
        <v>0</v>
      </c>
      <c r="N884" s="52"/>
      <c r="O884" s="52">
        <f t="shared" si="125"/>
        <v>0</v>
      </c>
      <c r="P884" s="126"/>
      <c r="Q884" s="52">
        <f t="shared" si="112"/>
        <v>64611</v>
      </c>
      <c r="R884" s="52">
        <f t="shared" si="122"/>
        <v>-705</v>
      </c>
      <c r="S884" s="52">
        <f t="shared" si="123"/>
        <v>63906</v>
      </c>
    </row>
    <row r="885" spans="2:19" x14ac:dyDescent="0.2">
      <c r="B885" s="79">
        <f t="shared" si="126"/>
        <v>138</v>
      </c>
      <c r="C885" s="4"/>
      <c r="D885" s="4"/>
      <c r="E885" s="4"/>
      <c r="F885" s="56" t="s">
        <v>199</v>
      </c>
      <c r="G885" s="4">
        <v>632</v>
      </c>
      <c r="H885" s="4" t="s">
        <v>139</v>
      </c>
      <c r="I885" s="26">
        <v>42250</v>
      </c>
      <c r="J885" s="26">
        <v>-5670</v>
      </c>
      <c r="K885" s="26">
        <f t="shared" si="124"/>
        <v>36580</v>
      </c>
      <c r="L885" s="80"/>
      <c r="M885" s="26"/>
      <c r="N885" s="26"/>
      <c r="O885" s="26">
        <f t="shared" si="125"/>
        <v>0</v>
      </c>
      <c r="P885" s="80"/>
      <c r="Q885" s="26">
        <f t="shared" si="112"/>
        <v>42250</v>
      </c>
      <c r="R885" s="26">
        <f t="shared" si="122"/>
        <v>-5670</v>
      </c>
      <c r="S885" s="26">
        <f t="shared" si="123"/>
        <v>36580</v>
      </c>
    </row>
    <row r="886" spans="2:19" x14ac:dyDescent="0.2">
      <c r="B886" s="79">
        <f t="shared" si="126"/>
        <v>139</v>
      </c>
      <c r="C886" s="4"/>
      <c r="D886" s="4"/>
      <c r="E886" s="4"/>
      <c r="F886" s="56" t="s">
        <v>199</v>
      </c>
      <c r="G886" s="4">
        <v>633</v>
      </c>
      <c r="H886" s="4" t="s">
        <v>132</v>
      </c>
      <c r="I886" s="26">
        <f>12233+1728</f>
        <v>13961</v>
      </c>
      <c r="J886" s="26">
        <v>565</v>
      </c>
      <c r="K886" s="26">
        <f t="shared" si="124"/>
        <v>14526</v>
      </c>
      <c r="L886" s="80"/>
      <c r="M886" s="26"/>
      <c r="N886" s="26"/>
      <c r="O886" s="26">
        <f t="shared" si="125"/>
        <v>0</v>
      </c>
      <c r="P886" s="80"/>
      <c r="Q886" s="26">
        <f t="shared" si="112"/>
        <v>13961</v>
      </c>
      <c r="R886" s="26">
        <f t="shared" si="122"/>
        <v>565</v>
      </c>
      <c r="S886" s="26">
        <f t="shared" si="123"/>
        <v>14526</v>
      </c>
    </row>
    <row r="887" spans="2:19" x14ac:dyDescent="0.2">
      <c r="B887" s="79">
        <f t="shared" si="126"/>
        <v>140</v>
      </c>
      <c r="C887" s="4"/>
      <c r="D887" s="4"/>
      <c r="E887" s="4"/>
      <c r="F887" s="56" t="s">
        <v>199</v>
      </c>
      <c r="G887" s="4">
        <v>635</v>
      </c>
      <c r="H887" s="4" t="s">
        <v>138</v>
      </c>
      <c r="I887" s="26">
        <f>2000+2000</f>
        <v>4000</v>
      </c>
      <c r="J887" s="26">
        <v>4400</v>
      </c>
      <c r="K887" s="26">
        <f t="shared" si="124"/>
        <v>8400</v>
      </c>
      <c r="L887" s="80"/>
      <c r="M887" s="26"/>
      <c r="N887" s="26"/>
      <c r="O887" s="26">
        <f t="shared" si="125"/>
        <v>0</v>
      </c>
      <c r="P887" s="80"/>
      <c r="Q887" s="26">
        <f t="shared" ref="Q887:Q964" si="127">M887+I887</f>
        <v>4000</v>
      </c>
      <c r="R887" s="26">
        <f t="shared" si="122"/>
        <v>4400</v>
      </c>
      <c r="S887" s="26">
        <f t="shared" si="123"/>
        <v>8400</v>
      </c>
    </row>
    <row r="888" spans="2:19" x14ac:dyDescent="0.2">
      <c r="B888" s="79">
        <f t="shared" si="126"/>
        <v>141</v>
      </c>
      <c r="C888" s="4"/>
      <c r="D888" s="4"/>
      <c r="E888" s="4"/>
      <c r="F888" s="146" t="s">
        <v>199</v>
      </c>
      <c r="G888" s="147">
        <v>635</v>
      </c>
      <c r="H888" s="147" t="s">
        <v>710</v>
      </c>
      <c r="I888" s="145">
        <v>600</v>
      </c>
      <c r="J888" s="145"/>
      <c r="K888" s="145">
        <f t="shared" si="124"/>
        <v>600</v>
      </c>
      <c r="L888" s="80"/>
      <c r="M888" s="145"/>
      <c r="N888" s="145"/>
      <c r="O888" s="145">
        <f t="shared" si="125"/>
        <v>0</v>
      </c>
      <c r="P888" s="80"/>
      <c r="Q888" s="145">
        <f t="shared" si="127"/>
        <v>600</v>
      </c>
      <c r="R888" s="145">
        <f t="shared" si="122"/>
        <v>0</v>
      </c>
      <c r="S888" s="145">
        <f t="shared" si="123"/>
        <v>600</v>
      </c>
    </row>
    <row r="889" spans="2:19" x14ac:dyDescent="0.2">
      <c r="B889" s="79">
        <f t="shared" si="126"/>
        <v>142</v>
      </c>
      <c r="C889" s="4"/>
      <c r="D889" s="4"/>
      <c r="E889" s="4"/>
      <c r="F889" s="56" t="s">
        <v>199</v>
      </c>
      <c r="G889" s="4">
        <v>637</v>
      </c>
      <c r="H889" s="4" t="s">
        <v>129</v>
      </c>
      <c r="I889" s="26">
        <v>3800</v>
      </c>
      <c r="J889" s="26"/>
      <c r="K889" s="26">
        <f t="shared" si="124"/>
        <v>3800</v>
      </c>
      <c r="L889" s="80"/>
      <c r="M889" s="26"/>
      <c r="N889" s="26"/>
      <c r="O889" s="26">
        <f t="shared" si="125"/>
        <v>0</v>
      </c>
      <c r="P889" s="80"/>
      <c r="Q889" s="26">
        <f t="shared" si="127"/>
        <v>3800</v>
      </c>
      <c r="R889" s="26">
        <f t="shared" si="122"/>
        <v>0</v>
      </c>
      <c r="S889" s="26">
        <f t="shared" si="123"/>
        <v>3800</v>
      </c>
    </row>
    <row r="890" spans="2:19" x14ac:dyDescent="0.2">
      <c r="B890" s="79">
        <f t="shared" si="126"/>
        <v>143</v>
      </c>
      <c r="C890" s="15"/>
      <c r="D890" s="15"/>
      <c r="E890" s="15"/>
      <c r="F890" s="55" t="s">
        <v>199</v>
      </c>
      <c r="G890" s="15">
        <v>640</v>
      </c>
      <c r="H890" s="15" t="s">
        <v>135</v>
      </c>
      <c r="I890" s="52">
        <v>1540</v>
      </c>
      <c r="J890" s="52">
        <v>-200</v>
      </c>
      <c r="K890" s="52">
        <f t="shared" si="124"/>
        <v>1340</v>
      </c>
      <c r="L890" s="126"/>
      <c r="M890" s="52"/>
      <c r="N890" s="52"/>
      <c r="O890" s="52">
        <f t="shared" si="125"/>
        <v>0</v>
      </c>
      <c r="P890" s="126"/>
      <c r="Q890" s="52">
        <f t="shared" si="127"/>
        <v>1540</v>
      </c>
      <c r="R890" s="52">
        <f t="shared" si="122"/>
        <v>-200</v>
      </c>
      <c r="S890" s="52">
        <f t="shared" si="123"/>
        <v>1340</v>
      </c>
    </row>
    <row r="891" spans="2:19" x14ac:dyDescent="0.2">
      <c r="B891" s="79">
        <f t="shared" si="126"/>
        <v>144</v>
      </c>
      <c r="C891" s="15"/>
      <c r="D891" s="15"/>
      <c r="E891" s="15"/>
      <c r="F891" s="55" t="s">
        <v>199</v>
      </c>
      <c r="G891" s="15">
        <v>710</v>
      </c>
      <c r="H891" s="15" t="s">
        <v>184</v>
      </c>
      <c r="I891" s="52">
        <v>0</v>
      </c>
      <c r="J891" s="52">
        <v>0</v>
      </c>
      <c r="K891" s="52">
        <f t="shared" si="124"/>
        <v>0</v>
      </c>
      <c r="L891" s="126"/>
      <c r="M891" s="52">
        <f>M894+M892</f>
        <v>41660</v>
      </c>
      <c r="N891" s="52">
        <f>N894+N892</f>
        <v>0</v>
      </c>
      <c r="O891" s="52">
        <f t="shared" si="125"/>
        <v>41660</v>
      </c>
      <c r="P891" s="126"/>
      <c r="Q891" s="52">
        <f t="shared" si="127"/>
        <v>41660</v>
      </c>
      <c r="R891" s="52">
        <f t="shared" si="122"/>
        <v>0</v>
      </c>
      <c r="S891" s="52">
        <f t="shared" si="123"/>
        <v>41660</v>
      </c>
    </row>
    <row r="892" spans="2:19" x14ac:dyDescent="0.2">
      <c r="B892" s="79">
        <f t="shared" si="126"/>
        <v>145</v>
      </c>
      <c r="C892" s="15"/>
      <c r="D892" s="15"/>
      <c r="E892" s="15"/>
      <c r="F892" s="89" t="s">
        <v>199</v>
      </c>
      <c r="G892" s="90">
        <v>716</v>
      </c>
      <c r="H892" s="90" t="s">
        <v>0</v>
      </c>
      <c r="I892" s="91"/>
      <c r="J892" s="91"/>
      <c r="K892" s="91">
        <f t="shared" si="124"/>
        <v>0</v>
      </c>
      <c r="L892" s="80"/>
      <c r="M892" s="91">
        <f>M893</f>
        <v>9660</v>
      </c>
      <c r="N892" s="91">
        <f>N893</f>
        <v>0</v>
      </c>
      <c r="O892" s="91">
        <f t="shared" si="125"/>
        <v>9660</v>
      </c>
      <c r="P892" s="80"/>
      <c r="Q892" s="91">
        <f t="shared" si="127"/>
        <v>9660</v>
      </c>
      <c r="R892" s="91">
        <f t="shared" si="122"/>
        <v>0</v>
      </c>
      <c r="S892" s="91">
        <f t="shared" si="123"/>
        <v>9660</v>
      </c>
    </row>
    <row r="893" spans="2:19" x14ac:dyDescent="0.2">
      <c r="B893" s="79">
        <f t="shared" si="126"/>
        <v>146</v>
      </c>
      <c r="C893" s="15"/>
      <c r="D893" s="15"/>
      <c r="E893" s="15"/>
      <c r="F893" s="55"/>
      <c r="G893" s="15"/>
      <c r="H893" s="64" t="s">
        <v>519</v>
      </c>
      <c r="I893" s="62"/>
      <c r="J893" s="62"/>
      <c r="K893" s="62">
        <f t="shared" si="124"/>
        <v>0</v>
      </c>
      <c r="L893" s="80"/>
      <c r="M893" s="62">
        <v>9660</v>
      </c>
      <c r="N893" s="62"/>
      <c r="O893" s="62">
        <f t="shared" si="125"/>
        <v>9660</v>
      </c>
      <c r="P893" s="80"/>
      <c r="Q893" s="62">
        <f>I893+M893</f>
        <v>9660</v>
      </c>
      <c r="R893" s="62">
        <f t="shared" ref="R893:S893" si="128">J893+N893</f>
        <v>0</v>
      </c>
      <c r="S893" s="62">
        <f t="shared" si="128"/>
        <v>9660</v>
      </c>
    </row>
    <row r="894" spans="2:19" x14ac:dyDescent="0.2">
      <c r="B894" s="79">
        <f t="shared" si="126"/>
        <v>147</v>
      </c>
      <c r="C894" s="4"/>
      <c r="D894" s="4"/>
      <c r="E894" s="4"/>
      <c r="F894" s="89" t="s">
        <v>199</v>
      </c>
      <c r="G894" s="90">
        <v>717</v>
      </c>
      <c r="H894" s="90" t="s">
        <v>194</v>
      </c>
      <c r="I894" s="91"/>
      <c r="J894" s="91"/>
      <c r="K894" s="91">
        <f t="shared" si="124"/>
        <v>0</v>
      </c>
      <c r="L894" s="80"/>
      <c r="M894" s="91">
        <f>M895+M896</f>
        <v>32000</v>
      </c>
      <c r="N894" s="91">
        <f>N895+N896</f>
        <v>0</v>
      </c>
      <c r="O894" s="91">
        <f t="shared" si="125"/>
        <v>32000</v>
      </c>
      <c r="P894" s="80"/>
      <c r="Q894" s="91">
        <f t="shared" si="127"/>
        <v>32000</v>
      </c>
      <c r="R894" s="91">
        <f t="shared" ref="R894:R908" si="129">N894+J894</f>
        <v>0</v>
      </c>
      <c r="S894" s="91">
        <f t="shared" ref="S894:S908" si="130">O894+K894</f>
        <v>32000</v>
      </c>
    </row>
    <row r="895" spans="2:19" x14ac:dyDescent="0.2">
      <c r="B895" s="79">
        <f t="shared" si="126"/>
        <v>148</v>
      </c>
      <c r="C895" s="4"/>
      <c r="D895" s="4"/>
      <c r="E895" s="4"/>
      <c r="F895" s="56"/>
      <c r="G895" s="4"/>
      <c r="H895" s="4" t="s">
        <v>504</v>
      </c>
      <c r="I895" s="26"/>
      <c r="J895" s="26"/>
      <c r="K895" s="26">
        <f t="shared" si="124"/>
        <v>0</v>
      </c>
      <c r="L895" s="80"/>
      <c r="M895" s="26">
        <f>50000-50000</f>
        <v>0</v>
      </c>
      <c r="N895" s="26">
        <f>50000-50000</f>
        <v>0</v>
      </c>
      <c r="O895" s="26">
        <f t="shared" si="125"/>
        <v>0</v>
      </c>
      <c r="P895" s="80"/>
      <c r="Q895" s="26">
        <f t="shared" si="127"/>
        <v>0</v>
      </c>
      <c r="R895" s="26">
        <f t="shared" si="129"/>
        <v>0</v>
      </c>
      <c r="S895" s="26">
        <f t="shared" si="130"/>
        <v>0</v>
      </c>
    </row>
    <row r="896" spans="2:19" x14ac:dyDescent="0.2">
      <c r="B896" s="79">
        <f t="shared" si="126"/>
        <v>149</v>
      </c>
      <c r="C896" s="4"/>
      <c r="D896" s="4"/>
      <c r="E896" s="4"/>
      <c r="F896" s="56"/>
      <c r="G896" s="4"/>
      <c r="H896" s="4" t="s">
        <v>734</v>
      </c>
      <c r="I896" s="26"/>
      <c r="J896" s="26"/>
      <c r="K896" s="26">
        <f t="shared" si="124"/>
        <v>0</v>
      </c>
      <c r="L896" s="80"/>
      <c r="M896" s="26">
        <v>32000</v>
      </c>
      <c r="N896" s="26"/>
      <c r="O896" s="26">
        <f t="shared" si="125"/>
        <v>32000</v>
      </c>
      <c r="P896" s="80"/>
      <c r="Q896" s="26">
        <f t="shared" si="127"/>
        <v>32000</v>
      </c>
      <c r="R896" s="26">
        <f t="shared" si="129"/>
        <v>0</v>
      </c>
      <c r="S896" s="26">
        <f t="shared" si="130"/>
        <v>32000</v>
      </c>
    </row>
    <row r="897" spans="2:19" x14ac:dyDescent="0.2">
      <c r="B897" s="79">
        <f t="shared" si="126"/>
        <v>150</v>
      </c>
      <c r="C897" s="14"/>
      <c r="D897" s="14"/>
      <c r="E897" s="14" t="s">
        <v>100</v>
      </c>
      <c r="F897" s="54"/>
      <c r="G897" s="14"/>
      <c r="H897" s="14" t="s">
        <v>65</v>
      </c>
      <c r="I897" s="51">
        <f>I906+I900+I899+I898</f>
        <v>233561</v>
      </c>
      <c r="J897" s="51">
        <f>J906+J900+J899+J898</f>
        <v>6590</v>
      </c>
      <c r="K897" s="51">
        <f t="shared" si="124"/>
        <v>240151</v>
      </c>
      <c r="L897" s="126"/>
      <c r="M897" s="51">
        <f>M898+M899+M900+M906+M907</f>
        <v>9660</v>
      </c>
      <c r="N897" s="51">
        <f>N898+N899+N900+N906+N907</f>
        <v>0</v>
      </c>
      <c r="O897" s="51">
        <f t="shared" si="125"/>
        <v>9660</v>
      </c>
      <c r="P897" s="126"/>
      <c r="Q897" s="51">
        <f t="shared" si="127"/>
        <v>243221</v>
      </c>
      <c r="R897" s="51">
        <f t="shared" si="129"/>
        <v>6590</v>
      </c>
      <c r="S897" s="51">
        <f t="shared" si="130"/>
        <v>249811</v>
      </c>
    </row>
    <row r="898" spans="2:19" x14ac:dyDescent="0.2">
      <c r="B898" s="79">
        <f t="shared" si="126"/>
        <v>151</v>
      </c>
      <c r="C898" s="15"/>
      <c r="D898" s="15"/>
      <c r="E898" s="15"/>
      <c r="F898" s="55" t="s">
        <v>199</v>
      </c>
      <c r="G898" s="15">
        <v>610</v>
      </c>
      <c r="H898" s="15" t="s">
        <v>136</v>
      </c>
      <c r="I898" s="52">
        <v>139740</v>
      </c>
      <c r="J898" s="52">
        <v>1000</v>
      </c>
      <c r="K898" s="52">
        <f t="shared" si="124"/>
        <v>140740</v>
      </c>
      <c r="L898" s="126"/>
      <c r="M898" s="52"/>
      <c r="N898" s="52"/>
      <c r="O898" s="52">
        <f t="shared" si="125"/>
        <v>0</v>
      </c>
      <c r="P898" s="126"/>
      <c r="Q898" s="52">
        <f t="shared" si="127"/>
        <v>139740</v>
      </c>
      <c r="R898" s="52">
        <f t="shared" si="129"/>
        <v>1000</v>
      </c>
      <c r="S898" s="52">
        <f t="shared" si="130"/>
        <v>140740</v>
      </c>
    </row>
    <row r="899" spans="2:19" x14ac:dyDescent="0.2">
      <c r="B899" s="79">
        <f t="shared" si="126"/>
        <v>152</v>
      </c>
      <c r="C899" s="15"/>
      <c r="D899" s="15"/>
      <c r="E899" s="15"/>
      <c r="F899" s="55" t="s">
        <v>199</v>
      </c>
      <c r="G899" s="15">
        <v>620</v>
      </c>
      <c r="H899" s="15" t="s">
        <v>131</v>
      </c>
      <c r="I899" s="52">
        <v>52450</v>
      </c>
      <c r="J899" s="52"/>
      <c r="K899" s="52">
        <f t="shared" si="124"/>
        <v>52450</v>
      </c>
      <c r="L899" s="126"/>
      <c r="M899" s="52"/>
      <c r="N899" s="52"/>
      <c r="O899" s="52">
        <f t="shared" si="125"/>
        <v>0</v>
      </c>
      <c r="P899" s="126"/>
      <c r="Q899" s="52">
        <f t="shared" si="127"/>
        <v>52450</v>
      </c>
      <c r="R899" s="52">
        <f t="shared" si="129"/>
        <v>0</v>
      </c>
      <c r="S899" s="52">
        <f t="shared" si="130"/>
        <v>52450</v>
      </c>
    </row>
    <row r="900" spans="2:19" x14ac:dyDescent="0.2">
      <c r="B900" s="79">
        <f t="shared" si="126"/>
        <v>153</v>
      </c>
      <c r="C900" s="15"/>
      <c r="D900" s="15"/>
      <c r="E900" s="15"/>
      <c r="F900" s="55" t="s">
        <v>199</v>
      </c>
      <c r="G900" s="15">
        <v>630</v>
      </c>
      <c r="H900" s="15" t="s">
        <v>128</v>
      </c>
      <c r="I900" s="52">
        <f>I905+I903+I902+I901+I904</f>
        <v>39871</v>
      </c>
      <c r="J900" s="52">
        <f>J905+J903+J902+J901+J904</f>
        <v>6590</v>
      </c>
      <c r="K900" s="52">
        <f t="shared" si="124"/>
        <v>46461</v>
      </c>
      <c r="L900" s="126"/>
      <c r="M900" s="52">
        <v>0</v>
      </c>
      <c r="N900" s="52"/>
      <c r="O900" s="52">
        <f t="shared" si="125"/>
        <v>0</v>
      </c>
      <c r="P900" s="126"/>
      <c r="Q900" s="52">
        <f t="shared" si="127"/>
        <v>39871</v>
      </c>
      <c r="R900" s="52">
        <f t="shared" si="129"/>
        <v>6590</v>
      </c>
      <c r="S900" s="52">
        <f t="shared" si="130"/>
        <v>46461</v>
      </c>
    </row>
    <row r="901" spans="2:19" x14ac:dyDescent="0.2">
      <c r="B901" s="79">
        <f t="shared" si="126"/>
        <v>154</v>
      </c>
      <c r="C901" s="4"/>
      <c r="D901" s="4"/>
      <c r="E901" s="4"/>
      <c r="F901" s="56" t="s">
        <v>199</v>
      </c>
      <c r="G901" s="4">
        <v>632</v>
      </c>
      <c r="H901" s="4" t="s">
        <v>139</v>
      </c>
      <c r="I901" s="26">
        <v>21670</v>
      </c>
      <c r="J901" s="26">
        <v>5330</v>
      </c>
      <c r="K901" s="26">
        <f t="shared" si="124"/>
        <v>27000</v>
      </c>
      <c r="L901" s="80"/>
      <c r="M901" s="26"/>
      <c r="N901" s="26"/>
      <c r="O901" s="26">
        <f t="shared" si="125"/>
        <v>0</v>
      </c>
      <c r="P901" s="80"/>
      <c r="Q901" s="26">
        <f t="shared" si="127"/>
        <v>21670</v>
      </c>
      <c r="R901" s="26">
        <f t="shared" si="129"/>
        <v>5330</v>
      </c>
      <c r="S901" s="26">
        <f t="shared" si="130"/>
        <v>27000</v>
      </c>
    </row>
    <row r="902" spans="2:19" x14ac:dyDescent="0.2">
      <c r="B902" s="79">
        <f t="shared" si="126"/>
        <v>155</v>
      </c>
      <c r="C902" s="4"/>
      <c r="D902" s="4"/>
      <c r="E902" s="4"/>
      <c r="F902" s="56" t="s">
        <v>199</v>
      </c>
      <c r="G902" s="4">
        <v>633</v>
      </c>
      <c r="H902" s="4" t="s">
        <v>132</v>
      </c>
      <c r="I902" s="26">
        <f>8483+2128</f>
        <v>10611</v>
      </c>
      <c r="J902" s="26">
        <v>380</v>
      </c>
      <c r="K902" s="26">
        <f t="shared" si="124"/>
        <v>10991</v>
      </c>
      <c r="L902" s="80"/>
      <c r="M902" s="26"/>
      <c r="N902" s="26"/>
      <c r="O902" s="26">
        <f t="shared" si="125"/>
        <v>0</v>
      </c>
      <c r="P902" s="80"/>
      <c r="Q902" s="26">
        <f t="shared" si="127"/>
        <v>10611</v>
      </c>
      <c r="R902" s="26">
        <f t="shared" si="129"/>
        <v>380</v>
      </c>
      <c r="S902" s="26">
        <f t="shared" si="130"/>
        <v>10991</v>
      </c>
    </row>
    <row r="903" spans="2:19" x14ac:dyDescent="0.2">
      <c r="B903" s="79">
        <f t="shared" si="126"/>
        <v>156</v>
      </c>
      <c r="C903" s="4"/>
      <c r="D903" s="4"/>
      <c r="E903" s="4"/>
      <c r="F903" s="56" t="s">
        <v>199</v>
      </c>
      <c r="G903" s="4">
        <v>635</v>
      </c>
      <c r="H903" s="4" t="s">
        <v>138</v>
      </c>
      <c r="I903" s="26">
        <v>150</v>
      </c>
      <c r="J903" s="26">
        <v>880</v>
      </c>
      <c r="K903" s="26">
        <f t="shared" si="124"/>
        <v>1030</v>
      </c>
      <c r="L903" s="80"/>
      <c r="M903" s="26"/>
      <c r="N903" s="26"/>
      <c r="O903" s="26">
        <f t="shared" si="125"/>
        <v>0</v>
      </c>
      <c r="P903" s="80"/>
      <c r="Q903" s="26">
        <f t="shared" si="127"/>
        <v>150</v>
      </c>
      <c r="R903" s="26">
        <f t="shared" si="129"/>
        <v>880</v>
      </c>
      <c r="S903" s="26">
        <f t="shared" si="130"/>
        <v>1030</v>
      </c>
    </row>
    <row r="904" spans="2:19" x14ac:dyDescent="0.2">
      <c r="B904" s="79">
        <f t="shared" si="126"/>
        <v>157</v>
      </c>
      <c r="C904" s="4"/>
      <c r="D904" s="4"/>
      <c r="E904" s="4"/>
      <c r="F904" s="146" t="s">
        <v>199</v>
      </c>
      <c r="G904" s="147">
        <v>635</v>
      </c>
      <c r="H904" s="147" t="s">
        <v>573</v>
      </c>
      <c r="I904" s="145">
        <v>2000</v>
      </c>
      <c r="J904" s="145"/>
      <c r="K904" s="145">
        <f t="shared" si="124"/>
        <v>2000</v>
      </c>
      <c r="L904" s="80"/>
      <c r="M904" s="145"/>
      <c r="N904" s="145"/>
      <c r="O904" s="145">
        <f t="shared" si="125"/>
        <v>0</v>
      </c>
      <c r="P904" s="80"/>
      <c r="Q904" s="145">
        <f t="shared" si="127"/>
        <v>2000</v>
      </c>
      <c r="R904" s="145">
        <f t="shared" si="129"/>
        <v>0</v>
      </c>
      <c r="S904" s="145">
        <f t="shared" si="130"/>
        <v>2000</v>
      </c>
    </row>
    <row r="905" spans="2:19" x14ac:dyDescent="0.2">
      <c r="B905" s="79">
        <f t="shared" si="126"/>
        <v>158</v>
      </c>
      <c r="C905" s="4"/>
      <c r="D905" s="4"/>
      <c r="E905" s="4"/>
      <c r="F905" s="56" t="s">
        <v>199</v>
      </c>
      <c r="G905" s="4">
        <v>637</v>
      </c>
      <c r="H905" s="4" t="s">
        <v>129</v>
      </c>
      <c r="I905" s="26">
        <v>5440</v>
      </c>
      <c r="J905" s="26"/>
      <c r="K905" s="26">
        <f t="shared" si="124"/>
        <v>5440</v>
      </c>
      <c r="L905" s="80"/>
      <c r="M905" s="26"/>
      <c r="N905" s="26"/>
      <c r="O905" s="26">
        <f t="shared" si="125"/>
        <v>0</v>
      </c>
      <c r="P905" s="80"/>
      <c r="Q905" s="26">
        <f t="shared" si="127"/>
        <v>5440</v>
      </c>
      <c r="R905" s="26">
        <f t="shared" si="129"/>
        <v>0</v>
      </c>
      <c r="S905" s="26">
        <f t="shared" si="130"/>
        <v>5440</v>
      </c>
    </row>
    <row r="906" spans="2:19" x14ac:dyDescent="0.2">
      <c r="B906" s="79">
        <f t="shared" si="126"/>
        <v>159</v>
      </c>
      <c r="C906" s="15"/>
      <c r="D906" s="15"/>
      <c r="E906" s="15"/>
      <c r="F906" s="55" t="s">
        <v>199</v>
      </c>
      <c r="G906" s="15">
        <v>640</v>
      </c>
      <c r="H906" s="15" t="s">
        <v>135</v>
      </c>
      <c r="I906" s="52">
        <v>1500</v>
      </c>
      <c r="J906" s="52">
        <v>-1000</v>
      </c>
      <c r="K906" s="52">
        <f t="shared" si="124"/>
        <v>500</v>
      </c>
      <c r="L906" s="126"/>
      <c r="M906" s="52"/>
      <c r="N906" s="52"/>
      <c r="O906" s="52">
        <f t="shared" si="125"/>
        <v>0</v>
      </c>
      <c r="P906" s="126"/>
      <c r="Q906" s="52">
        <f t="shared" si="127"/>
        <v>1500</v>
      </c>
      <c r="R906" s="52">
        <f t="shared" si="129"/>
        <v>-1000</v>
      </c>
      <c r="S906" s="52">
        <f t="shared" si="130"/>
        <v>500</v>
      </c>
    </row>
    <row r="907" spans="2:19" x14ac:dyDescent="0.2">
      <c r="B907" s="79">
        <f t="shared" si="126"/>
        <v>160</v>
      </c>
      <c r="C907" s="15"/>
      <c r="D907" s="15"/>
      <c r="E907" s="15"/>
      <c r="F907" s="55" t="s">
        <v>199</v>
      </c>
      <c r="G907" s="15">
        <v>710</v>
      </c>
      <c r="H907" s="15" t="s">
        <v>184</v>
      </c>
      <c r="I907" s="52">
        <v>0</v>
      </c>
      <c r="J907" s="52">
        <v>0</v>
      </c>
      <c r="K907" s="52">
        <f t="shared" si="124"/>
        <v>0</v>
      </c>
      <c r="L907" s="126"/>
      <c r="M907" s="52">
        <f>M908</f>
        <v>9660</v>
      </c>
      <c r="N907" s="52">
        <f>N908</f>
        <v>0</v>
      </c>
      <c r="O907" s="52">
        <f t="shared" si="125"/>
        <v>9660</v>
      </c>
      <c r="P907" s="126"/>
      <c r="Q907" s="52">
        <f t="shared" si="127"/>
        <v>9660</v>
      </c>
      <c r="R907" s="52">
        <f t="shared" si="129"/>
        <v>0</v>
      </c>
      <c r="S907" s="52">
        <f t="shared" si="130"/>
        <v>9660</v>
      </c>
    </row>
    <row r="908" spans="2:19" x14ac:dyDescent="0.2">
      <c r="B908" s="79">
        <f t="shared" si="126"/>
        <v>161</v>
      </c>
      <c r="C908" s="15"/>
      <c r="D908" s="15"/>
      <c r="E908" s="15"/>
      <c r="F908" s="89" t="s">
        <v>199</v>
      </c>
      <c r="G908" s="90">
        <v>716</v>
      </c>
      <c r="H908" s="90" t="s">
        <v>0</v>
      </c>
      <c r="I908" s="91"/>
      <c r="J908" s="91"/>
      <c r="K908" s="91">
        <f t="shared" si="124"/>
        <v>0</v>
      </c>
      <c r="L908" s="80"/>
      <c r="M908" s="91">
        <f>M909</f>
        <v>9660</v>
      </c>
      <c r="N908" s="91">
        <f>N909</f>
        <v>0</v>
      </c>
      <c r="O908" s="91">
        <f t="shared" si="125"/>
        <v>9660</v>
      </c>
      <c r="P908" s="80"/>
      <c r="Q908" s="91">
        <f t="shared" si="127"/>
        <v>9660</v>
      </c>
      <c r="R908" s="91">
        <f t="shared" si="129"/>
        <v>0</v>
      </c>
      <c r="S908" s="91">
        <f t="shared" si="130"/>
        <v>9660</v>
      </c>
    </row>
    <row r="909" spans="2:19" x14ac:dyDescent="0.2">
      <c r="B909" s="79">
        <f t="shared" si="126"/>
        <v>162</v>
      </c>
      <c r="C909" s="15"/>
      <c r="D909" s="15"/>
      <c r="E909" s="15"/>
      <c r="F909" s="55"/>
      <c r="G909" s="15"/>
      <c r="H909" s="64" t="s">
        <v>519</v>
      </c>
      <c r="I909" s="62"/>
      <c r="J909" s="62"/>
      <c r="K909" s="62">
        <f t="shared" si="124"/>
        <v>0</v>
      </c>
      <c r="L909" s="80"/>
      <c r="M909" s="62">
        <v>9660</v>
      </c>
      <c r="N909" s="62"/>
      <c r="O909" s="62">
        <f t="shared" si="125"/>
        <v>9660</v>
      </c>
      <c r="P909" s="80"/>
      <c r="Q909" s="62">
        <f>I909+M909</f>
        <v>9660</v>
      </c>
      <c r="R909" s="62">
        <f t="shared" ref="R909:S909" si="131">J909+N909</f>
        <v>0</v>
      </c>
      <c r="S909" s="62">
        <f t="shared" si="131"/>
        <v>9660</v>
      </c>
    </row>
    <row r="910" spans="2:19" x14ac:dyDescent="0.2">
      <c r="B910" s="79">
        <f t="shared" si="126"/>
        <v>163</v>
      </c>
      <c r="C910" s="14"/>
      <c r="D910" s="14"/>
      <c r="E910" s="14" t="s">
        <v>103</v>
      </c>
      <c r="F910" s="54"/>
      <c r="G910" s="14"/>
      <c r="H910" s="14" t="s">
        <v>66</v>
      </c>
      <c r="I910" s="51">
        <f>I913+I912+I911</f>
        <v>147532</v>
      </c>
      <c r="J910" s="51">
        <f>J913+J912+J911+J918</f>
        <v>420</v>
      </c>
      <c r="K910" s="51">
        <f t="shared" si="124"/>
        <v>147952</v>
      </c>
      <c r="L910" s="126"/>
      <c r="M910" s="51">
        <f>M913+M912+M911+M919</f>
        <v>5500</v>
      </c>
      <c r="N910" s="51">
        <f>N913+N912+N911+N919</f>
        <v>0</v>
      </c>
      <c r="O910" s="51">
        <f t="shared" si="125"/>
        <v>5500</v>
      </c>
      <c r="P910" s="126"/>
      <c r="Q910" s="51">
        <f t="shared" si="127"/>
        <v>153032</v>
      </c>
      <c r="R910" s="51">
        <f t="shared" ref="R910:R920" si="132">N910+J910</f>
        <v>420</v>
      </c>
      <c r="S910" s="51">
        <f t="shared" ref="S910:S920" si="133">O910+K910</f>
        <v>153452</v>
      </c>
    </row>
    <row r="911" spans="2:19" x14ac:dyDescent="0.2">
      <c r="B911" s="79">
        <f t="shared" si="126"/>
        <v>164</v>
      </c>
      <c r="C911" s="15"/>
      <c r="D911" s="15"/>
      <c r="E911" s="15"/>
      <c r="F911" s="55" t="s">
        <v>199</v>
      </c>
      <c r="G911" s="15">
        <v>610</v>
      </c>
      <c r="H911" s="15" t="s">
        <v>136</v>
      </c>
      <c r="I911" s="52">
        <v>89106</v>
      </c>
      <c r="J911" s="52"/>
      <c r="K911" s="52">
        <f t="shared" si="124"/>
        <v>89106</v>
      </c>
      <c r="L911" s="126"/>
      <c r="M911" s="52"/>
      <c r="N911" s="52"/>
      <c r="O911" s="52">
        <f t="shared" si="125"/>
        <v>0</v>
      </c>
      <c r="P911" s="126"/>
      <c r="Q911" s="52">
        <f t="shared" si="127"/>
        <v>89106</v>
      </c>
      <c r="R911" s="52">
        <f t="shared" si="132"/>
        <v>0</v>
      </c>
      <c r="S911" s="52">
        <f t="shared" si="133"/>
        <v>89106</v>
      </c>
    </row>
    <row r="912" spans="2:19" x14ac:dyDescent="0.2">
      <c r="B912" s="79">
        <f t="shared" si="126"/>
        <v>165</v>
      </c>
      <c r="C912" s="15"/>
      <c r="D912" s="15"/>
      <c r="E912" s="15"/>
      <c r="F912" s="55" t="s">
        <v>199</v>
      </c>
      <c r="G912" s="15">
        <v>620</v>
      </c>
      <c r="H912" s="15" t="s">
        <v>131</v>
      </c>
      <c r="I912" s="52">
        <v>33091</v>
      </c>
      <c r="J912" s="52"/>
      <c r="K912" s="52">
        <f t="shared" si="124"/>
        <v>33091</v>
      </c>
      <c r="L912" s="126"/>
      <c r="M912" s="52"/>
      <c r="N912" s="52"/>
      <c r="O912" s="52">
        <f t="shared" si="125"/>
        <v>0</v>
      </c>
      <c r="P912" s="126"/>
      <c r="Q912" s="52">
        <f t="shared" si="127"/>
        <v>33091</v>
      </c>
      <c r="R912" s="52">
        <f t="shared" si="132"/>
        <v>0</v>
      </c>
      <c r="S912" s="52">
        <f t="shared" si="133"/>
        <v>33091</v>
      </c>
    </row>
    <row r="913" spans="2:19" x14ac:dyDescent="0.2">
      <c r="B913" s="79">
        <f t="shared" si="126"/>
        <v>166</v>
      </c>
      <c r="C913" s="15"/>
      <c r="D913" s="15"/>
      <c r="E913" s="15"/>
      <c r="F913" s="55" t="s">
        <v>199</v>
      </c>
      <c r="G913" s="15">
        <v>630</v>
      </c>
      <c r="H913" s="15" t="s">
        <v>128</v>
      </c>
      <c r="I913" s="52">
        <f>I917+I916+I915+I914</f>
        <v>25335</v>
      </c>
      <c r="J913" s="52">
        <f>J917+J916+J915+J914</f>
        <v>183</v>
      </c>
      <c r="K913" s="52">
        <f t="shared" si="124"/>
        <v>25518</v>
      </c>
      <c r="L913" s="126"/>
      <c r="M913" s="52">
        <v>0</v>
      </c>
      <c r="N913" s="52"/>
      <c r="O913" s="52">
        <f t="shared" si="125"/>
        <v>0</v>
      </c>
      <c r="P913" s="126"/>
      <c r="Q913" s="52">
        <f t="shared" si="127"/>
        <v>25335</v>
      </c>
      <c r="R913" s="52">
        <f t="shared" si="132"/>
        <v>183</v>
      </c>
      <c r="S913" s="52">
        <f t="shared" si="133"/>
        <v>25518</v>
      </c>
    </row>
    <row r="914" spans="2:19" x14ac:dyDescent="0.2">
      <c r="B914" s="79">
        <f t="shared" si="126"/>
        <v>167</v>
      </c>
      <c r="C914" s="4"/>
      <c r="D914" s="4"/>
      <c r="E914" s="4"/>
      <c r="F914" s="56" t="s">
        <v>199</v>
      </c>
      <c r="G914" s="4">
        <v>632</v>
      </c>
      <c r="H914" s="4" t="s">
        <v>139</v>
      </c>
      <c r="I914" s="26">
        <v>13500</v>
      </c>
      <c r="J914" s="26">
        <v>780</v>
      </c>
      <c r="K914" s="26">
        <f t="shared" si="124"/>
        <v>14280</v>
      </c>
      <c r="L914" s="80"/>
      <c r="M914" s="26"/>
      <c r="N914" s="26"/>
      <c r="O914" s="26">
        <f t="shared" si="125"/>
        <v>0</v>
      </c>
      <c r="P914" s="80"/>
      <c r="Q914" s="26">
        <f t="shared" si="127"/>
        <v>13500</v>
      </c>
      <c r="R914" s="26">
        <f t="shared" si="132"/>
        <v>780</v>
      </c>
      <c r="S914" s="26">
        <f t="shared" si="133"/>
        <v>14280</v>
      </c>
    </row>
    <row r="915" spans="2:19" x14ac:dyDescent="0.2">
      <c r="B915" s="79">
        <f t="shared" si="126"/>
        <v>168</v>
      </c>
      <c r="C915" s="4"/>
      <c r="D915" s="4"/>
      <c r="E915" s="4"/>
      <c r="F915" s="56" t="s">
        <v>199</v>
      </c>
      <c r="G915" s="4">
        <v>633</v>
      </c>
      <c r="H915" s="4" t="s">
        <v>132</v>
      </c>
      <c r="I915" s="26">
        <f>7661+1264</f>
        <v>8925</v>
      </c>
      <c r="J915" s="26">
        <v>-597</v>
      </c>
      <c r="K915" s="26">
        <f t="shared" si="124"/>
        <v>8328</v>
      </c>
      <c r="L915" s="80"/>
      <c r="M915" s="26"/>
      <c r="N915" s="26"/>
      <c r="O915" s="26">
        <f t="shared" si="125"/>
        <v>0</v>
      </c>
      <c r="P915" s="80"/>
      <c r="Q915" s="26">
        <f t="shared" si="127"/>
        <v>8925</v>
      </c>
      <c r="R915" s="26">
        <f t="shared" si="132"/>
        <v>-597</v>
      </c>
      <c r="S915" s="26">
        <f t="shared" si="133"/>
        <v>8328</v>
      </c>
    </row>
    <row r="916" spans="2:19" x14ac:dyDescent="0.2">
      <c r="B916" s="79">
        <f t="shared" si="126"/>
        <v>169</v>
      </c>
      <c r="C916" s="4"/>
      <c r="D916" s="4"/>
      <c r="E916" s="4"/>
      <c r="F916" s="56" t="s">
        <v>199</v>
      </c>
      <c r="G916" s="4">
        <v>635</v>
      </c>
      <c r="H916" s="4" t="s">
        <v>138</v>
      </c>
      <c r="I916" s="26">
        <v>150</v>
      </c>
      <c r="J916" s="26"/>
      <c r="K916" s="26">
        <f t="shared" si="124"/>
        <v>150</v>
      </c>
      <c r="L916" s="80"/>
      <c r="M916" s="26"/>
      <c r="N916" s="26"/>
      <c r="O916" s="26">
        <f t="shared" si="125"/>
        <v>0</v>
      </c>
      <c r="P916" s="80"/>
      <c r="Q916" s="26">
        <f t="shared" si="127"/>
        <v>150</v>
      </c>
      <c r="R916" s="26">
        <f t="shared" si="132"/>
        <v>0</v>
      </c>
      <c r="S916" s="26">
        <f t="shared" si="133"/>
        <v>150</v>
      </c>
    </row>
    <row r="917" spans="2:19" x14ac:dyDescent="0.2">
      <c r="B917" s="79">
        <f t="shared" si="126"/>
        <v>170</v>
      </c>
      <c r="C917" s="4"/>
      <c r="D917" s="4"/>
      <c r="E917" s="4"/>
      <c r="F917" s="56" t="s">
        <v>199</v>
      </c>
      <c r="G917" s="4">
        <v>637</v>
      </c>
      <c r="H917" s="4" t="s">
        <v>129</v>
      </c>
      <c r="I917" s="26">
        <v>2760</v>
      </c>
      <c r="J917" s="26"/>
      <c r="K917" s="26">
        <f t="shared" si="124"/>
        <v>2760</v>
      </c>
      <c r="L917" s="80"/>
      <c r="M917" s="26"/>
      <c r="N917" s="26"/>
      <c r="O917" s="26">
        <f t="shared" si="125"/>
        <v>0</v>
      </c>
      <c r="P917" s="80"/>
      <c r="Q917" s="26">
        <f t="shared" si="127"/>
        <v>2760</v>
      </c>
      <c r="R917" s="26">
        <f t="shared" si="132"/>
        <v>0</v>
      </c>
      <c r="S917" s="26">
        <f t="shared" si="133"/>
        <v>2760</v>
      </c>
    </row>
    <row r="918" spans="2:19" x14ac:dyDescent="0.2">
      <c r="B918" s="79">
        <f t="shared" si="126"/>
        <v>171</v>
      </c>
      <c r="C918" s="4"/>
      <c r="D918" s="4"/>
      <c r="E918" s="4"/>
      <c r="F918" s="55" t="s">
        <v>199</v>
      </c>
      <c r="G918" s="15">
        <v>640</v>
      </c>
      <c r="H918" s="15" t="s">
        <v>135</v>
      </c>
      <c r="I918" s="52">
        <v>0</v>
      </c>
      <c r="J918" s="52">
        <v>237</v>
      </c>
      <c r="K918" s="52">
        <f t="shared" ref="K918" si="134">I918+J918</f>
        <v>237</v>
      </c>
      <c r="L918" s="126"/>
      <c r="M918" s="52"/>
      <c r="N918" s="52"/>
      <c r="O918" s="52">
        <f t="shared" ref="O918" si="135">M918+N918</f>
        <v>0</v>
      </c>
      <c r="P918" s="126"/>
      <c r="Q918" s="52">
        <f t="shared" ref="Q918" si="136">M918+I918</f>
        <v>0</v>
      </c>
      <c r="R918" s="52">
        <f t="shared" si="132"/>
        <v>237</v>
      </c>
      <c r="S918" s="52">
        <f t="shared" si="133"/>
        <v>237</v>
      </c>
    </row>
    <row r="919" spans="2:19" x14ac:dyDescent="0.2">
      <c r="B919" s="79">
        <f t="shared" si="126"/>
        <v>172</v>
      </c>
      <c r="C919" s="4"/>
      <c r="D919" s="4"/>
      <c r="E919" s="4"/>
      <c r="F919" s="55" t="s">
        <v>199</v>
      </c>
      <c r="G919" s="15">
        <v>710</v>
      </c>
      <c r="H919" s="15" t="s">
        <v>184</v>
      </c>
      <c r="I919" s="52">
        <v>0</v>
      </c>
      <c r="J919" s="52">
        <v>0</v>
      </c>
      <c r="K919" s="52">
        <f t="shared" si="124"/>
        <v>0</v>
      </c>
      <c r="L919" s="126"/>
      <c r="M919" s="52">
        <f>M920</f>
        <v>5500</v>
      </c>
      <c r="N919" s="52">
        <f>N920</f>
        <v>0</v>
      </c>
      <c r="O919" s="52">
        <f t="shared" si="125"/>
        <v>5500</v>
      </c>
      <c r="P919" s="126"/>
      <c r="Q919" s="52">
        <f t="shared" si="127"/>
        <v>5500</v>
      </c>
      <c r="R919" s="52">
        <f t="shared" si="132"/>
        <v>0</v>
      </c>
      <c r="S919" s="52">
        <f t="shared" si="133"/>
        <v>5500</v>
      </c>
    </row>
    <row r="920" spans="2:19" x14ac:dyDescent="0.2">
      <c r="B920" s="79">
        <f t="shared" si="126"/>
        <v>173</v>
      </c>
      <c r="C920" s="4"/>
      <c r="D920" s="4"/>
      <c r="E920" s="4"/>
      <c r="F920" s="89" t="s">
        <v>199</v>
      </c>
      <c r="G920" s="90">
        <v>717</v>
      </c>
      <c r="H920" s="90" t="s">
        <v>194</v>
      </c>
      <c r="I920" s="91"/>
      <c r="J920" s="91"/>
      <c r="K920" s="91">
        <f t="shared" si="124"/>
        <v>0</v>
      </c>
      <c r="L920" s="80"/>
      <c r="M920" s="91">
        <f>M921</f>
        <v>5500</v>
      </c>
      <c r="N920" s="91">
        <f>N921</f>
        <v>0</v>
      </c>
      <c r="O920" s="91">
        <f t="shared" si="125"/>
        <v>5500</v>
      </c>
      <c r="P920" s="80"/>
      <c r="Q920" s="91">
        <f t="shared" si="127"/>
        <v>5500</v>
      </c>
      <c r="R920" s="91">
        <f t="shared" si="132"/>
        <v>0</v>
      </c>
      <c r="S920" s="91">
        <f t="shared" si="133"/>
        <v>5500</v>
      </c>
    </row>
    <row r="921" spans="2:19" x14ac:dyDescent="0.2">
      <c r="B921" s="79">
        <f t="shared" si="126"/>
        <v>174</v>
      </c>
      <c r="C921" s="4"/>
      <c r="D921" s="4"/>
      <c r="E921" s="4"/>
      <c r="F921" s="56"/>
      <c r="G921" s="4"/>
      <c r="H921" s="156" t="s">
        <v>706</v>
      </c>
      <c r="I921" s="143"/>
      <c r="J921" s="143"/>
      <c r="K921" s="143">
        <f t="shared" si="124"/>
        <v>0</v>
      </c>
      <c r="L921" s="166"/>
      <c r="M921" s="143">
        <v>5500</v>
      </c>
      <c r="N921" s="143"/>
      <c r="O921" s="143">
        <f t="shared" si="125"/>
        <v>5500</v>
      </c>
      <c r="P921" s="166"/>
      <c r="Q921" s="143">
        <f t="shared" ref="Q921" si="137">I921+M921</f>
        <v>5500</v>
      </c>
      <c r="R921" s="143">
        <f t="shared" ref="R921" si="138">J921+N921</f>
        <v>0</v>
      </c>
      <c r="S921" s="143">
        <f t="shared" ref="S921" si="139">K921+O921</f>
        <v>5500</v>
      </c>
    </row>
    <row r="922" spans="2:19" x14ac:dyDescent="0.2">
      <c r="B922" s="79">
        <f t="shared" si="126"/>
        <v>175</v>
      </c>
      <c r="C922" s="14"/>
      <c r="D922" s="14"/>
      <c r="E922" s="14" t="s">
        <v>96</v>
      </c>
      <c r="F922" s="54"/>
      <c r="G922" s="14"/>
      <c r="H922" s="14" t="s">
        <v>97</v>
      </c>
      <c r="I922" s="51">
        <f>I925+I924+I923</f>
        <v>73537</v>
      </c>
      <c r="J922" s="51">
        <f>J925+J924+J923</f>
        <v>-302</v>
      </c>
      <c r="K922" s="51">
        <f t="shared" si="124"/>
        <v>73235</v>
      </c>
      <c r="L922" s="126"/>
      <c r="M922" s="51">
        <v>0</v>
      </c>
      <c r="N922" s="51">
        <v>0</v>
      </c>
      <c r="O922" s="51">
        <f t="shared" si="125"/>
        <v>0</v>
      </c>
      <c r="P922" s="126"/>
      <c r="Q922" s="51">
        <f t="shared" si="127"/>
        <v>73537</v>
      </c>
      <c r="R922" s="51">
        <f t="shared" ref="R922:R935" si="140">N922+J922</f>
        <v>-302</v>
      </c>
      <c r="S922" s="51">
        <f t="shared" ref="S922:S935" si="141">O922+K922</f>
        <v>73235</v>
      </c>
    </row>
    <row r="923" spans="2:19" x14ac:dyDescent="0.2">
      <c r="B923" s="79">
        <f t="shared" si="126"/>
        <v>176</v>
      </c>
      <c r="C923" s="15"/>
      <c r="D923" s="15"/>
      <c r="E923" s="15"/>
      <c r="F923" s="55" t="s">
        <v>199</v>
      </c>
      <c r="G923" s="15">
        <v>610</v>
      </c>
      <c r="H923" s="15" t="s">
        <v>136</v>
      </c>
      <c r="I923" s="52">
        <v>44478</v>
      </c>
      <c r="J923" s="52"/>
      <c r="K923" s="52">
        <f t="shared" si="124"/>
        <v>44478</v>
      </c>
      <c r="L923" s="126"/>
      <c r="M923" s="52"/>
      <c r="N923" s="52"/>
      <c r="O923" s="52">
        <f t="shared" si="125"/>
        <v>0</v>
      </c>
      <c r="P923" s="126"/>
      <c r="Q923" s="52">
        <f t="shared" si="127"/>
        <v>44478</v>
      </c>
      <c r="R923" s="52">
        <f t="shared" si="140"/>
        <v>0</v>
      </c>
      <c r="S923" s="52">
        <f t="shared" si="141"/>
        <v>44478</v>
      </c>
    </row>
    <row r="924" spans="2:19" x14ac:dyDescent="0.2">
      <c r="B924" s="79">
        <f t="shared" si="126"/>
        <v>177</v>
      </c>
      <c r="C924" s="15"/>
      <c r="D924" s="15"/>
      <c r="E924" s="15"/>
      <c r="F924" s="55" t="s">
        <v>199</v>
      </c>
      <c r="G924" s="15">
        <v>620</v>
      </c>
      <c r="H924" s="15" t="s">
        <v>131</v>
      </c>
      <c r="I924" s="52">
        <v>16512</v>
      </c>
      <c r="J924" s="52"/>
      <c r="K924" s="52">
        <f t="shared" si="124"/>
        <v>16512</v>
      </c>
      <c r="L924" s="126"/>
      <c r="M924" s="52"/>
      <c r="N924" s="52"/>
      <c r="O924" s="52">
        <f t="shared" si="125"/>
        <v>0</v>
      </c>
      <c r="P924" s="126"/>
      <c r="Q924" s="52">
        <f t="shared" si="127"/>
        <v>16512</v>
      </c>
      <c r="R924" s="52">
        <f t="shared" si="140"/>
        <v>0</v>
      </c>
      <c r="S924" s="52">
        <f t="shared" si="141"/>
        <v>16512</v>
      </c>
    </row>
    <row r="925" spans="2:19" x14ac:dyDescent="0.2">
      <c r="B925" s="79">
        <f t="shared" si="126"/>
        <v>178</v>
      </c>
      <c r="C925" s="15"/>
      <c r="D925" s="15"/>
      <c r="E925" s="15"/>
      <c r="F925" s="55" t="s">
        <v>199</v>
      </c>
      <c r="G925" s="15">
        <v>630</v>
      </c>
      <c r="H925" s="15" t="s">
        <v>128</v>
      </c>
      <c r="I925" s="52">
        <f>I929+I928+I927+I926</f>
        <v>12547</v>
      </c>
      <c r="J925" s="52">
        <f>J929+J928+J927+J926</f>
        <v>-302</v>
      </c>
      <c r="K925" s="52">
        <f t="shared" si="124"/>
        <v>12245</v>
      </c>
      <c r="L925" s="126"/>
      <c r="M925" s="52">
        <f>M929+M928+M927+M926</f>
        <v>0</v>
      </c>
      <c r="N925" s="52">
        <f>N929+N928+N927+N926</f>
        <v>0</v>
      </c>
      <c r="O925" s="52">
        <f t="shared" si="125"/>
        <v>0</v>
      </c>
      <c r="P925" s="126"/>
      <c r="Q925" s="52">
        <f t="shared" si="127"/>
        <v>12547</v>
      </c>
      <c r="R925" s="52">
        <f t="shared" si="140"/>
        <v>-302</v>
      </c>
      <c r="S925" s="52">
        <f t="shared" si="141"/>
        <v>12245</v>
      </c>
    </row>
    <row r="926" spans="2:19" x14ac:dyDescent="0.2">
      <c r="B926" s="79">
        <f t="shared" si="126"/>
        <v>179</v>
      </c>
      <c r="C926" s="4"/>
      <c r="D926" s="4"/>
      <c r="E926" s="4"/>
      <c r="F926" s="56" t="s">
        <v>199</v>
      </c>
      <c r="G926" s="4">
        <v>632</v>
      </c>
      <c r="H926" s="4" t="s">
        <v>139</v>
      </c>
      <c r="I926" s="26">
        <v>6240</v>
      </c>
      <c r="J926" s="26">
        <v>1000</v>
      </c>
      <c r="K926" s="26">
        <f t="shared" si="124"/>
        <v>7240</v>
      </c>
      <c r="L926" s="80"/>
      <c r="M926" s="26"/>
      <c r="N926" s="26"/>
      <c r="O926" s="26">
        <f t="shared" si="125"/>
        <v>0</v>
      </c>
      <c r="P926" s="80"/>
      <c r="Q926" s="26">
        <f t="shared" si="127"/>
        <v>6240</v>
      </c>
      <c r="R926" s="26">
        <f t="shared" si="140"/>
        <v>1000</v>
      </c>
      <c r="S926" s="26">
        <f t="shared" si="141"/>
        <v>7240</v>
      </c>
    </row>
    <row r="927" spans="2:19" x14ac:dyDescent="0.2">
      <c r="B927" s="79">
        <f t="shared" si="126"/>
        <v>180</v>
      </c>
      <c r="C927" s="4"/>
      <c r="D927" s="4"/>
      <c r="E927" s="4"/>
      <c r="F927" s="56" t="s">
        <v>199</v>
      </c>
      <c r="G927" s="4">
        <v>633</v>
      </c>
      <c r="H927" s="4" t="s">
        <v>132</v>
      </c>
      <c r="I927" s="26">
        <f>3831+656</f>
        <v>4487</v>
      </c>
      <c r="J927" s="26">
        <v>-1152</v>
      </c>
      <c r="K927" s="26">
        <f t="shared" si="124"/>
        <v>3335</v>
      </c>
      <c r="L927" s="80"/>
      <c r="M927" s="26"/>
      <c r="N927" s="26"/>
      <c r="O927" s="26">
        <f t="shared" si="125"/>
        <v>0</v>
      </c>
      <c r="P927" s="80"/>
      <c r="Q927" s="26">
        <f t="shared" si="127"/>
        <v>4487</v>
      </c>
      <c r="R927" s="26">
        <f t="shared" si="140"/>
        <v>-1152</v>
      </c>
      <c r="S927" s="26">
        <f t="shared" si="141"/>
        <v>3335</v>
      </c>
    </row>
    <row r="928" spans="2:19" x14ac:dyDescent="0.2">
      <c r="B928" s="79">
        <f t="shared" si="126"/>
        <v>181</v>
      </c>
      <c r="C928" s="4"/>
      <c r="D928" s="4"/>
      <c r="E928" s="4"/>
      <c r="F928" s="56" t="s">
        <v>199</v>
      </c>
      <c r="G928" s="4">
        <v>635</v>
      </c>
      <c r="H928" s="4" t="s">
        <v>138</v>
      </c>
      <c r="I928" s="26">
        <v>150</v>
      </c>
      <c r="J928" s="26">
        <v>-150</v>
      </c>
      <c r="K928" s="26">
        <f t="shared" si="124"/>
        <v>0</v>
      </c>
      <c r="L928" s="80"/>
      <c r="M928" s="26"/>
      <c r="N928" s="26"/>
      <c r="O928" s="26">
        <f t="shared" si="125"/>
        <v>0</v>
      </c>
      <c r="P928" s="80"/>
      <c r="Q928" s="26">
        <f t="shared" si="127"/>
        <v>150</v>
      </c>
      <c r="R928" s="26">
        <f t="shared" si="140"/>
        <v>-150</v>
      </c>
      <c r="S928" s="26">
        <f t="shared" si="141"/>
        <v>0</v>
      </c>
    </row>
    <row r="929" spans="2:19" x14ac:dyDescent="0.2">
      <c r="B929" s="79">
        <f t="shared" si="126"/>
        <v>182</v>
      </c>
      <c r="C929" s="4"/>
      <c r="D929" s="4"/>
      <c r="E929" s="4"/>
      <c r="F929" s="56" t="s">
        <v>199</v>
      </c>
      <c r="G929" s="4">
        <v>637</v>
      </c>
      <c r="H929" s="4" t="s">
        <v>129</v>
      </c>
      <c r="I929" s="26">
        <v>1670</v>
      </c>
      <c r="J929" s="26"/>
      <c r="K929" s="26">
        <f t="shared" si="124"/>
        <v>1670</v>
      </c>
      <c r="L929" s="80"/>
      <c r="M929" s="26"/>
      <c r="N929" s="26"/>
      <c r="O929" s="26">
        <f t="shared" si="125"/>
        <v>0</v>
      </c>
      <c r="P929" s="80"/>
      <c r="Q929" s="26">
        <f t="shared" si="127"/>
        <v>1670</v>
      </c>
      <c r="R929" s="26">
        <f t="shared" si="140"/>
        <v>0</v>
      </c>
      <c r="S929" s="26">
        <f t="shared" si="141"/>
        <v>1670</v>
      </c>
    </row>
    <row r="930" spans="2:19" x14ac:dyDescent="0.2">
      <c r="B930" s="79">
        <f t="shared" si="126"/>
        <v>183</v>
      </c>
      <c r="C930" s="14"/>
      <c r="D930" s="14"/>
      <c r="E930" s="14" t="s">
        <v>89</v>
      </c>
      <c r="F930" s="54"/>
      <c r="G930" s="14"/>
      <c r="H930" s="14" t="s">
        <v>209</v>
      </c>
      <c r="I930" s="51">
        <f>I933+I932+I931</f>
        <v>107998</v>
      </c>
      <c r="J930" s="51">
        <f>J933+J932+J931</f>
        <v>3915</v>
      </c>
      <c r="K930" s="51">
        <f t="shared" si="124"/>
        <v>111913</v>
      </c>
      <c r="L930" s="126"/>
      <c r="M930" s="51">
        <f>M933+M932+M931</f>
        <v>0</v>
      </c>
      <c r="N930" s="51">
        <f>N933+N932+N931</f>
        <v>0</v>
      </c>
      <c r="O930" s="51">
        <f t="shared" si="125"/>
        <v>0</v>
      </c>
      <c r="P930" s="126"/>
      <c r="Q930" s="51">
        <f t="shared" si="127"/>
        <v>107998</v>
      </c>
      <c r="R930" s="51">
        <f t="shared" si="140"/>
        <v>3915</v>
      </c>
      <c r="S930" s="51">
        <f t="shared" si="141"/>
        <v>111913</v>
      </c>
    </row>
    <row r="931" spans="2:19" x14ac:dyDescent="0.2">
      <c r="B931" s="79">
        <f t="shared" si="126"/>
        <v>184</v>
      </c>
      <c r="C931" s="15"/>
      <c r="D931" s="15"/>
      <c r="E931" s="15"/>
      <c r="F931" s="55" t="s">
        <v>199</v>
      </c>
      <c r="G931" s="15">
        <v>610</v>
      </c>
      <c r="H931" s="15" t="s">
        <v>136</v>
      </c>
      <c r="I931" s="52">
        <v>60370</v>
      </c>
      <c r="J931" s="52"/>
      <c r="K931" s="52">
        <f t="shared" si="124"/>
        <v>60370</v>
      </c>
      <c r="L931" s="126"/>
      <c r="M931" s="52"/>
      <c r="N931" s="52"/>
      <c r="O931" s="52">
        <f t="shared" si="125"/>
        <v>0</v>
      </c>
      <c r="P931" s="126"/>
      <c r="Q931" s="52">
        <f t="shared" si="127"/>
        <v>60370</v>
      </c>
      <c r="R931" s="52">
        <f t="shared" si="140"/>
        <v>0</v>
      </c>
      <c r="S931" s="52">
        <f t="shared" si="141"/>
        <v>60370</v>
      </c>
    </row>
    <row r="932" spans="2:19" x14ac:dyDescent="0.2">
      <c r="B932" s="79">
        <f t="shared" si="126"/>
        <v>185</v>
      </c>
      <c r="C932" s="15"/>
      <c r="D932" s="15"/>
      <c r="E932" s="15"/>
      <c r="F932" s="55" t="s">
        <v>199</v>
      </c>
      <c r="G932" s="15">
        <v>620</v>
      </c>
      <c r="H932" s="15" t="s">
        <v>131</v>
      </c>
      <c r="I932" s="52">
        <v>22415</v>
      </c>
      <c r="J932" s="52"/>
      <c r="K932" s="52">
        <f t="shared" si="124"/>
        <v>22415</v>
      </c>
      <c r="L932" s="126"/>
      <c r="M932" s="52"/>
      <c r="N932" s="52"/>
      <c r="O932" s="52">
        <f t="shared" si="125"/>
        <v>0</v>
      </c>
      <c r="P932" s="126"/>
      <c r="Q932" s="52">
        <f t="shared" si="127"/>
        <v>22415</v>
      </c>
      <c r="R932" s="52">
        <f t="shared" si="140"/>
        <v>0</v>
      </c>
      <c r="S932" s="52">
        <f t="shared" si="141"/>
        <v>22415</v>
      </c>
    </row>
    <row r="933" spans="2:19" x14ac:dyDescent="0.2">
      <c r="B933" s="79">
        <f t="shared" si="126"/>
        <v>186</v>
      </c>
      <c r="C933" s="15"/>
      <c r="D933" s="15"/>
      <c r="E933" s="15"/>
      <c r="F933" s="55" t="s">
        <v>199</v>
      </c>
      <c r="G933" s="15">
        <v>630</v>
      </c>
      <c r="H933" s="15" t="s">
        <v>128</v>
      </c>
      <c r="I933" s="52">
        <f>I938+I937+I935+I934+I936</f>
        <v>25213</v>
      </c>
      <c r="J933" s="52">
        <f>J938+J937+J935+J934+J936</f>
        <v>3915</v>
      </c>
      <c r="K933" s="52">
        <f t="shared" si="124"/>
        <v>29128</v>
      </c>
      <c r="L933" s="126"/>
      <c r="M933" s="52">
        <f>M938+M937+M935+M934</f>
        <v>0</v>
      </c>
      <c r="N933" s="52">
        <f>N938+N937+N935+N934</f>
        <v>0</v>
      </c>
      <c r="O933" s="52">
        <f t="shared" si="125"/>
        <v>0</v>
      </c>
      <c r="P933" s="126"/>
      <c r="Q933" s="52">
        <f t="shared" si="127"/>
        <v>25213</v>
      </c>
      <c r="R933" s="52">
        <f t="shared" si="140"/>
        <v>3915</v>
      </c>
      <c r="S933" s="52">
        <f t="shared" si="141"/>
        <v>29128</v>
      </c>
    </row>
    <row r="934" spans="2:19" x14ac:dyDescent="0.2">
      <c r="B934" s="79">
        <f t="shared" si="126"/>
        <v>187</v>
      </c>
      <c r="C934" s="4"/>
      <c r="D934" s="4"/>
      <c r="E934" s="4"/>
      <c r="F934" s="56" t="s">
        <v>199</v>
      </c>
      <c r="G934" s="4">
        <v>632</v>
      </c>
      <c r="H934" s="4" t="s">
        <v>139</v>
      </c>
      <c r="I934" s="26">
        <v>6370</v>
      </c>
      <c r="J934" s="26">
        <v>4620</v>
      </c>
      <c r="K934" s="26">
        <f t="shared" si="124"/>
        <v>10990</v>
      </c>
      <c r="L934" s="80"/>
      <c r="M934" s="26"/>
      <c r="N934" s="26"/>
      <c r="O934" s="26">
        <f t="shared" si="125"/>
        <v>0</v>
      </c>
      <c r="P934" s="80"/>
      <c r="Q934" s="26">
        <f t="shared" si="127"/>
        <v>6370</v>
      </c>
      <c r="R934" s="26">
        <f t="shared" si="140"/>
        <v>4620</v>
      </c>
      <c r="S934" s="26">
        <f t="shared" si="141"/>
        <v>10990</v>
      </c>
    </row>
    <row r="935" spans="2:19" x14ac:dyDescent="0.2">
      <c r="B935" s="79">
        <f t="shared" si="126"/>
        <v>188</v>
      </c>
      <c r="C935" s="4"/>
      <c r="D935" s="4"/>
      <c r="E935" s="4"/>
      <c r="F935" s="56" t="s">
        <v>199</v>
      </c>
      <c r="G935" s="4">
        <v>633</v>
      </c>
      <c r="H935" s="4" t="s">
        <v>132</v>
      </c>
      <c r="I935" s="26">
        <f>10541+672</f>
        <v>11213</v>
      </c>
      <c r="J935" s="26">
        <v>-722</v>
      </c>
      <c r="K935" s="26">
        <f t="shared" si="124"/>
        <v>10491</v>
      </c>
      <c r="L935" s="80"/>
      <c r="M935" s="26"/>
      <c r="N935" s="26"/>
      <c r="O935" s="26">
        <f t="shared" si="125"/>
        <v>0</v>
      </c>
      <c r="P935" s="80"/>
      <c r="Q935" s="26">
        <f t="shared" si="127"/>
        <v>11213</v>
      </c>
      <c r="R935" s="26">
        <f t="shared" si="140"/>
        <v>-722</v>
      </c>
      <c r="S935" s="26">
        <f t="shared" si="141"/>
        <v>10491</v>
      </c>
    </row>
    <row r="936" spans="2:19" x14ac:dyDescent="0.2">
      <c r="B936" s="79">
        <f t="shared" si="126"/>
        <v>189</v>
      </c>
      <c r="C936" s="4"/>
      <c r="D936" s="4"/>
      <c r="E936" s="4"/>
      <c r="F936" s="146" t="s">
        <v>199</v>
      </c>
      <c r="G936" s="147">
        <v>635</v>
      </c>
      <c r="H936" s="147" t="s">
        <v>674</v>
      </c>
      <c r="I936" s="145">
        <v>4500</v>
      </c>
      <c r="J936" s="145"/>
      <c r="K936" s="145">
        <f t="shared" si="124"/>
        <v>4500</v>
      </c>
      <c r="L936" s="80"/>
      <c r="M936" s="145"/>
      <c r="N936" s="145"/>
      <c r="O936" s="145">
        <f t="shared" si="125"/>
        <v>0</v>
      </c>
      <c r="P936" s="80"/>
      <c r="Q936" s="145">
        <f>I936+M936</f>
        <v>4500</v>
      </c>
      <c r="R936" s="145">
        <f t="shared" ref="R936:S936" si="142">J936+N936</f>
        <v>0</v>
      </c>
      <c r="S936" s="145">
        <f t="shared" si="142"/>
        <v>4500</v>
      </c>
    </row>
    <row r="937" spans="2:19" x14ac:dyDescent="0.2">
      <c r="B937" s="79">
        <f t="shared" si="126"/>
        <v>190</v>
      </c>
      <c r="C937" s="4"/>
      <c r="D937" s="4"/>
      <c r="E937" s="4"/>
      <c r="F937" s="56" t="s">
        <v>199</v>
      </c>
      <c r="G937" s="4">
        <v>635</v>
      </c>
      <c r="H937" s="4" t="s">
        <v>138</v>
      </c>
      <c r="I937" s="26">
        <v>950</v>
      </c>
      <c r="J937" s="26">
        <v>17</v>
      </c>
      <c r="K937" s="26">
        <f t="shared" si="124"/>
        <v>967</v>
      </c>
      <c r="L937" s="80"/>
      <c r="M937" s="26"/>
      <c r="N937" s="26"/>
      <c r="O937" s="26">
        <f t="shared" si="125"/>
        <v>0</v>
      </c>
      <c r="P937" s="80"/>
      <c r="Q937" s="26">
        <f t="shared" si="127"/>
        <v>950</v>
      </c>
      <c r="R937" s="26">
        <f t="shared" ref="R937:R1006" si="143">N937+J937</f>
        <v>17</v>
      </c>
      <c r="S937" s="26">
        <f t="shared" ref="S937:S1006" si="144">O937+K937</f>
        <v>967</v>
      </c>
    </row>
    <row r="938" spans="2:19" x14ac:dyDescent="0.2">
      <c r="B938" s="79">
        <f t="shared" si="126"/>
        <v>191</v>
      </c>
      <c r="C938" s="4"/>
      <c r="D938" s="4"/>
      <c r="E938" s="4"/>
      <c r="F938" s="56" t="s">
        <v>199</v>
      </c>
      <c r="G938" s="4">
        <v>637</v>
      </c>
      <c r="H938" s="4" t="s">
        <v>129</v>
      </c>
      <c r="I938" s="26">
        <v>2180</v>
      </c>
      <c r="J938" s="26"/>
      <c r="K938" s="26">
        <f t="shared" si="124"/>
        <v>2180</v>
      </c>
      <c r="L938" s="80"/>
      <c r="M938" s="26"/>
      <c r="N938" s="26"/>
      <c r="O938" s="26">
        <f t="shared" si="125"/>
        <v>0</v>
      </c>
      <c r="P938" s="80"/>
      <c r="Q938" s="26">
        <f t="shared" si="127"/>
        <v>2180</v>
      </c>
      <c r="R938" s="26">
        <f t="shared" si="143"/>
        <v>0</v>
      </c>
      <c r="S938" s="26">
        <f t="shared" si="144"/>
        <v>2180</v>
      </c>
    </row>
    <row r="939" spans="2:19" x14ac:dyDescent="0.2">
      <c r="B939" s="79">
        <f t="shared" si="126"/>
        <v>192</v>
      </c>
      <c r="C939" s="14"/>
      <c r="D939" s="14"/>
      <c r="E939" s="14" t="s">
        <v>107</v>
      </c>
      <c r="F939" s="54"/>
      <c r="G939" s="14"/>
      <c r="H939" s="14" t="s">
        <v>67</v>
      </c>
      <c r="I939" s="51">
        <f>I949+I948+I942+I941+I940</f>
        <v>86204</v>
      </c>
      <c r="J939" s="51">
        <f>J949+J948+J942+J941+J940</f>
        <v>1609</v>
      </c>
      <c r="K939" s="51">
        <f t="shared" si="124"/>
        <v>87813</v>
      </c>
      <c r="L939" s="126"/>
      <c r="M939" s="51">
        <f>M949+M948+M942+M941+M940</f>
        <v>10000</v>
      </c>
      <c r="N939" s="51">
        <f>N949+N948+N942+N941+N940</f>
        <v>0</v>
      </c>
      <c r="O939" s="51">
        <f t="shared" si="125"/>
        <v>10000</v>
      </c>
      <c r="P939" s="126"/>
      <c r="Q939" s="51">
        <f t="shared" si="127"/>
        <v>96204</v>
      </c>
      <c r="R939" s="51">
        <f t="shared" si="143"/>
        <v>1609</v>
      </c>
      <c r="S939" s="51">
        <f t="shared" si="144"/>
        <v>97813</v>
      </c>
    </row>
    <row r="940" spans="2:19" x14ac:dyDescent="0.2">
      <c r="B940" s="79">
        <f t="shared" si="126"/>
        <v>193</v>
      </c>
      <c r="C940" s="15"/>
      <c r="D940" s="15"/>
      <c r="E940" s="15"/>
      <c r="F940" s="55" t="s">
        <v>199</v>
      </c>
      <c r="G940" s="15">
        <v>610</v>
      </c>
      <c r="H940" s="15" t="s">
        <v>136</v>
      </c>
      <c r="I940" s="52">
        <f>49110+1500</f>
        <v>50610</v>
      </c>
      <c r="J940" s="52"/>
      <c r="K940" s="52">
        <f t="shared" si="124"/>
        <v>50610</v>
      </c>
      <c r="L940" s="126"/>
      <c r="M940" s="52"/>
      <c r="N940" s="52"/>
      <c r="O940" s="52">
        <f t="shared" si="125"/>
        <v>0</v>
      </c>
      <c r="P940" s="126"/>
      <c r="Q940" s="52">
        <f t="shared" si="127"/>
        <v>50610</v>
      </c>
      <c r="R940" s="52">
        <f t="shared" si="143"/>
        <v>0</v>
      </c>
      <c r="S940" s="52">
        <f t="shared" si="144"/>
        <v>50610</v>
      </c>
    </row>
    <row r="941" spans="2:19" x14ac:dyDescent="0.2">
      <c r="B941" s="79">
        <f t="shared" si="126"/>
        <v>194</v>
      </c>
      <c r="C941" s="15"/>
      <c r="D941" s="15"/>
      <c r="E941" s="15"/>
      <c r="F941" s="55" t="s">
        <v>199</v>
      </c>
      <c r="G941" s="15">
        <v>620</v>
      </c>
      <c r="H941" s="15" t="s">
        <v>131</v>
      </c>
      <c r="I941" s="52">
        <f>18790+100</f>
        <v>18890</v>
      </c>
      <c r="J941" s="52"/>
      <c r="K941" s="52">
        <f t="shared" si="124"/>
        <v>18890</v>
      </c>
      <c r="L941" s="126"/>
      <c r="M941" s="52"/>
      <c r="N941" s="52"/>
      <c r="O941" s="52">
        <f t="shared" si="125"/>
        <v>0</v>
      </c>
      <c r="P941" s="126"/>
      <c r="Q941" s="52">
        <f t="shared" si="127"/>
        <v>18890</v>
      </c>
      <c r="R941" s="52">
        <f t="shared" si="143"/>
        <v>0</v>
      </c>
      <c r="S941" s="52">
        <f t="shared" si="144"/>
        <v>18890</v>
      </c>
    </row>
    <row r="942" spans="2:19" x14ac:dyDescent="0.2">
      <c r="B942" s="79">
        <f t="shared" si="126"/>
        <v>195</v>
      </c>
      <c r="C942" s="15"/>
      <c r="D942" s="15"/>
      <c r="E942" s="15"/>
      <c r="F942" s="55" t="s">
        <v>199</v>
      </c>
      <c r="G942" s="15">
        <v>630</v>
      </c>
      <c r="H942" s="15" t="s">
        <v>128</v>
      </c>
      <c r="I942" s="52">
        <f>I947+I946+I944+I943</f>
        <v>15304</v>
      </c>
      <c r="J942" s="52">
        <f>J947+J946+J944+J943+J945</f>
        <v>1558</v>
      </c>
      <c r="K942" s="52">
        <f t="shared" si="124"/>
        <v>16862</v>
      </c>
      <c r="L942" s="126"/>
      <c r="M942" s="52">
        <f>M947+M946+M944+M943</f>
        <v>0</v>
      </c>
      <c r="N942" s="52">
        <f>N947+N946+N944+N943</f>
        <v>0</v>
      </c>
      <c r="O942" s="52">
        <f t="shared" si="125"/>
        <v>0</v>
      </c>
      <c r="P942" s="126"/>
      <c r="Q942" s="52">
        <f t="shared" si="127"/>
        <v>15304</v>
      </c>
      <c r="R942" s="52">
        <f t="shared" si="143"/>
        <v>1558</v>
      </c>
      <c r="S942" s="52">
        <f t="shared" si="144"/>
        <v>16862</v>
      </c>
    </row>
    <row r="943" spans="2:19" x14ac:dyDescent="0.2">
      <c r="B943" s="79">
        <f t="shared" si="126"/>
        <v>196</v>
      </c>
      <c r="C943" s="4"/>
      <c r="D943" s="4"/>
      <c r="E943" s="4"/>
      <c r="F943" s="56" t="s">
        <v>199</v>
      </c>
      <c r="G943" s="4">
        <v>632</v>
      </c>
      <c r="H943" s="4" t="s">
        <v>139</v>
      </c>
      <c r="I943" s="26">
        <v>320</v>
      </c>
      <c r="J943" s="26"/>
      <c r="K943" s="26">
        <f t="shared" si="124"/>
        <v>320</v>
      </c>
      <c r="L943" s="80"/>
      <c r="M943" s="26"/>
      <c r="N943" s="26"/>
      <c r="O943" s="26">
        <f t="shared" si="125"/>
        <v>0</v>
      </c>
      <c r="P943" s="80"/>
      <c r="Q943" s="26">
        <f t="shared" si="127"/>
        <v>320</v>
      </c>
      <c r="R943" s="26">
        <f t="shared" si="143"/>
        <v>0</v>
      </c>
      <c r="S943" s="26">
        <f t="shared" si="144"/>
        <v>320</v>
      </c>
    </row>
    <row r="944" spans="2:19" x14ac:dyDescent="0.2">
      <c r="B944" s="79">
        <f t="shared" si="126"/>
        <v>197</v>
      </c>
      <c r="C944" s="4"/>
      <c r="D944" s="4"/>
      <c r="E944" s="4"/>
      <c r="F944" s="56" t="s">
        <v>199</v>
      </c>
      <c r="G944" s="4">
        <v>633</v>
      </c>
      <c r="H944" s="4" t="s">
        <v>132</v>
      </c>
      <c r="I944" s="26">
        <f>2876+608</f>
        <v>3484</v>
      </c>
      <c r="J944" s="26">
        <v>217</v>
      </c>
      <c r="K944" s="26">
        <f t="shared" si="124"/>
        <v>3701</v>
      </c>
      <c r="L944" s="80"/>
      <c r="M944" s="26"/>
      <c r="N944" s="26"/>
      <c r="O944" s="26">
        <f t="shared" si="125"/>
        <v>0</v>
      </c>
      <c r="P944" s="80"/>
      <c r="Q944" s="26">
        <f t="shared" si="127"/>
        <v>3484</v>
      </c>
      <c r="R944" s="26">
        <f t="shared" si="143"/>
        <v>217</v>
      </c>
      <c r="S944" s="26">
        <f t="shared" si="144"/>
        <v>3701</v>
      </c>
    </row>
    <row r="945" spans="2:19" x14ac:dyDescent="0.2">
      <c r="B945" s="79">
        <f t="shared" ref="B945:B954" si="145">B944+1</f>
        <v>198</v>
      </c>
      <c r="C945" s="4"/>
      <c r="D945" s="4"/>
      <c r="E945" s="4"/>
      <c r="F945" s="56" t="s">
        <v>199</v>
      </c>
      <c r="G945" s="4">
        <v>635</v>
      </c>
      <c r="H945" s="4" t="s">
        <v>138</v>
      </c>
      <c r="I945" s="26">
        <v>0</v>
      </c>
      <c r="J945" s="26">
        <v>1341</v>
      </c>
      <c r="K945" s="26">
        <f t="shared" si="124"/>
        <v>1341</v>
      </c>
      <c r="L945" s="80"/>
      <c r="M945" s="26"/>
      <c r="N945" s="26"/>
      <c r="O945" s="26">
        <f t="shared" ref="O945" si="146">M945+N945</f>
        <v>0</v>
      </c>
      <c r="P945" s="80"/>
      <c r="Q945" s="26">
        <f t="shared" ref="Q945" si="147">M945+I945</f>
        <v>0</v>
      </c>
      <c r="R945" s="26">
        <f t="shared" ref="R945" si="148">N945+J945</f>
        <v>1341</v>
      </c>
      <c r="S945" s="26">
        <f t="shared" ref="S945" si="149">O945+K945</f>
        <v>1341</v>
      </c>
    </row>
    <row r="946" spans="2:19" x14ac:dyDescent="0.2">
      <c r="B946" s="79">
        <f t="shared" si="145"/>
        <v>199</v>
      </c>
      <c r="C946" s="4"/>
      <c r="D946" s="4"/>
      <c r="E946" s="4"/>
      <c r="F946" s="56" t="s">
        <v>199</v>
      </c>
      <c r="G946" s="4">
        <v>636</v>
      </c>
      <c r="H946" s="4" t="s">
        <v>133</v>
      </c>
      <c r="I946" s="26">
        <v>10000</v>
      </c>
      <c r="J946" s="26"/>
      <c r="K946" s="26">
        <f t="shared" ref="K946:K1012" si="150">I946+J946</f>
        <v>10000</v>
      </c>
      <c r="L946" s="80"/>
      <c r="M946" s="26"/>
      <c r="N946" s="26"/>
      <c r="O946" s="26">
        <f t="shared" ref="O946:O1012" si="151">M946+N946</f>
        <v>0</v>
      </c>
      <c r="P946" s="80"/>
      <c r="Q946" s="26">
        <f t="shared" si="127"/>
        <v>10000</v>
      </c>
      <c r="R946" s="26">
        <f t="shared" si="143"/>
        <v>0</v>
      </c>
      <c r="S946" s="26">
        <f t="shared" si="144"/>
        <v>10000</v>
      </c>
    </row>
    <row r="947" spans="2:19" x14ac:dyDescent="0.2">
      <c r="B947" s="79">
        <f t="shared" si="145"/>
        <v>200</v>
      </c>
      <c r="C947" s="4"/>
      <c r="D947" s="4"/>
      <c r="E947" s="4"/>
      <c r="F947" s="56" t="s">
        <v>199</v>
      </c>
      <c r="G947" s="4">
        <v>637</v>
      </c>
      <c r="H947" s="4" t="s">
        <v>129</v>
      </c>
      <c r="I947" s="26">
        <v>1500</v>
      </c>
      <c r="J947" s="26"/>
      <c r="K947" s="26">
        <f t="shared" si="150"/>
        <v>1500</v>
      </c>
      <c r="L947" s="80"/>
      <c r="M947" s="26"/>
      <c r="N947" s="26"/>
      <c r="O947" s="26">
        <f t="shared" si="151"/>
        <v>0</v>
      </c>
      <c r="P947" s="80"/>
      <c r="Q947" s="26">
        <f t="shared" si="127"/>
        <v>1500</v>
      </c>
      <c r="R947" s="26">
        <f t="shared" si="143"/>
        <v>0</v>
      </c>
      <c r="S947" s="26">
        <f t="shared" si="144"/>
        <v>1500</v>
      </c>
    </row>
    <row r="948" spans="2:19" x14ac:dyDescent="0.2">
      <c r="B948" s="79">
        <f t="shared" si="145"/>
        <v>201</v>
      </c>
      <c r="C948" s="15"/>
      <c r="D948" s="15"/>
      <c r="E948" s="15"/>
      <c r="F948" s="55" t="s">
        <v>199</v>
      </c>
      <c r="G948" s="15">
        <v>640</v>
      </c>
      <c r="H948" s="15" t="s">
        <v>135</v>
      </c>
      <c r="I948" s="52">
        <v>1400</v>
      </c>
      <c r="J948" s="52">
        <v>51</v>
      </c>
      <c r="K948" s="52">
        <f t="shared" si="150"/>
        <v>1451</v>
      </c>
      <c r="L948" s="126"/>
      <c r="M948" s="52"/>
      <c r="N948" s="52"/>
      <c r="O948" s="52">
        <f t="shared" si="151"/>
        <v>0</v>
      </c>
      <c r="P948" s="126"/>
      <c r="Q948" s="52">
        <f t="shared" si="127"/>
        <v>1400</v>
      </c>
      <c r="R948" s="52">
        <f t="shared" si="143"/>
        <v>51</v>
      </c>
      <c r="S948" s="52">
        <f t="shared" si="144"/>
        <v>1451</v>
      </c>
    </row>
    <row r="949" spans="2:19" x14ac:dyDescent="0.2">
      <c r="B949" s="79">
        <f t="shared" si="145"/>
        <v>202</v>
      </c>
      <c r="C949" s="15"/>
      <c r="D949" s="15"/>
      <c r="E949" s="15"/>
      <c r="F949" s="55" t="s">
        <v>199</v>
      </c>
      <c r="G949" s="15">
        <v>710</v>
      </c>
      <c r="H949" s="15" t="s">
        <v>184</v>
      </c>
      <c r="I949" s="52">
        <f>I950</f>
        <v>0</v>
      </c>
      <c r="J949" s="52">
        <f>J950</f>
        <v>0</v>
      </c>
      <c r="K949" s="52">
        <f t="shared" si="150"/>
        <v>0</v>
      </c>
      <c r="L949" s="126"/>
      <c r="M949" s="52">
        <f>M950</f>
        <v>10000</v>
      </c>
      <c r="N949" s="52">
        <f>N950</f>
        <v>0</v>
      </c>
      <c r="O949" s="52">
        <f t="shared" si="151"/>
        <v>10000</v>
      </c>
      <c r="P949" s="126"/>
      <c r="Q949" s="52">
        <f t="shared" si="127"/>
        <v>10000</v>
      </c>
      <c r="R949" s="52">
        <f t="shared" si="143"/>
        <v>0</v>
      </c>
      <c r="S949" s="52">
        <f t="shared" si="144"/>
        <v>10000</v>
      </c>
    </row>
    <row r="950" spans="2:19" x14ac:dyDescent="0.2">
      <c r="B950" s="79">
        <f t="shared" si="145"/>
        <v>203</v>
      </c>
      <c r="C950" s="4"/>
      <c r="D950" s="4"/>
      <c r="E950" s="4"/>
      <c r="F950" s="89" t="s">
        <v>199</v>
      </c>
      <c r="G950" s="90">
        <v>717</v>
      </c>
      <c r="H950" s="90" t="s">
        <v>194</v>
      </c>
      <c r="I950" s="91"/>
      <c r="J950" s="91"/>
      <c r="K950" s="91">
        <f t="shared" si="150"/>
        <v>0</v>
      </c>
      <c r="L950" s="80"/>
      <c r="M950" s="91">
        <f>M951</f>
        <v>10000</v>
      </c>
      <c r="N950" s="91">
        <f>N951</f>
        <v>0</v>
      </c>
      <c r="O950" s="91">
        <f t="shared" si="151"/>
        <v>10000</v>
      </c>
      <c r="P950" s="80"/>
      <c r="Q950" s="91">
        <f t="shared" si="127"/>
        <v>10000</v>
      </c>
      <c r="R950" s="91">
        <f t="shared" si="143"/>
        <v>0</v>
      </c>
      <c r="S950" s="91">
        <f t="shared" si="144"/>
        <v>10000</v>
      </c>
    </row>
    <row r="951" spans="2:19" x14ac:dyDescent="0.2">
      <c r="B951" s="79">
        <f t="shared" si="145"/>
        <v>204</v>
      </c>
      <c r="C951" s="4"/>
      <c r="D951" s="4"/>
      <c r="E951" s="4"/>
      <c r="F951" s="56"/>
      <c r="G951" s="4"/>
      <c r="H951" s="4" t="s">
        <v>338</v>
      </c>
      <c r="I951" s="26"/>
      <c r="J951" s="26"/>
      <c r="K951" s="26">
        <f t="shared" si="150"/>
        <v>0</v>
      </c>
      <c r="L951" s="80"/>
      <c r="M951" s="26">
        <v>10000</v>
      </c>
      <c r="N951" s="26"/>
      <c r="O951" s="26">
        <f t="shared" si="151"/>
        <v>10000</v>
      </c>
      <c r="P951" s="80"/>
      <c r="Q951" s="26">
        <f t="shared" si="127"/>
        <v>10000</v>
      </c>
      <c r="R951" s="26">
        <f t="shared" si="143"/>
        <v>0</v>
      </c>
      <c r="S951" s="26">
        <f t="shared" si="144"/>
        <v>10000</v>
      </c>
    </row>
    <row r="952" spans="2:19" x14ac:dyDescent="0.2">
      <c r="B952" s="79">
        <f t="shared" si="145"/>
        <v>205</v>
      </c>
      <c r="C952" s="14"/>
      <c r="D952" s="14"/>
      <c r="E952" s="14" t="s">
        <v>108</v>
      </c>
      <c r="F952" s="54"/>
      <c r="G952" s="14"/>
      <c r="H952" s="14" t="s">
        <v>109</v>
      </c>
      <c r="I952" s="51">
        <f>I962+I961+I955+I954+I953</f>
        <v>238467</v>
      </c>
      <c r="J952" s="51">
        <f>J962+J961+J955+J954+J953</f>
        <v>11689</v>
      </c>
      <c r="K952" s="51">
        <f t="shared" si="150"/>
        <v>250156</v>
      </c>
      <c r="L952" s="126"/>
      <c r="M952" s="51">
        <f>M962+M961+M955+M954+M953</f>
        <v>67500</v>
      </c>
      <c r="N952" s="51">
        <f>N962+N961+N955+N954+N953</f>
        <v>0</v>
      </c>
      <c r="O952" s="51">
        <f t="shared" si="151"/>
        <v>67500</v>
      </c>
      <c r="P952" s="126"/>
      <c r="Q952" s="51">
        <f t="shared" si="127"/>
        <v>305967</v>
      </c>
      <c r="R952" s="51">
        <f t="shared" si="143"/>
        <v>11689</v>
      </c>
      <c r="S952" s="51">
        <f t="shared" si="144"/>
        <v>317656</v>
      </c>
    </row>
    <row r="953" spans="2:19" x14ac:dyDescent="0.2">
      <c r="B953" s="79">
        <f t="shared" si="145"/>
        <v>206</v>
      </c>
      <c r="C953" s="15"/>
      <c r="D953" s="15"/>
      <c r="E953" s="15"/>
      <c r="F953" s="55" t="s">
        <v>199</v>
      </c>
      <c r="G953" s="15">
        <v>610</v>
      </c>
      <c r="H953" s="15" t="s">
        <v>136</v>
      </c>
      <c r="I953" s="52">
        <f>148370+900</f>
        <v>149270</v>
      </c>
      <c r="J953" s="52">
        <v>2940</v>
      </c>
      <c r="K953" s="52">
        <f t="shared" si="150"/>
        <v>152210</v>
      </c>
      <c r="L953" s="126"/>
      <c r="M953" s="52"/>
      <c r="N953" s="52"/>
      <c r="O953" s="52">
        <f t="shared" si="151"/>
        <v>0</v>
      </c>
      <c r="P953" s="126"/>
      <c r="Q953" s="52">
        <f t="shared" si="127"/>
        <v>149270</v>
      </c>
      <c r="R953" s="52">
        <f t="shared" si="143"/>
        <v>2940</v>
      </c>
      <c r="S953" s="52">
        <f t="shared" si="144"/>
        <v>152210</v>
      </c>
    </row>
    <row r="954" spans="2:19" x14ac:dyDescent="0.2">
      <c r="B954" s="79">
        <f t="shared" si="145"/>
        <v>207</v>
      </c>
      <c r="C954" s="15"/>
      <c r="D954" s="15"/>
      <c r="E954" s="15"/>
      <c r="F954" s="55" t="s">
        <v>199</v>
      </c>
      <c r="G954" s="15">
        <v>620</v>
      </c>
      <c r="H954" s="15" t="s">
        <v>131</v>
      </c>
      <c r="I954" s="52">
        <f>55095+300</f>
        <v>55395</v>
      </c>
      <c r="J954" s="52">
        <v>280</v>
      </c>
      <c r="K954" s="52">
        <f t="shared" si="150"/>
        <v>55675</v>
      </c>
      <c r="L954" s="126"/>
      <c r="M954" s="52"/>
      <c r="N954" s="52"/>
      <c r="O954" s="52">
        <f t="shared" si="151"/>
        <v>0</v>
      </c>
      <c r="P954" s="126"/>
      <c r="Q954" s="52">
        <f t="shared" si="127"/>
        <v>55395</v>
      </c>
      <c r="R954" s="52">
        <f t="shared" si="143"/>
        <v>280</v>
      </c>
      <c r="S954" s="52">
        <f t="shared" si="144"/>
        <v>55675</v>
      </c>
    </row>
    <row r="955" spans="2:19" x14ac:dyDescent="0.2">
      <c r="B955" s="79">
        <f t="shared" ref="B955:B1013" si="152">B954+1</f>
        <v>208</v>
      </c>
      <c r="C955" s="15"/>
      <c r="D955" s="15"/>
      <c r="E955" s="15"/>
      <c r="F955" s="55" t="s">
        <v>199</v>
      </c>
      <c r="G955" s="15">
        <v>630</v>
      </c>
      <c r="H955" s="15" t="s">
        <v>128</v>
      </c>
      <c r="I955" s="52">
        <f>I960+I959+I958+I957+I956</f>
        <v>30522</v>
      </c>
      <c r="J955" s="52">
        <f>J960+J959+J958+J957+J956</f>
        <v>10569</v>
      </c>
      <c r="K955" s="52">
        <f t="shared" si="150"/>
        <v>41091</v>
      </c>
      <c r="L955" s="126"/>
      <c r="M955" s="52">
        <f>M960+M959+M958+M957+M956</f>
        <v>0</v>
      </c>
      <c r="N955" s="52">
        <f>N960+N959+N958+N957+N956</f>
        <v>0</v>
      </c>
      <c r="O955" s="52">
        <f t="shared" si="151"/>
        <v>0</v>
      </c>
      <c r="P955" s="126"/>
      <c r="Q955" s="52">
        <f t="shared" si="127"/>
        <v>30522</v>
      </c>
      <c r="R955" s="52">
        <f t="shared" si="143"/>
        <v>10569</v>
      </c>
      <c r="S955" s="52">
        <f t="shared" si="144"/>
        <v>41091</v>
      </c>
    </row>
    <row r="956" spans="2:19" x14ac:dyDescent="0.2">
      <c r="B956" s="79">
        <f t="shared" si="152"/>
        <v>209</v>
      </c>
      <c r="C956" s="4"/>
      <c r="D956" s="4"/>
      <c r="E956" s="4"/>
      <c r="F956" s="56" t="s">
        <v>199</v>
      </c>
      <c r="G956" s="4">
        <v>632</v>
      </c>
      <c r="H956" s="4" t="s">
        <v>139</v>
      </c>
      <c r="I956" s="26">
        <v>7530</v>
      </c>
      <c r="J956" s="26">
        <v>6100</v>
      </c>
      <c r="K956" s="26">
        <f t="shared" si="150"/>
        <v>13630</v>
      </c>
      <c r="L956" s="80"/>
      <c r="M956" s="26"/>
      <c r="N956" s="26"/>
      <c r="O956" s="26">
        <f t="shared" si="151"/>
        <v>0</v>
      </c>
      <c r="P956" s="80"/>
      <c r="Q956" s="26">
        <f t="shared" si="127"/>
        <v>7530</v>
      </c>
      <c r="R956" s="26">
        <f t="shared" si="143"/>
        <v>6100</v>
      </c>
      <c r="S956" s="26">
        <f t="shared" si="144"/>
        <v>13630</v>
      </c>
    </row>
    <row r="957" spans="2:19" x14ac:dyDescent="0.2">
      <c r="B957" s="79">
        <f t="shared" si="152"/>
        <v>210</v>
      </c>
      <c r="C957" s="4"/>
      <c r="D957" s="4"/>
      <c r="E957" s="4"/>
      <c r="F957" s="56" t="s">
        <v>199</v>
      </c>
      <c r="G957" s="4">
        <v>633</v>
      </c>
      <c r="H957" s="4" t="s">
        <v>132</v>
      </c>
      <c r="I957" s="26">
        <f>8500+2192</f>
        <v>10692</v>
      </c>
      <c r="J957" s="26">
        <v>-1554</v>
      </c>
      <c r="K957" s="26">
        <f t="shared" si="150"/>
        <v>9138</v>
      </c>
      <c r="L957" s="80"/>
      <c r="M957" s="26"/>
      <c r="N957" s="26"/>
      <c r="O957" s="26">
        <f t="shared" si="151"/>
        <v>0</v>
      </c>
      <c r="P957" s="80"/>
      <c r="Q957" s="26">
        <f t="shared" si="127"/>
        <v>10692</v>
      </c>
      <c r="R957" s="26">
        <f t="shared" si="143"/>
        <v>-1554</v>
      </c>
      <c r="S957" s="26">
        <f t="shared" si="144"/>
        <v>9138</v>
      </c>
    </row>
    <row r="958" spans="2:19" x14ac:dyDescent="0.2">
      <c r="B958" s="79">
        <f t="shared" si="152"/>
        <v>211</v>
      </c>
      <c r="C958" s="4"/>
      <c r="D958" s="4"/>
      <c r="E958" s="4"/>
      <c r="F958" s="56" t="s">
        <v>199</v>
      </c>
      <c r="G958" s="4">
        <v>635</v>
      </c>
      <c r="H958" s="4" t="s">
        <v>138</v>
      </c>
      <c r="I958" s="26">
        <v>600</v>
      </c>
      <c r="J958" s="26">
        <v>6023</v>
      </c>
      <c r="K958" s="26">
        <f t="shared" si="150"/>
        <v>6623</v>
      </c>
      <c r="L958" s="80"/>
      <c r="M958" s="26"/>
      <c r="N958" s="26"/>
      <c r="O958" s="26">
        <f t="shared" si="151"/>
        <v>0</v>
      </c>
      <c r="P958" s="80"/>
      <c r="Q958" s="26">
        <f t="shared" si="127"/>
        <v>600</v>
      </c>
      <c r="R958" s="26">
        <f t="shared" si="143"/>
        <v>6023</v>
      </c>
      <c r="S958" s="26">
        <f t="shared" si="144"/>
        <v>6623</v>
      </c>
    </row>
    <row r="959" spans="2:19" x14ac:dyDescent="0.2">
      <c r="B959" s="79">
        <f t="shared" si="152"/>
        <v>212</v>
      </c>
      <c r="C959" s="4"/>
      <c r="D959" s="4"/>
      <c r="E959" s="4"/>
      <c r="F959" s="56" t="s">
        <v>199</v>
      </c>
      <c r="G959" s="4">
        <v>636</v>
      </c>
      <c r="H959" s="4" t="s">
        <v>133</v>
      </c>
      <c r="I959" s="26">
        <v>4700</v>
      </c>
      <c r="J959" s="26"/>
      <c r="K959" s="26">
        <f t="shared" si="150"/>
        <v>4700</v>
      </c>
      <c r="L959" s="80"/>
      <c r="M959" s="26"/>
      <c r="N959" s="26"/>
      <c r="O959" s="26">
        <f t="shared" si="151"/>
        <v>0</v>
      </c>
      <c r="P959" s="80"/>
      <c r="Q959" s="26">
        <f t="shared" si="127"/>
        <v>4700</v>
      </c>
      <c r="R959" s="26">
        <f t="shared" si="143"/>
        <v>0</v>
      </c>
      <c r="S959" s="26">
        <f t="shared" si="144"/>
        <v>4700</v>
      </c>
    </row>
    <row r="960" spans="2:19" x14ac:dyDescent="0.2">
      <c r="B960" s="79">
        <f t="shared" si="152"/>
        <v>213</v>
      </c>
      <c r="C960" s="4"/>
      <c r="D960" s="4"/>
      <c r="E960" s="4"/>
      <c r="F960" s="56" t="s">
        <v>199</v>
      </c>
      <c r="G960" s="4">
        <v>637</v>
      </c>
      <c r="H960" s="4" t="s">
        <v>129</v>
      </c>
      <c r="I960" s="26">
        <v>7000</v>
      </c>
      <c r="J960" s="26"/>
      <c r="K960" s="26">
        <f t="shared" si="150"/>
        <v>7000</v>
      </c>
      <c r="L960" s="80"/>
      <c r="M960" s="26"/>
      <c r="N960" s="26"/>
      <c r="O960" s="26">
        <f t="shared" si="151"/>
        <v>0</v>
      </c>
      <c r="P960" s="80"/>
      <c r="Q960" s="26">
        <f t="shared" si="127"/>
        <v>7000</v>
      </c>
      <c r="R960" s="26">
        <f t="shared" si="143"/>
        <v>0</v>
      </c>
      <c r="S960" s="26">
        <f t="shared" si="144"/>
        <v>7000</v>
      </c>
    </row>
    <row r="961" spans="2:19" x14ac:dyDescent="0.2">
      <c r="B961" s="79">
        <f t="shared" si="152"/>
        <v>214</v>
      </c>
      <c r="C961" s="15"/>
      <c r="D961" s="15"/>
      <c r="E961" s="15"/>
      <c r="F961" s="55" t="s">
        <v>199</v>
      </c>
      <c r="G961" s="15">
        <v>640</v>
      </c>
      <c r="H961" s="15" t="s">
        <v>135</v>
      </c>
      <c r="I961" s="52">
        <v>3280</v>
      </c>
      <c r="J961" s="52">
        <v>-2100</v>
      </c>
      <c r="K961" s="52">
        <f t="shared" si="150"/>
        <v>1180</v>
      </c>
      <c r="L961" s="126"/>
      <c r="M961" s="52"/>
      <c r="N961" s="52"/>
      <c r="O961" s="52">
        <f t="shared" si="151"/>
        <v>0</v>
      </c>
      <c r="P961" s="126"/>
      <c r="Q961" s="52">
        <f t="shared" si="127"/>
        <v>3280</v>
      </c>
      <c r="R961" s="52">
        <f t="shared" si="143"/>
        <v>-2100</v>
      </c>
      <c r="S961" s="52">
        <f t="shared" si="144"/>
        <v>1180</v>
      </c>
    </row>
    <row r="962" spans="2:19" x14ac:dyDescent="0.2">
      <c r="B962" s="79">
        <f t="shared" si="152"/>
        <v>215</v>
      </c>
      <c r="C962" s="15"/>
      <c r="D962" s="15"/>
      <c r="E962" s="15"/>
      <c r="F962" s="55" t="s">
        <v>199</v>
      </c>
      <c r="G962" s="15">
        <v>710</v>
      </c>
      <c r="H962" s="15" t="s">
        <v>184</v>
      </c>
      <c r="I962" s="52">
        <f>I963</f>
        <v>0</v>
      </c>
      <c r="J962" s="52">
        <f>J963</f>
        <v>0</v>
      </c>
      <c r="K962" s="52">
        <f t="shared" si="150"/>
        <v>0</v>
      </c>
      <c r="L962" s="126"/>
      <c r="M962" s="52">
        <f>M963</f>
        <v>67500</v>
      </c>
      <c r="N962" s="52">
        <f>N963</f>
        <v>0</v>
      </c>
      <c r="O962" s="52">
        <f t="shared" si="151"/>
        <v>67500</v>
      </c>
      <c r="P962" s="126"/>
      <c r="Q962" s="52">
        <f t="shared" si="127"/>
        <v>67500</v>
      </c>
      <c r="R962" s="52">
        <f t="shared" si="143"/>
        <v>0</v>
      </c>
      <c r="S962" s="52">
        <f t="shared" si="144"/>
        <v>67500</v>
      </c>
    </row>
    <row r="963" spans="2:19" x14ac:dyDescent="0.2">
      <c r="B963" s="79">
        <f t="shared" si="152"/>
        <v>216</v>
      </c>
      <c r="C963" s="4"/>
      <c r="D963" s="4"/>
      <c r="E963" s="4"/>
      <c r="F963" s="89" t="s">
        <v>199</v>
      </c>
      <c r="G963" s="90">
        <v>717</v>
      </c>
      <c r="H963" s="90" t="s">
        <v>194</v>
      </c>
      <c r="I963" s="91"/>
      <c r="J963" s="91"/>
      <c r="K963" s="91">
        <f t="shared" si="150"/>
        <v>0</v>
      </c>
      <c r="L963" s="80"/>
      <c r="M963" s="91">
        <f>M964</f>
        <v>67500</v>
      </c>
      <c r="N963" s="91">
        <f>N964</f>
        <v>0</v>
      </c>
      <c r="O963" s="91">
        <f t="shared" si="151"/>
        <v>67500</v>
      </c>
      <c r="P963" s="80"/>
      <c r="Q963" s="91">
        <f t="shared" si="127"/>
        <v>67500</v>
      </c>
      <c r="R963" s="91">
        <f t="shared" si="143"/>
        <v>0</v>
      </c>
      <c r="S963" s="91">
        <f t="shared" si="144"/>
        <v>67500</v>
      </c>
    </row>
    <row r="964" spans="2:19" x14ac:dyDescent="0.2">
      <c r="B964" s="79">
        <f t="shared" si="152"/>
        <v>217</v>
      </c>
      <c r="C964" s="4"/>
      <c r="D964" s="4"/>
      <c r="E964" s="4"/>
      <c r="F964" s="56"/>
      <c r="G964" s="4"/>
      <c r="H964" s="38" t="s">
        <v>423</v>
      </c>
      <c r="I964" s="26"/>
      <c r="J964" s="26"/>
      <c r="K964" s="26">
        <f t="shared" si="150"/>
        <v>0</v>
      </c>
      <c r="L964" s="80"/>
      <c r="M964" s="26">
        <f>30000+22000+15500</f>
        <v>67500</v>
      </c>
      <c r="N964" s="26"/>
      <c r="O964" s="26">
        <f t="shared" si="151"/>
        <v>67500</v>
      </c>
      <c r="P964" s="80"/>
      <c r="Q964" s="26">
        <f t="shared" si="127"/>
        <v>67500</v>
      </c>
      <c r="R964" s="26">
        <f t="shared" si="143"/>
        <v>0</v>
      </c>
      <c r="S964" s="26">
        <f t="shared" si="144"/>
        <v>67500</v>
      </c>
    </row>
    <row r="965" spans="2:19" ht="15" x14ac:dyDescent="0.2">
      <c r="B965" s="79">
        <f t="shared" si="152"/>
        <v>218</v>
      </c>
      <c r="C965" s="191">
        <v>2</v>
      </c>
      <c r="D965" s="245" t="s">
        <v>193</v>
      </c>
      <c r="E965" s="246"/>
      <c r="F965" s="246"/>
      <c r="G965" s="246"/>
      <c r="H965" s="247"/>
      <c r="I965" s="48">
        <f>I970+I985+I1009+I1039+I1062+I1095+I1129+I1160+I1187+I969+I966</f>
        <v>6928347</v>
      </c>
      <c r="J965" s="48">
        <f>J970+J985+J1009+J1039+J1062+J1095+J1129+J1160+J1187+J969+J966</f>
        <v>177956</v>
      </c>
      <c r="K965" s="48">
        <f t="shared" si="150"/>
        <v>7106303</v>
      </c>
      <c r="L965" s="201"/>
      <c r="M965" s="48">
        <f>M970+M985+M1009+M1039+M1062+M1095+M1129+M1160+M1187</f>
        <v>542510</v>
      </c>
      <c r="N965" s="48">
        <f>N970+N985+N1009+N1039+N1062+N1095+N1129+N1160+N1187</f>
        <v>0</v>
      </c>
      <c r="O965" s="48">
        <f t="shared" si="151"/>
        <v>542510</v>
      </c>
      <c r="P965" s="201"/>
      <c r="Q965" s="48">
        <f t="shared" ref="Q965:Q1039" si="153">M965+I965</f>
        <v>7470857</v>
      </c>
      <c r="R965" s="48">
        <f t="shared" si="143"/>
        <v>177956</v>
      </c>
      <c r="S965" s="48">
        <f t="shared" si="144"/>
        <v>7648813</v>
      </c>
    </row>
    <row r="966" spans="2:19" x14ac:dyDescent="0.2">
      <c r="B966" s="79">
        <f t="shared" si="152"/>
        <v>219</v>
      </c>
      <c r="C966" s="15"/>
      <c r="D966" s="15"/>
      <c r="E966" s="15"/>
      <c r="F966" s="55" t="s">
        <v>270</v>
      </c>
      <c r="G966" s="15">
        <v>630</v>
      </c>
      <c r="H966" s="15" t="s">
        <v>128</v>
      </c>
      <c r="I966" s="52">
        <f>I967</f>
        <v>793</v>
      </c>
      <c r="J966" s="52">
        <f>J967</f>
        <v>0</v>
      </c>
      <c r="K966" s="52">
        <f t="shared" si="150"/>
        <v>793</v>
      </c>
      <c r="L966" s="126"/>
      <c r="M966" s="52"/>
      <c r="N966" s="52"/>
      <c r="O966" s="52">
        <f t="shared" si="151"/>
        <v>0</v>
      </c>
      <c r="P966" s="126"/>
      <c r="Q966" s="52">
        <f t="shared" si="153"/>
        <v>793</v>
      </c>
      <c r="R966" s="52">
        <f t="shared" si="143"/>
        <v>0</v>
      </c>
      <c r="S966" s="52">
        <f t="shared" si="144"/>
        <v>793</v>
      </c>
    </row>
    <row r="967" spans="2:19" x14ac:dyDescent="0.2">
      <c r="B967" s="79">
        <f t="shared" si="152"/>
        <v>220</v>
      </c>
      <c r="C967" s="82"/>
      <c r="D967" s="82"/>
      <c r="E967" s="82"/>
      <c r="F967" s="83"/>
      <c r="G967" s="82"/>
      <c r="H967" s="84" t="s">
        <v>598</v>
      </c>
      <c r="I967" s="66">
        <v>793</v>
      </c>
      <c r="J967" s="66"/>
      <c r="K967" s="66">
        <f t="shared" si="150"/>
        <v>793</v>
      </c>
      <c r="L967" s="166"/>
      <c r="M967" s="66"/>
      <c r="N967" s="66"/>
      <c r="O967" s="66">
        <f t="shared" si="151"/>
        <v>0</v>
      </c>
      <c r="P967" s="166"/>
      <c r="Q967" s="66">
        <f t="shared" si="153"/>
        <v>793</v>
      </c>
      <c r="R967" s="66">
        <f t="shared" si="143"/>
        <v>0</v>
      </c>
      <c r="S967" s="66">
        <f t="shared" si="144"/>
        <v>793</v>
      </c>
    </row>
    <row r="968" spans="2:19" x14ac:dyDescent="0.2">
      <c r="B968" s="79">
        <f t="shared" si="152"/>
        <v>221</v>
      </c>
      <c r="C968" s="15"/>
      <c r="D968" s="15"/>
      <c r="E968" s="15"/>
      <c r="F968" s="55" t="s">
        <v>270</v>
      </c>
      <c r="G968" s="15">
        <v>640</v>
      </c>
      <c r="H968" s="15" t="s">
        <v>135</v>
      </c>
      <c r="I968" s="52"/>
      <c r="J968" s="52"/>
      <c r="K968" s="52">
        <f t="shared" si="150"/>
        <v>0</v>
      </c>
      <c r="L968" s="126"/>
      <c r="M968" s="52"/>
      <c r="N968" s="52"/>
      <c r="O968" s="52">
        <f t="shared" si="151"/>
        <v>0</v>
      </c>
      <c r="P968" s="126"/>
      <c r="Q968" s="52">
        <f t="shared" si="153"/>
        <v>0</v>
      </c>
      <c r="R968" s="52">
        <f t="shared" si="143"/>
        <v>0</v>
      </c>
      <c r="S968" s="52">
        <f t="shared" si="144"/>
        <v>0</v>
      </c>
    </row>
    <row r="969" spans="2:19" ht="24" x14ac:dyDescent="0.2">
      <c r="B969" s="79">
        <f t="shared" si="152"/>
        <v>222</v>
      </c>
      <c r="C969" s="82"/>
      <c r="D969" s="82"/>
      <c r="E969" s="82"/>
      <c r="F969" s="83" t="s">
        <v>270</v>
      </c>
      <c r="G969" s="82">
        <v>641</v>
      </c>
      <c r="H969" s="84" t="s">
        <v>591</v>
      </c>
      <c r="I969" s="66">
        <v>3300</v>
      </c>
      <c r="J969" s="66"/>
      <c r="K969" s="66">
        <f t="shared" si="150"/>
        <v>3300</v>
      </c>
      <c r="L969" s="166"/>
      <c r="M969" s="66"/>
      <c r="N969" s="66"/>
      <c r="O969" s="66">
        <f t="shared" si="151"/>
        <v>0</v>
      </c>
      <c r="P969" s="166"/>
      <c r="Q969" s="66">
        <f t="shared" si="153"/>
        <v>3300</v>
      </c>
      <c r="R969" s="66">
        <f t="shared" si="143"/>
        <v>0</v>
      </c>
      <c r="S969" s="66">
        <f t="shared" si="144"/>
        <v>3300</v>
      </c>
    </row>
    <row r="970" spans="2:19" ht="15" x14ac:dyDescent="0.25">
      <c r="B970" s="79">
        <f t="shared" si="152"/>
        <v>223</v>
      </c>
      <c r="C970" s="18"/>
      <c r="D970" s="18"/>
      <c r="E970" s="18">
        <v>4</v>
      </c>
      <c r="F970" s="53"/>
      <c r="G970" s="18"/>
      <c r="H970" s="18" t="s">
        <v>85</v>
      </c>
      <c r="I970" s="50">
        <f>I971</f>
        <v>90088</v>
      </c>
      <c r="J970" s="50">
        <f>J971</f>
        <v>16332</v>
      </c>
      <c r="K970" s="50">
        <f t="shared" si="150"/>
        <v>106420</v>
      </c>
      <c r="L970" s="203"/>
      <c r="M970" s="50">
        <f>M971</f>
        <v>50000</v>
      </c>
      <c r="N970" s="50">
        <f>N971</f>
        <v>0</v>
      </c>
      <c r="O970" s="50">
        <f t="shared" si="151"/>
        <v>50000</v>
      </c>
      <c r="P970" s="203"/>
      <c r="Q970" s="50">
        <f t="shared" si="153"/>
        <v>140088</v>
      </c>
      <c r="R970" s="50">
        <f t="shared" si="143"/>
        <v>16332</v>
      </c>
      <c r="S970" s="50">
        <f t="shared" si="144"/>
        <v>156420</v>
      </c>
    </row>
    <row r="971" spans="2:19" x14ac:dyDescent="0.2">
      <c r="B971" s="79">
        <f t="shared" si="152"/>
        <v>224</v>
      </c>
      <c r="C971" s="14"/>
      <c r="D971" s="14"/>
      <c r="E971" s="14" t="s">
        <v>92</v>
      </c>
      <c r="F971" s="54"/>
      <c r="G971" s="14"/>
      <c r="H971" s="14" t="s">
        <v>93</v>
      </c>
      <c r="I971" s="51">
        <f>I974+I973+I972+I980</f>
        <v>90088</v>
      </c>
      <c r="J971" s="51">
        <f>J974+J973+J972+J980+J979</f>
        <v>16332</v>
      </c>
      <c r="K971" s="51">
        <f t="shared" si="150"/>
        <v>106420</v>
      </c>
      <c r="L971" s="126"/>
      <c r="M971" s="51">
        <f>M974+M973+M972+M980</f>
        <v>50000</v>
      </c>
      <c r="N971" s="51">
        <f>N974+N973+N972+N980</f>
        <v>0</v>
      </c>
      <c r="O971" s="51">
        <f t="shared" si="151"/>
        <v>50000</v>
      </c>
      <c r="P971" s="126"/>
      <c r="Q971" s="51">
        <f t="shared" si="153"/>
        <v>140088</v>
      </c>
      <c r="R971" s="51">
        <f t="shared" si="143"/>
        <v>16332</v>
      </c>
      <c r="S971" s="51">
        <f t="shared" si="144"/>
        <v>156420</v>
      </c>
    </row>
    <row r="972" spans="2:19" x14ac:dyDescent="0.2">
      <c r="B972" s="79">
        <f t="shared" si="152"/>
        <v>225</v>
      </c>
      <c r="C972" s="15"/>
      <c r="D972" s="15"/>
      <c r="E972" s="15"/>
      <c r="F972" s="55" t="s">
        <v>126</v>
      </c>
      <c r="G972" s="15">
        <v>610</v>
      </c>
      <c r="H972" s="15" t="s">
        <v>136</v>
      </c>
      <c r="I972" s="52">
        <f>58195+1315</f>
        <v>59510</v>
      </c>
      <c r="J972" s="52">
        <v>7173</v>
      </c>
      <c r="K972" s="52">
        <f t="shared" si="150"/>
        <v>66683</v>
      </c>
      <c r="L972" s="126"/>
      <c r="M972" s="52"/>
      <c r="N972" s="52"/>
      <c r="O972" s="52">
        <f t="shared" si="151"/>
        <v>0</v>
      </c>
      <c r="P972" s="126"/>
      <c r="Q972" s="52">
        <f t="shared" si="153"/>
        <v>59510</v>
      </c>
      <c r="R972" s="52">
        <f t="shared" si="143"/>
        <v>7173</v>
      </c>
      <c r="S972" s="52">
        <f t="shared" si="144"/>
        <v>66683</v>
      </c>
    </row>
    <row r="973" spans="2:19" x14ac:dyDescent="0.2">
      <c r="B973" s="79">
        <f t="shared" si="152"/>
        <v>226</v>
      </c>
      <c r="C973" s="15"/>
      <c r="D973" s="15"/>
      <c r="E973" s="15"/>
      <c r="F973" s="55" t="s">
        <v>126</v>
      </c>
      <c r="G973" s="15">
        <v>620</v>
      </c>
      <c r="H973" s="15" t="s">
        <v>131</v>
      </c>
      <c r="I973" s="52">
        <f>21605-805</f>
        <v>20800</v>
      </c>
      <c r="J973" s="52">
        <v>3602</v>
      </c>
      <c r="K973" s="52">
        <f t="shared" si="150"/>
        <v>24402</v>
      </c>
      <c r="L973" s="126"/>
      <c r="M973" s="52"/>
      <c r="N973" s="52"/>
      <c r="O973" s="52">
        <f t="shared" si="151"/>
        <v>0</v>
      </c>
      <c r="P973" s="126"/>
      <c r="Q973" s="52">
        <f t="shared" si="153"/>
        <v>20800</v>
      </c>
      <c r="R973" s="52">
        <f t="shared" si="143"/>
        <v>3602</v>
      </c>
      <c r="S973" s="52">
        <f t="shared" si="144"/>
        <v>24402</v>
      </c>
    </row>
    <row r="974" spans="2:19" x14ac:dyDescent="0.2">
      <c r="B974" s="79">
        <f t="shared" si="152"/>
        <v>227</v>
      </c>
      <c r="C974" s="15"/>
      <c r="D974" s="15"/>
      <c r="E974" s="15"/>
      <c r="F974" s="55" t="s">
        <v>126</v>
      </c>
      <c r="G974" s="15">
        <v>630</v>
      </c>
      <c r="H974" s="15" t="s">
        <v>128</v>
      </c>
      <c r="I974" s="52">
        <f>I975+I976+I978</f>
        <v>9778</v>
      </c>
      <c r="J974" s="52">
        <f>J975+J976+J978+J977</f>
        <v>5432</v>
      </c>
      <c r="K974" s="52">
        <f t="shared" si="150"/>
        <v>15210</v>
      </c>
      <c r="L974" s="126"/>
      <c r="M974" s="52">
        <v>0</v>
      </c>
      <c r="N974" s="52"/>
      <c r="O974" s="52">
        <f t="shared" si="151"/>
        <v>0</v>
      </c>
      <c r="P974" s="126"/>
      <c r="Q974" s="52">
        <f t="shared" si="153"/>
        <v>9778</v>
      </c>
      <c r="R974" s="52">
        <f t="shared" si="143"/>
        <v>5432</v>
      </c>
      <c r="S974" s="52">
        <f t="shared" si="144"/>
        <v>15210</v>
      </c>
    </row>
    <row r="975" spans="2:19" x14ac:dyDescent="0.2">
      <c r="B975" s="79">
        <f t="shared" si="152"/>
        <v>228</v>
      </c>
      <c r="C975" s="4"/>
      <c r="D975" s="4"/>
      <c r="E975" s="4"/>
      <c r="F975" s="56" t="s">
        <v>126</v>
      </c>
      <c r="G975" s="4">
        <v>632</v>
      </c>
      <c r="H975" s="4" t="s">
        <v>139</v>
      </c>
      <c r="I975" s="26">
        <v>5690</v>
      </c>
      <c r="J975" s="26">
        <v>-1030</v>
      </c>
      <c r="K975" s="26">
        <f t="shared" si="150"/>
        <v>4660</v>
      </c>
      <c r="L975" s="80"/>
      <c r="M975" s="26"/>
      <c r="N975" s="26"/>
      <c r="O975" s="26">
        <f t="shared" si="151"/>
        <v>0</v>
      </c>
      <c r="P975" s="80"/>
      <c r="Q975" s="26">
        <f t="shared" si="153"/>
        <v>5690</v>
      </c>
      <c r="R975" s="26">
        <f t="shared" si="143"/>
        <v>-1030</v>
      </c>
      <c r="S975" s="26">
        <f t="shared" si="144"/>
        <v>4660</v>
      </c>
    </row>
    <row r="976" spans="2:19" x14ac:dyDescent="0.2">
      <c r="B976" s="79">
        <f t="shared" si="152"/>
        <v>229</v>
      </c>
      <c r="C976" s="4"/>
      <c r="D976" s="4"/>
      <c r="E976" s="4"/>
      <c r="F976" s="56" t="s">
        <v>126</v>
      </c>
      <c r="G976" s="4">
        <v>633</v>
      </c>
      <c r="H976" s="4" t="s">
        <v>132</v>
      </c>
      <c r="I976" s="26">
        <f>800+1088</f>
        <v>1888</v>
      </c>
      <c r="J976" s="26">
        <v>3687</v>
      </c>
      <c r="K976" s="26">
        <f t="shared" si="150"/>
        <v>5575</v>
      </c>
      <c r="L976" s="80"/>
      <c r="M976" s="26"/>
      <c r="N976" s="26"/>
      <c r="O976" s="26">
        <f t="shared" si="151"/>
        <v>0</v>
      </c>
      <c r="P976" s="80"/>
      <c r="Q976" s="26">
        <f t="shared" si="153"/>
        <v>1888</v>
      </c>
      <c r="R976" s="26">
        <f t="shared" si="143"/>
        <v>3687</v>
      </c>
      <c r="S976" s="26">
        <f t="shared" si="144"/>
        <v>5575</v>
      </c>
    </row>
    <row r="977" spans="2:19" x14ac:dyDescent="0.2">
      <c r="B977" s="79">
        <f t="shared" si="152"/>
        <v>230</v>
      </c>
      <c r="C977" s="4"/>
      <c r="D977" s="4"/>
      <c r="E977" s="4"/>
      <c r="F977" s="56" t="s">
        <v>126</v>
      </c>
      <c r="G977" s="4">
        <v>634</v>
      </c>
      <c r="H977" s="4" t="s">
        <v>137</v>
      </c>
      <c r="I977" s="26">
        <v>0</v>
      </c>
      <c r="J977" s="26">
        <v>228</v>
      </c>
      <c r="K977" s="26">
        <f t="shared" si="150"/>
        <v>228</v>
      </c>
      <c r="L977" s="80"/>
      <c r="M977" s="26"/>
      <c r="N977" s="26"/>
      <c r="O977" s="26">
        <f t="shared" si="151"/>
        <v>0</v>
      </c>
      <c r="P977" s="80"/>
      <c r="Q977" s="26">
        <f t="shared" si="153"/>
        <v>0</v>
      </c>
      <c r="R977" s="26">
        <f t="shared" si="143"/>
        <v>228</v>
      </c>
      <c r="S977" s="26">
        <f t="shared" si="144"/>
        <v>228</v>
      </c>
    </row>
    <row r="978" spans="2:19" x14ac:dyDescent="0.2">
      <c r="B978" s="79">
        <f t="shared" si="152"/>
        <v>231</v>
      </c>
      <c r="C978" s="4"/>
      <c r="D978" s="4"/>
      <c r="E978" s="4"/>
      <c r="F978" s="56" t="s">
        <v>126</v>
      </c>
      <c r="G978" s="4">
        <v>637</v>
      </c>
      <c r="H978" s="4" t="s">
        <v>129</v>
      </c>
      <c r="I978" s="26">
        <v>2200</v>
      </c>
      <c r="J978" s="26">
        <v>2547</v>
      </c>
      <c r="K978" s="26">
        <f t="shared" si="150"/>
        <v>4747</v>
      </c>
      <c r="L978" s="80"/>
      <c r="M978" s="26"/>
      <c r="N978" s="26"/>
      <c r="O978" s="26">
        <f t="shared" si="151"/>
        <v>0</v>
      </c>
      <c r="P978" s="80"/>
      <c r="Q978" s="26">
        <f t="shared" si="153"/>
        <v>2200</v>
      </c>
      <c r="R978" s="26">
        <f t="shared" si="143"/>
        <v>2547</v>
      </c>
      <c r="S978" s="26">
        <f t="shared" si="144"/>
        <v>4747</v>
      </c>
    </row>
    <row r="979" spans="2:19" x14ac:dyDescent="0.2">
      <c r="B979" s="79">
        <f t="shared" si="152"/>
        <v>232</v>
      </c>
      <c r="C979" s="4"/>
      <c r="D979" s="4"/>
      <c r="E979" s="4"/>
      <c r="F979" s="55" t="s">
        <v>126</v>
      </c>
      <c r="G979" s="15">
        <v>640</v>
      </c>
      <c r="H979" s="15" t="s">
        <v>135</v>
      </c>
      <c r="I979" s="52">
        <v>0</v>
      </c>
      <c r="J979" s="52">
        <v>125</v>
      </c>
      <c r="K979" s="52">
        <f t="shared" ref="K979" si="154">I979+J979</f>
        <v>125</v>
      </c>
      <c r="L979" s="126"/>
      <c r="M979" s="52"/>
      <c r="N979" s="52"/>
      <c r="O979" s="52">
        <f t="shared" ref="O979" si="155">M979+N979</f>
        <v>0</v>
      </c>
      <c r="P979" s="126"/>
      <c r="Q979" s="52">
        <f t="shared" ref="Q979" si="156">M979+I979</f>
        <v>0</v>
      </c>
      <c r="R979" s="52">
        <f t="shared" ref="R979" si="157">N979+J979</f>
        <v>125</v>
      </c>
      <c r="S979" s="52">
        <f t="shared" ref="S979" si="158">O979+K979</f>
        <v>125</v>
      </c>
    </row>
    <row r="980" spans="2:19" x14ac:dyDescent="0.2">
      <c r="B980" s="79">
        <f t="shared" si="152"/>
        <v>233</v>
      </c>
      <c r="C980" s="15"/>
      <c r="D980" s="15"/>
      <c r="E980" s="15"/>
      <c r="F980" s="55" t="s">
        <v>126</v>
      </c>
      <c r="G980" s="15">
        <v>710</v>
      </c>
      <c r="H980" s="15" t="s">
        <v>184</v>
      </c>
      <c r="I980" s="52">
        <f>I981+I983</f>
        <v>0</v>
      </c>
      <c r="J980" s="52">
        <f>J981+J983</f>
        <v>0</v>
      </c>
      <c r="K980" s="52">
        <f t="shared" si="150"/>
        <v>0</v>
      </c>
      <c r="L980" s="126"/>
      <c r="M980" s="52">
        <f>M981+M983</f>
        <v>50000</v>
      </c>
      <c r="N980" s="52">
        <f>N981+N983</f>
        <v>0</v>
      </c>
      <c r="O980" s="52">
        <f t="shared" si="151"/>
        <v>50000</v>
      </c>
      <c r="P980" s="126"/>
      <c r="Q980" s="52">
        <f t="shared" si="153"/>
        <v>50000</v>
      </c>
      <c r="R980" s="52">
        <f t="shared" si="143"/>
        <v>0</v>
      </c>
      <c r="S980" s="52">
        <f t="shared" si="144"/>
        <v>50000</v>
      </c>
    </row>
    <row r="981" spans="2:19" x14ac:dyDescent="0.2">
      <c r="B981" s="79">
        <f t="shared" si="152"/>
        <v>234</v>
      </c>
      <c r="C981" s="15"/>
      <c r="D981" s="15"/>
      <c r="E981" s="15"/>
      <c r="F981" s="89" t="s">
        <v>126</v>
      </c>
      <c r="G981" s="90">
        <v>716</v>
      </c>
      <c r="H981" s="90" t="s">
        <v>0</v>
      </c>
      <c r="I981" s="91">
        <v>0</v>
      </c>
      <c r="J981" s="91">
        <v>0</v>
      </c>
      <c r="K981" s="91">
        <f t="shared" si="150"/>
        <v>0</v>
      </c>
      <c r="L981" s="80"/>
      <c r="M981" s="91">
        <f>SUM(M982:M982)</f>
        <v>3000</v>
      </c>
      <c r="N981" s="91">
        <f>SUM(N982:N982)</f>
        <v>0</v>
      </c>
      <c r="O981" s="91">
        <f t="shared" si="151"/>
        <v>3000</v>
      </c>
      <c r="P981" s="80"/>
      <c r="Q981" s="91">
        <f t="shared" si="153"/>
        <v>3000</v>
      </c>
      <c r="R981" s="91">
        <f t="shared" si="143"/>
        <v>0</v>
      </c>
      <c r="S981" s="91">
        <f t="shared" si="144"/>
        <v>3000</v>
      </c>
    </row>
    <row r="982" spans="2:19" x14ac:dyDescent="0.2">
      <c r="B982" s="79">
        <f t="shared" si="152"/>
        <v>235</v>
      </c>
      <c r="C982" s="15"/>
      <c r="D982" s="15"/>
      <c r="E982" s="15"/>
      <c r="F982" s="68"/>
      <c r="G982" s="64"/>
      <c r="H982" s="64" t="s">
        <v>507</v>
      </c>
      <c r="I982" s="62"/>
      <c r="J982" s="62"/>
      <c r="K982" s="62">
        <f t="shared" si="150"/>
        <v>0</v>
      </c>
      <c r="L982" s="80"/>
      <c r="M982" s="62">
        <v>3000</v>
      </c>
      <c r="N982" s="62"/>
      <c r="O982" s="62">
        <f t="shared" si="151"/>
        <v>3000</v>
      </c>
      <c r="P982" s="80"/>
      <c r="Q982" s="26">
        <f t="shared" si="153"/>
        <v>3000</v>
      </c>
      <c r="R982" s="26">
        <f t="shared" si="143"/>
        <v>0</v>
      </c>
      <c r="S982" s="26">
        <f t="shared" si="144"/>
        <v>3000</v>
      </c>
    </row>
    <row r="983" spans="2:19" x14ac:dyDescent="0.2">
      <c r="B983" s="79">
        <f t="shared" si="152"/>
        <v>236</v>
      </c>
      <c r="C983" s="15"/>
      <c r="D983" s="15"/>
      <c r="E983" s="15"/>
      <c r="F983" s="89" t="s">
        <v>126</v>
      </c>
      <c r="G983" s="90">
        <v>717</v>
      </c>
      <c r="H983" s="90" t="s">
        <v>194</v>
      </c>
      <c r="I983" s="91">
        <v>0</v>
      </c>
      <c r="J983" s="91">
        <v>0</v>
      </c>
      <c r="K983" s="91">
        <f t="shared" si="150"/>
        <v>0</v>
      </c>
      <c r="L983" s="80"/>
      <c r="M983" s="91">
        <f>SUM(M984:M984)</f>
        <v>47000</v>
      </c>
      <c r="N983" s="91">
        <f>SUM(N984:N984)</f>
        <v>0</v>
      </c>
      <c r="O983" s="91">
        <f t="shared" si="151"/>
        <v>47000</v>
      </c>
      <c r="P983" s="80"/>
      <c r="Q983" s="91">
        <f t="shared" si="153"/>
        <v>47000</v>
      </c>
      <c r="R983" s="91">
        <f t="shared" si="143"/>
        <v>0</v>
      </c>
      <c r="S983" s="91">
        <f t="shared" si="144"/>
        <v>47000</v>
      </c>
    </row>
    <row r="984" spans="2:19" x14ac:dyDescent="0.2">
      <c r="B984" s="79">
        <f t="shared" si="152"/>
        <v>237</v>
      </c>
      <c r="C984" s="15"/>
      <c r="D984" s="15"/>
      <c r="E984" s="15"/>
      <c r="F984" s="68"/>
      <c r="G984" s="64"/>
      <c r="H984" s="63" t="s">
        <v>508</v>
      </c>
      <c r="I984" s="62"/>
      <c r="J984" s="62"/>
      <c r="K984" s="62">
        <f t="shared" si="150"/>
        <v>0</v>
      </c>
      <c r="L984" s="80"/>
      <c r="M984" s="62">
        <v>47000</v>
      </c>
      <c r="N984" s="62"/>
      <c r="O984" s="62">
        <f t="shared" si="151"/>
        <v>47000</v>
      </c>
      <c r="P984" s="80"/>
      <c r="Q984" s="26">
        <f t="shared" si="153"/>
        <v>47000</v>
      </c>
      <c r="R984" s="26">
        <f t="shared" si="143"/>
        <v>0</v>
      </c>
      <c r="S984" s="26">
        <f t="shared" si="144"/>
        <v>47000</v>
      </c>
    </row>
    <row r="985" spans="2:19" ht="15" x14ac:dyDescent="0.25">
      <c r="B985" s="79">
        <f t="shared" si="152"/>
        <v>238</v>
      </c>
      <c r="C985" s="18"/>
      <c r="D985" s="18"/>
      <c r="E985" s="18">
        <v>6</v>
      </c>
      <c r="F985" s="53"/>
      <c r="G985" s="18"/>
      <c r="H985" s="18" t="s">
        <v>82</v>
      </c>
      <c r="I985" s="50">
        <f>I986+I987+I988+I995+I996+I997+I998+I1005+I1008+I1006</f>
        <v>742382</v>
      </c>
      <c r="J985" s="50">
        <f>J986+J987+J988+J995+J996+J997+J998+J1005+J1008+J1006</f>
        <v>-10017</v>
      </c>
      <c r="K985" s="50">
        <f t="shared" si="150"/>
        <v>732365</v>
      </c>
      <c r="L985" s="203"/>
      <c r="M985" s="50">
        <f>M986+M987+M988+M995+M996+M997+M998+M1005</f>
        <v>0</v>
      </c>
      <c r="N985" s="50">
        <f>N986+N987+N988+N995+N996+N997+N998+N1005</f>
        <v>0</v>
      </c>
      <c r="O985" s="50">
        <f t="shared" si="151"/>
        <v>0</v>
      </c>
      <c r="P985" s="203"/>
      <c r="Q985" s="50">
        <f t="shared" si="153"/>
        <v>742382</v>
      </c>
      <c r="R985" s="50">
        <f t="shared" si="143"/>
        <v>-10017</v>
      </c>
      <c r="S985" s="50">
        <f t="shared" si="144"/>
        <v>732365</v>
      </c>
    </row>
    <row r="986" spans="2:19" x14ac:dyDescent="0.2">
      <c r="B986" s="79">
        <f t="shared" si="152"/>
        <v>239</v>
      </c>
      <c r="C986" s="15"/>
      <c r="D986" s="15"/>
      <c r="E986" s="15"/>
      <c r="F986" s="55" t="s">
        <v>126</v>
      </c>
      <c r="G986" s="15">
        <v>610</v>
      </c>
      <c r="H986" s="15" t="s">
        <v>136</v>
      </c>
      <c r="I986" s="52">
        <v>201972</v>
      </c>
      <c r="J986" s="52">
        <v>-534</v>
      </c>
      <c r="K986" s="52">
        <f t="shared" si="150"/>
        <v>201438</v>
      </c>
      <c r="L986" s="126"/>
      <c r="M986" s="52"/>
      <c r="N986" s="52"/>
      <c r="O986" s="52">
        <f t="shared" si="151"/>
        <v>0</v>
      </c>
      <c r="P986" s="126"/>
      <c r="Q986" s="52">
        <f t="shared" si="153"/>
        <v>201972</v>
      </c>
      <c r="R986" s="52">
        <f t="shared" si="143"/>
        <v>-534</v>
      </c>
      <c r="S986" s="52">
        <f t="shared" si="144"/>
        <v>201438</v>
      </c>
    </row>
    <row r="987" spans="2:19" x14ac:dyDescent="0.2">
      <c r="B987" s="79">
        <f t="shared" si="152"/>
        <v>240</v>
      </c>
      <c r="C987" s="15"/>
      <c r="D987" s="15"/>
      <c r="E987" s="15"/>
      <c r="F987" s="55" t="s">
        <v>126</v>
      </c>
      <c r="G987" s="15">
        <v>620</v>
      </c>
      <c r="H987" s="15" t="s">
        <v>131</v>
      </c>
      <c r="I987" s="52">
        <v>67964</v>
      </c>
      <c r="J987" s="52">
        <v>-344</v>
      </c>
      <c r="K987" s="52">
        <f t="shared" si="150"/>
        <v>67620</v>
      </c>
      <c r="L987" s="126"/>
      <c r="M987" s="52"/>
      <c r="N987" s="52"/>
      <c r="O987" s="52">
        <f t="shared" si="151"/>
        <v>0</v>
      </c>
      <c r="P987" s="126"/>
      <c r="Q987" s="52">
        <f t="shared" si="153"/>
        <v>67964</v>
      </c>
      <c r="R987" s="52">
        <f t="shared" si="143"/>
        <v>-344</v>
      </c>
      <c r="S987" s="52">
        <f t="shared" si="144"/>
        <v>67620</v>
      </c>
    </row>
    <row r="988" spans="2:19" x14ac:dyDescent="0.2">
      <c r="B988" s="79">
        <f t="shared" si="152"/>
        <v>241</v>
      </c>
      <c r="C988" s="15"/>
      <c r="D988" s="15"/>
      <c r="E988" s="15"/>
      <c r="F988" s="55" t="s">
        <v>126</v>
      </c>
      <c r="G988" s="15">
        <v>630</v>
      </c>
      <c r="H988" s="15" t="s">
        <v>128</v>
      </c>
      <c r="I988" s="52">
        <f>I994+I993+I991+I990+I989</f>
        <v>62088</v>
      </c>
      <c r="J988" s="52">
        <f>J994+J993+J991+J990+J989+J992</f>
        <v>-3996</v>
      </c>
      <c r="K988" s="52">
        <f t="shared" si="150"/>
        <v>58092</v>
      </c>
      <c r="L988" s="126"/>
      <c r="M988" s="52">
        <v>0</v>
      </c>
      <c r="N988" s="52"/>
      <c r="O988" s="52">
        <f t="shared" si="151"/>
        <v>0</v>
      </c>
      <c r="P988" s="126"/>
      <c r="Q988" s="52">
        <f t="shared" si="153"/>
        <v>62088</v>
      </c>
      <c r="R988" s="52">
        <f t="shared" si="143"/>
        <v>-3996</v>
      </c>
      <c r="S988" s="52">
        <f t="shared" si="144"/>
        <v>58092</v>
      </c>
    </row>
    <row r="989" spans="2:19" x14ac:dyDescent="0.2">
      <c r="B989" s="79">
        <f t="shared" si="152"/>
        <v>242</v>
      </c>
      <c r="C989" s="4"/>
      <c r="D989" s="4"/>
      <c r="E989" s="4"/>
      <c r="F989" s="56" t="s">
        <v>126</v>
      </c>
      <c r="G989" s="4">
        <v>631</v>
      </c>
      <c r="H989" s="4" t="s">
        <v>134</v>
      </c>
      <c r="I989" s="26">
        <v>224</v>
      </c>
      <c r="J989" s="26">
        <v>-224</v>
      </c>
      <c r="K989" s="26">
        <f t="shared" si="150"/>
        <v>0</v>
      </c>
      <c r="L989" s="80"/>
      <c r="M989" s="26"/>
      <c r="N989" s="26"/>
      <c r="O989" s="26">
        <f t="shared" si="151"/>
        <v>0</v>
      </c>
      <c r="P989" s="80"/>
      <c r="Q989" s="26">
        <f t="shared" si="153"/>
        <v>224</v>
      </c>
      <c r="R989" s="26">
        <f t="shared" si="143"/>
        <v>-224</v>
      </c>
      <c r="S989" s="26">
        <f t="shared" si="144"/>
        <v>0</v>
      </c>
    </row>
    <row r="990" spans="2:19" x14ac:dyDescent="0.2">
      <c r="B990" s="79">
        <f t="shared" si="152"/>
        <v>243</v>
      </c>
      <c r="C990" s="4"/>
      <c r="D990" s="4"/>
      <c r="E990" s="4"/>
      <c r="F990" s="56" t="s">
        <v>126</v>
      </c>
      <c r="G990" s="4">
        <v>632</v>
      </c>
      <c r="H990" s="4" t="s">
        <v>139</v>
      </c>
      <c r="I990" s="26">
        <v>36587</v>
      </c>
      <c r="J990" s="26">
        <v>-5411</v>
      </c>
      <c r="K990" s="26">
        <f t="shared" si="150"/>
        <v>31176</v>
      </c>
      <c r="L990" s="80"/>
      <c r="M990" s="26"/>
      <c r="N990" s="26"/>
      <c r="O990" s="26">
        <f t="shared" si="151"/>
        <v>0</v>
      </c>
      <c r="P990" s="80"/>
      <c r="Q990" s="26">
        <f t="shared" si="153"/>
        <v>36587</v>
      </c>
      <c r="R990" s="26">
        <f t="shared" si="143"/>
        <v>-5411</v>
      </c>
      <c r="S990" s="26">
        <f t="shared" si="144"/>
        <v>31176</v>
      </c>
    </row>
    <row r="991" spans="2:19" x14ac:dyDescent="0.2">
      <c r="B991" s="79">
        <f t="shared" si="152"/>
        <v>244</v>
      </c>
      <c r="C991" s="4"/>
      <c r="D991" s="4"/>
      <c r="E991" s="4"/>
      <c r="F991" s="56" t="s">
        <v>126</v>
      </c>
      <c r="G991" s="4">
        <v>633</v>
      </c>
      <c r="H991" s="4" t="s">
        <v>132</v>
      </c>
      <c r="I991" s="26">
        <v>9552</v>
      </c>
      <c r="J991" s="26">
        <v>-1730</v>
      </c>
      <c r="K991" s="26">
        <f t="shared" si="150"/>
        <v>7822</v>
      </c>
      <c r="L991" s="80"/>
      <c r="M991" s="26"/>
      <c r="N991" s="26"/>
      <c r="O991" s="26">
        <f t="shared" si="151"/>
        <v>0</v>
      </c>
      <c r="P991" s="80"/>
      <c r="Q991" s="26">
        <f t="shared" si="153"/>
        <v>9552</v>
      </c>
      <c r="R991" s="26">
        <f t="shared" si="143"/>
        <v>-1730</v>
      </c>
      <c r="S991" s="26">
        <f t="shared" si="144"/>
        <v>7822</v>
      </c>
    </row>
    <row r="992" spans="2:19" x14ac:dyDescent="0.2">
      <c r="B992" s="79">
        <f t="shared" si="152"/>
        <v>245</v>
      </c>
      <c r="C992" s="4"/>
      <c r="D992" s="4"/>
      <c r="E992" s="4"/>
      <c r="F992" s="56" t="s">
        <v>126</v>
      </c>
      <c r="G992" s="4">
        <v>634</v>
      </c>
      <c r="H992" s="4" t="s">
        <v>137</v>
      </c>
      <c r="I992" s="26">
        <v>0</v>
      </c>
      <c r="J992" s="26">
        <v>992</v>
      </c>
      <c r="K992" s="26">
        <f t="shared" si="150"/>
        <v>992</v>
      </c>
      <c r="L992" s="80"/>
      <c r="M992" s="26"/>
      <c r="N992" s="26"/>
      <c r="O992" s="26"/>
      <c r="P992" s="80"/>
      <c r="Q992" s="26">
        <f t="shared" si="153"/>
        <v>0</v>
      </c>
      <c r="R992" s="26">
        <f t="shared" si="143"/>
        <v>992</v>
      </c>
      <c r="S992" s="26"/>
    </row>
    <row r="993" spans="2:19" x14ac:dyDescent="0.2">
      <c r="B993" s="79">
        <f t="shared" si="152"/>
        <v>246</v>
      </c>
      <c r="C993" s="4"/>
      <c r="D993" s="4"/>
      <c r="E993" s="4"/>
      <c r="F993" s="56" t="s">
        <v>126</v>
      </c>
      <c r="G993" s="4">
        <v>635</v>
      </c>
      <c r="H993" s="4" t="s">
        <v>138</v>
      </c>
      <c r="I993" s="26">
        <v>5598</v>
      </c>
      <c r="J993" s="26">
        <v>270</v>
      </c>
      <c r="K993" s="26">
        <f t="shared" si="150"/>
        <v>5868</v>
      </c>
      <c r="L993" s="80"/>
      <c r="M993" s="26"/>
      <c r="N993" s="26"/>
      <c r="O993" s="26">
        <f t="shared" si="151"/>
        <v>0</v>
      </c>
      <c r="P993" s="80"/>
      <c r="Q993" s="26">
        <f t="shared" si="153"/>
        <v>5598</v>
      </c>
      <c r="R993" s="26">
        <f t="shared" si="143"/>
        <v>270</v>
      </c>
      <c r="S993" s="26">
        <f t="shared" si="144"/>
        <v>5868</v>
      </c>
    </row>
    <row r="994" spans="2:19" x14ac:dyDescent="0.2">
      <c r="B994" s="79">
        <f t="shared" si="152"/>
        <v>247</v>
      </c>
      <c r="C994" s="4"/>
      <c r="D994" s="4"/>
      <c r="E994" s="4"/>
      <c r="F994" s="56" t="s">
        <v>126</v>
      </c>
      <c r="G994" s="4">
        <v>637</v>
      </c>
      <c r="H994" s="4" t="s">
        <v>129</v>
      </c>
      <c r="I994" s="26">
        <v>10127</v>
      </c>
      <c r="J994" s="26">
        <v>2107</v>
      </c>
      <c r="K994" s="26">
        <f t="shared" si="150"/>
        <v>12234</v>
      </c>
      <c r="L994" s="80"/>
      <c r="M994" s="26"/>
      <c r="N994" s="26"/>
      <c r="O994" s="26">
        <f t="shared" si="151"/>
        <v>0</v>
      </c>
      <c r="P994" s="80"/>
      <c r="Q994" s="26">
        <f t="shared" si="153"/>
        <v>10127</v>
      </c>
      <c r="R994" s="26">
        <f t="shared" si="143"/>
        <v>2107</v>
      </c>
      <c r="S994" s="26">
        <f t="shared" si="144"/>
        <v>12234</v>
      </c>
    </row>
    <row r="995" spans="2:19" x14ac:dyDescent="0.2">
      <c r="B995" s="79">
        <f t="shared" si="152"/>
        <v>248</v>
      </c>
      <c r="C995" s="15"/>
      <c r="D995" s="15"/>
      <c r="E995" s="15"/>
      <c r="F995" s="55" t="s">
        <v>126</v>
      </c>
      <c r="G995" s="15">
        <v>640</v>
      </c>
      <c r="H995" s="15" t="s">
        <v>135</v>
      </c>
      <c r="I995" s="52">
        <v>121</v>
      </c>
      <c r="J995" s="52">
        <v>667</v>
      </c>
      <c r="K995" s="52">
        <f t="shared" si="150"/>
        <v>788</v>
      </c>
      <c r="L995" s="126"/>
      <c r="M995" s="52"/>
      <c r="N995" s="52"/>
      <c r="O995" s="52">
        <f t="shared" si="151"/>
        <v>0</v>
      </c>
      <c r="P995" s="126"/>
      <c r="Q995" s="52">
        <f t="shared" si="153"/>
        <v>121</v>
      </c>
      <c r="R995" s="52">
        <f t="shared" si="143"/>
        <v>667</v>
      </c>
      <c r="S995" s="52">
        <f t="shared" si="144"/>
        <v>788</v>
      </c>
    </row>
    <row r="996" spans="2:19" x14ac:dyDescent="0.2">
      <c r="B996" s="79">
        <f t="shared" si="152"/>
        <v>249</v>
      </c>
      <c r="C996" s="15"/>
      <c r="D996" s="15"/>
      <c r="E996" s="15"/>
      <c r="F996" s="55" t="s">
        <v>270</v>
      </c>
      <c r="G996" s="15">
        <v>610</v>
      </c>
      <c r="H996" s="15" t="s">
        <v>136</v>
      </c>
      <c r="I996" s="52">
        <f>250723+51</f>
        <v>250774</v>
      </c>
      <c r="J996" s="52">
        <v>-284</v>
      </c>
      <c r="K996" s="52">
        <f t="shared" si="150"/>
        <v>250490</v>
      </c>
      <c r="L996" s="126"/>
      <c r="M996" s="52"/>
      <c r="N996" s="52"/>
      <c r="O996" s="52">
        <f t="shared" si="151"/>
        <v>0</v>
      </c>
      <c r="P996" s="126"/>
      <c r="Q996" s="52">
        <f t="shared" si="153"/>
        <v>250774</v>
      </c>
      <c r="R996" s="52">
        <f t="shared" si="143"/>
        <v>-284</v>
      </c>
      <c r="S996" s="52">
        <f t="shared" si="144"/>
        <v>250490</v>
      </c>
    </row>
    <row r="997" spans="2:19" x14ac:dyDescent="0.2">
      <c r="B997" s="79">
        <f t="shared" si="152"/>
        <v>250</v>
      </c>
      <c r="C997" s="15"/>
      <c r="D997" s="15"/>
      <c r="E997" s="15"/>
      <c r="F997" s="55" t="s">
        <v>270</v>
      </c>
      <c r="G997" s="15">
        <v>620</v>
      </c>
      <c r="H997" s="15" t="s">
        <v>131</v>
      </c>
      <c r="I997" s="52">
        <f>84423+21</f>
        <v>84444</v>
      </c>
      <c r="J997" s="52">
        <v>-236</v>
      </c>
      <c r="K997" s="52">
        <f t="shared" si="150"/>
        <v>84208</v>
      </c>
      <c r="L997" s="126"/>
      <c r="M997" s="52"/>
      <c r="N997" s="52"/>
      <c r="O997" s="52">
        <f t="shared" si="151"/>
        <v>0</v>
      </c>
      <c r="P997" s="126"/>
      <c r="Q997" s="52">
        <f t="shared" si="153"/>
        <v>84444</v>
      </c>
      <c r="R997" s="52">
        <f t="shared" si="143"/>
        <v>-236</v>
      </c>
      <c r="S997" s="52">
        <f t="shared" si="144"/>
        <v>84208</v>
      </c>
    </row>
    <row r="998" spans="2:19" x14ac:dyDescent="0.2">
      <c r="B998" s="79">
        <f t="shared" si="152"/>
        <v>251</v>
      </c>
      <c r="C998" s="15"/>
      <c r="D998" s="15"/>
      <c r="E998" s="15"/>
      <c r="F998" s="55" t="s">
        <v>270</v>
      </c>
      <c r="G998" s="15">
        <v>630</v>
      </c>
      <c r="H998" s="15" t="s">
        <v>128</v>
      </c>
      <c r="I998" s="52">
        <f>I1004+I1003+I1001+I1000+I999+I1002</f>
        <v>66277</v>
      </c>
      <c r="J998" s="52">
        <f>J1004+J1003+J1001+J1000+J999+J1002</f>
        <v>-5869</v>
      </c>
      <c r="K998" s="52">
        <f t="shared" si="150"/>
        <v>60408</v>
      </c>
      <c r="L998" s="126"/>
      <c r="M998" s="52">
        <f>M1004+M1003+M1001+M1000+M999</f>
        <v>0</v>
      </c>
      <c r="N998" s="52">
        <f>N1004+N1003+N1001+N1000+N999</f>
        <v>0</v>
      </c>
      <c r="O998" s="52">
        <f t="shared" si="151"/>
        <v>0</v>
      </c>
      <c r="P998" s="126"/>
      <c r="Q998" s="52">
        <f t="shared" si="153"/>
        <v>66277</v>
      </c>
      <c r="R998" s="52">
        <f t="shared" si="143"/>
        <v>-5869</v>
      </c>
      <c r="S998" s="52">
        <f t="shared" si="144"/>
        <v>60408</v>
      </c>
    </row>
    <row r="999" spans="2:19" x14ac:dyDescent="0.2">
      <c r="B999" s="79">
        <f t="shared" si="152"/>
        <v>252</v>
      </c>
      <c r="C999" s="4"/>
      <c r="D999" s="4"/>
      <c r="E999" s="4"/>
      <c r="F999" s="56" t="s">
        <v>270</v>
      </c>
      <c r="G999" s="4">
        <v>631</v>
      </c>
      <c r="H999" s="4" t="s">
        <v>134</v>
      </c>
      <c r="I999" s="26">
        <v>184</v>
      </c>
      <c r="J999" s="26">
        <v>-184</v>
      </c>
      <c r="K999" s="26">
        <f t="shared" si="150"/>
        <v>0</v>
      </c>
      <c r="L999" s="80"/>
      <c r="M999" s="26"/>
      <c r="N999" s="26"/>
      <c r="O999" s="26">
        <f t="shared" si="151"/>
        <v>0</v>
      </c>
      <c r="P999" s="80"/>
      <c r="Q999" s="26">
        <f t="shared" si="153"/>
        <v>184</v>
      </c>
      <c r="R999" s="26">
        <f t="shared" si="143"/>
        <v>-184</v>
      </c>
      <c r="S999" s="26">
        <f t="shared" si="144"/>
        <v>0</v>
      </c>
    </row>
    <row r="1000" spans="2:19" x14ac:dyDescent="0.2">
      <c r="B1000" s="79">
        <f t="shared" si="152"/>
        <v>253</v>
      </c>
      <c r="C1000" s="4"/>
      <c r="D1000" s="4"/>
      <c r="E1000" s="4"/>
      <c r="F1000" s="56" t="s">
        <v>270</v>
      </c>
      <c r="G1000" s="4">
        <v>632</v>
      </c>
      <c r="H1000" s="4" t="s">
        <v>139</v>
      </c>
      <c r="I1000" s="26">
        <v>30862</v>
      </c>
      <c r="J1000" s="26">
        <v>-7567</v>
      </c>
      <c r="K1000" s="26">
        <f t="shared" si="150"/>
        <v>23295</v>
      </c>
      <c r="L1000" s="80"/>
      <c r="M1000" s="26"/>
      <c r="N1000" s="26"/>
      <c r="O1000" s="26">
        <f t="shared" si="151"/>
        <v>0</v>
      </c>
      <c r="P1000" s="80"/>
      <c r="Q1000" s="26">
        <f t="shared" si="153"/>
        <v>30862</v>
      </c>
      <c r="R1000" s="26">
        <f t="shared" si="143"/>
        <v>-7567</v>
      </c>
      <c r="S1000" s="26">
        <f t="shared" si="144"/>
        <v>23295</v>
      </c>
    </row>
    <row r="1001" spans="2:19" x14ac:dyDescent="0.2">
      <c r="B1001" s="79">
        <f t="shared" si="152"/>
        <v>254</v>
      </c>
      <c r="C1001" s="4"/>
      <c r="D1001" s="4"/>
      <c r="E1001" s="4"/>
      <c r="F1001" s="56" t="s">
        <v>270</v>
      </c>
      <c r="G1001" s="4">
        <v>633</v>
      </c>
      <c r="H1001" s="4" t="s">
        <v>132</v>
      </c>
      <c r="I1001" s="26">
        <v>15241</v>
      </c>
      <c r="J1001" s="26">
        <v>1861</v>
      </c>
      <c r="K1001" s="26">
        <f t="shared" si="150"/>
        <v>17102</v>
      </c>
      <c r="L1001" s="80"/>
      <c r="M1001" s="26"/>
      <c r="N1001" s="26"/>
      <c r="O1001" s="26">
        <f t="shared" si="151"/>
        <v>0</v>
      </c>
      <c r="P1001" s="80"/>
      <c r="Q1001" s="26">
        <f t="shared" si="153"/>
        <v>15241</v>
      </c>
      <c r="R1001" s="26">
        <f t="shared" si="143"/>
        <v>1861</v>
      </c>
      <c r="S1001" s="26">
        <f t="shared" si="144"/>
        <v>17102</v>
      </c>
    </row>
    <row r="1002" spans="2:19" x14ac:dyDescent="0.2">
      <c r="B1002" s="79">
        <f t="shared" si="152"/>
        <v>255</v>
      </c>
      <c r="C1002" s="4"/>
      <c r="D1002" s="4"/>
      <c r="E1002" s="4"/>
      <c r="F1002" s="56" t="s">
        <v>270</v>
      </c>
      <c r="G1002" s="4">
        <v>634</v>
      </c>
      <c r="H1002" s="4" t="s">
        <v>137</v>
      </c>
      <c r="I1002" s="26">
        <v>2337</v>
      </c>
      <c r="J1002" s="26">
        <v>4</v>
      </c>
      <c r="K1002" s="26">
        <f t="shared" si="150"/>
        <v>2341</v>
      </c>
      <c r="L1002" s="80"/>
      <c r="M1002" s="26"/>
      <c r="N1002" s="26"/>
      <c r="O1002" s="26">
        <f t="shared" si="151"/>
        <v>0</v>
      </c>
      <c r="P1002" s="80"/>
      <c r="Q1002" s="26">
        <f t="shared" si="153"/>
        <v>2337</v>
      </c>
      <c r="R1002" s="26">
        <f t="shared" si="143"/>
        <v>4</v>
      </c>
      <c r="S1002" s="26">
        <f t="shared" si="144"/>
        <v>2341</v>
      </c>
    </row>
    <row r="1003" spans="2:19" x14ac:dyDescent="0.2">
      <c r="B1003" s="79">
        <f t="shared" si="152"/>
        <v>256</v>
      </c>
      <c r="C1003" s="4"/>
      <c r="D1003" s="4"/>
      <c r="E1003" s="4"/>
      <c r="F1003" s="56" t="s">
        <v>270</v>
      </c>
      <c r="G1003" s="4">
        <v>635</v>
      </c>
      <c r="H1003" s="4" t="s">
        <v>138</v>
      </c>
      <c r="I1003" s="26">
        <v>4386</v>
      </c>
      <c r="J1003" s="26">
        <v>1100</v>
      </c>
      <c r="K1003" s="26">
        <f t="shared" si="150"/>
        <v>5486</v>
      </c>
      <c r="L1003" s="80"/>
      <c r="M1003" s="26"/>
      <c r="N1003" s="26"/>
      <c r="O1003" s="26">
        <f t="shared" si="151"/>
        <v>0</v>
      </c>
      <c r="P1003" s="80"/>
      <c r="Q1003" s="26">
        <f t="shared" si="153"/>
        <v>4386</v>
      </c>
      <c r="R1003" s="26">
        <f t="shared" si="143"/>
        <v>1100</v>
      </c>
      <c r="S1003" s="26">
        <f t="shared" si="144"/>
        <v>5486</v>
      </c>
    </row>
    <row r="1004" spans="2:19" x14ac:dyDescent="0.2">
      <c r="B1004" s="79">
        <f t="shared" si="152"/>
        <v>257</v>
      </c>
      <c r="C1004" s="4"/>
      <c r="D1004" s="4"/>
      <c r="E1004" s="4"/>
      <c r="F1004" s="56" t="s">
        <v>270</v>
      </c>
      <c r="G1004" s="4">
        <v>637</v>
      </c>
      <c r="H1004" s="4" t="s">
        <v>129</v>
      </c>
      <c r="I1004" s="26">
        <f>9604+3663</f>
        <v>13267</v>
      </c>
      <c r="J1004" s="26">
        <v>-1083</v>
      </c>
      <c r="K1004" s="26">
        <f t="shared" si="150"/>
        <v>12184</v>
      </c>
      <c r="L1004" s="80"/>
      <c r="M1004" s="26"/>
      <c r="N1004" s="26"/>
      <c r="O1004" s="26">
        <f t="shared" si="151"/>
        <v>0</v>
      </c>
      <c r="P1004" s="80"/>
      <c r="Q1004" s="26">
        <f t="shared" si="153"/>
        <v>13267</v>
      </c>
      <c r="R1004" s="26">
        <f t="shared" si="143"/>
        <v>-1083</v>
      </c>
      <c r="S1004" s="26">
        <f t="shared" si="144"/>
        <v>12184</v>
      </c>
    </row>
    <row r="1005" spans="2:19" x14ac:dyDescent="0.2">
      <c r="B1005" s="79">
        <f t="shared" si="152"/>
        <v>258</v>
      </c>
      <c r="C1005" s="15"/>
      <c r="D1005" s="15"/>
      <c r="E1005" s="15"/>
      <c r="F1005" s="55" t="s">
        <v>270</v>
      </c>
      <c r="G1005" s="15">
        <v>640</v>
      </c>
      <c r="H1005" s="15" t="s">
        <v>135</v>
      </c>
      <c r="I1005" s="52">
        <v>147</v>
      </c>
      <c r="J1005" s="52">
        <v>483</v>
      </c>
      <c r="K1005" s="52">
        <f t="shared" si="150"/>
        <v>630</v>
      </c>
      <c r="L1005" s="126"/>
      <c r="M1005" s="52"/>
      <c r="N1005" s="52"/>
      <c r="O1005" s="52">
        <f t="shared" si="151"/>
        <v>0</v>
      </c>
      <c r="P1005" s="126"/>
      <c r="Q1005" s="52">
        <f t="shared" si="153"/>
        <v>147</v>
      </c>
      <c r="R1005" s="52">
        <f t="shared" si="143"/>
        <v>483</v>
      </c>
      <c r="S1005" s="52">
        <f t="shared" si="144"/>
        <v>630</v>
      </c>
    </row>
    <row r="1006" spans="2:19" x14ac:dyDescent="0.2">
      <c r="B1006" s="79">
        <f t="shared" si="152"/>
        <v>259</v>
      </c>
      <c r="C1006" s="15"/>
      <c r="D1006" s="15"/>
      <c r="E1006" s="15"/>
      <c r="F1006" s="55" t="s">
        <v>76</v>
      </c>
      <c r="G1006" s="15">
        <v>630</v>
      </c>
      <c r="H1006" s="15" t="s">
        <v>663</v>
      </c>
      <c r="I1006" s="52">
        <v>19</v>
      </c>
      <c r="J1006" s="52">
        <f>63+33</f>
        <v>96</v>
      </c>
      <c r="K1006" s="52">
        <f t="shared" si="150"/>
        <v>115</v>
      </c>
      <c r="L1006" s="126"/>
      <c r="M1006" s="52"/>
      <c r="N1006" s="52"/>
      <c r="O1006" s="52">
        <f t="shared" si="151"/>
        <v>0</v>
      </c>
      <c r="P1006" s="126"/>
      <c r="Q1006" s="52">
        <f t="shared" si="153"/>
        <v>19</v>
      </c>
      <c r="R1006" s="52">
        <f t="shared" si="143"/>
        <v>96</v>
      </c>
      <c r="S1006" s="52">
        <f t="shared" si="144"/>
        <v>115</v>
      </c>
    </row>
    <row r="1007" spans="2:19" x14ac:dyDescent="0.2">
      <c r="B1007" s="79">
        <f t="shared" si="152"/>
        <v>260</v>
      </c>
      <c r="C1007" s="15"/>
      <c r="D1007" s="15"/>
      <c r="E1007" s="15"/>
      <c r="F1007" s="55"/>
      <c r="G1007" s="15"/>
      <c r="H1007" s="15"/>
      <c r="I1007" s="52"/>
      <c r="J1007" s="52"/>
      <c r="K1007" s="52">
        <f t="shared" si="150"/>
        <v>0</v>
      </c>
      <c r="L1007" s="126"/>
      <c r="M1007" s="52"/>
      <c r="N1007" s="52"/>
      <c r="O1007" s="52">
        <f t="shared" si="151"/>
        <v>0</v>
      </c>
      <c r="P1007" s="126"/>
      <c r="Q1007" s="52"/>
      <c r="R1007" s="52"/>
      <c r="S1007" s="52"/>
    </row>
    <row r="1008" spans="2:19" x14ac:dyDescent="0.2">
      <c r="B1008" s="79">
        <f t="shared" si="152"/>
        <v>261</v>
      </c>
      <c r="C1008" s="15"/>
      <c r="D1008" s="15"/>
      <c r="E1008" s="15"/>
      <c r="F1008" s="55"/>
      <c r="G1008" s="15">
        <v>630</v>
      </c>
      <c r="H1008" s="15" t="s">
        <v>612</v>
      </c>
      <c r="I1008" s="52">
        <v>8576</v>
      </c>
      <c r="J1008" s="52"/>
      <c r="K1008" s="52">
        <f t="shared" si="150"/>
        <v>8576</v>
      </c>
      <c r="L1008" s="126"/>
      <c r="M1008" s="52"/>
      <c r="N1008" s="52"/>
      <c r="O1008" s="52">
        <f t="shared" si="151"/>
        <v>0</v>
      </c>
      <c r="P1008" s="126"/>
      <c r="Q1008" s="52">
        <f t="shared" si="153"/>
        <v>8576</v>
      </c>
      <c r="R1008" s="52">
        <f t="shared" ref="R1008:R1028" si="159">N1008+J1008</f>
        <v>0</v>
      </c>
      <c r="S1008" s="52">
        <f t="shared" ref="S1008:S1028" si="160">O1008+K1008</f>
        <v>8576</v>
      </c>
    </row>
    <row r="1009" spans="2:19" ht="15" x14ac:dyDescent="0.25">
      <c r="B1009" s="79">
        <f t="shared" si="152"/>
        <v>262</v>
      </c>
      <c r="C1009" s="18"/>
      <c r="D1009" s="18"/>
      <c r="E1009" s="18">
        <v>7</v>
      </c>
      <c r="F1009" s="53"/>
      <c r="G1009" s="18"/>
      <c r="H1009" s="18" t="s">
        <v>317</v>
      </c>
      <c r="I1009" s="50">
        <f>I1010+I1011+I1012+I1018+I1019+I1020+I1021+I1027+I1032+I1030+I1028</f>
        <v>1033559</v>
      </c>
      <c r="J1009" s="50">
        <f>J1010+J1011+J1012+J1018+J1019+J1020+J1021+J1027+J1032+J1030+J1028</f>
        <v>9987</v>
      </c>
      <c r="K1009" s="50">
        <f t="shared" si="150"/>
        <v>1043546</v>
      </c>
      <c r="L1009" s="203"/>
      <c r="M1009" s="50">
        <f>M1010+M1011+M1012+M1018+M1019+M1020+M1021+M1027+M1032+M1035</f>
        <v>18000</v>
      </c>
      <c r="N1009" s="50">
        <f>N1010+N1011+N1012+N1018+N1019+N1020+N1021+N1027+N1032+N1035</f>
        <v>0</v>
      </c>
      <c r="O1009" s="50">
        <f t="shared" si="151"/>
        <v>18000</v>
      </c>
      <c r="P1009" s="203"/>
      <c r="Q1009" s="50">
        <f t="shared" si="153"/>
        <v>1051559</v>
      </c>
      <c r="R1009" s="50">
        <f t="shared" si="159"/>
        <v>9987</v>
      </c>
      <c r="S1009" s="50">
        <f t="shared" si="160"/>
        <v>1061546</v>
      </c>
    </row>
    <row r="1010" spans="2:19" x14ac:dyDescent="0.2">
      <c r="B1010" s="79">
        <f t="shared" si="152"/>
        <v>263</v>
      </c>
      <c r="C1010" s="15"/>
      <c r="D1010" s="15"/>
      <c r="E1010" s="15"/>
      <c r="F1010" s="55" t="s">
        <v>126</v>
      </c>
      <c r="G1010" s="15">
        <v>610</v>
      </c>
      <c r="H1010" s="15" t="s">
        <v>136</v>
      </c>
      <c r="I1010" s="52">
        <v>240508</v>
      </c>
      <c r="J1010" s="52">
        <v>17941</v>
      </c>
      <c r="K1010" s="52">
        <f t="shared" si="150"/>
        <v>258449</v>
      </c>
      <c r="L1010" s="126"/>
      <c r="M1010" s="52"/>
      <c r="N1010" s="52"/>
      <c r="O1010" s="52">
        <f t="shared" si="151"/>
        <v>0</v>
      </c>
      <c r="P1010" s="126"/>
      <c r="Q1010" s="52">
        <f t="shared" si="153"/>
        <v>240508</v>
      </c>
      <c r="R1010" s="52">
        <f t="shared" si="159"/>
        <v>17941</v>
      </c>
      <c r="S1010" s="52">
        <f t="shared" si="160"/>
        <v>258449</v>
      </c>
    </row>
    <row r="1011" spans="2:19" x14ac:dyDescent="0.2">
      <c r="B1011" s="79">
        <f t="shared" si="152"/>
        <v>264</v>
      </c>
      <c r="C1011" s="15"/>
      <c r="D1011" s="15"/>
      <c r="E1011" s="15"/>
      <c r="F1011" s="55" t="s">
        <v>126</v>
      </c>
      <c r="G1011" s="15">
        <v>620</v>
      </c>
      <c r="H1011" s="15" t="s">
        <v>131</v>
      </c>
      <c r="I1011" s="52">
        <v>84658</v>
      </c>
      <c r="J1011" s="52">
        <v>3756</v>
      </c>
      <c r="K1011" s="52">
        <f t="shared" si="150"/>
        <v>88414</v>
      </c>
      <c r="L1011" s="126"/>
      <c r="M1011" s="52"/>
      <c r="N1011" s="52"/>
      <c r="O1011" s="52">
        <f t="shared" si="151"/>
        <v>0</v>
      </c>
      <c r="P1011" s="126"/>
      <c r="Q1011" s="52">
        <f t="shared" si="153"/>
        <v>84658</v>
      </c>
      <c r="R1011" s="52">
        <f t="shared" si="159"/>
        <v>3756</v>
      </c>
      <c r="S1011" s="52">
        <f t="shared" si="160"/>
        <v>88414</v>
      </c>
    </row>
    <row r="1012" spans="2:19" x14ac:dyDescent="0.2">
      <c r="B1012" s="79">
        <f t="shared" si="152"/>
        <v>265</v>
      </c>
      <c r="C1012" s="15"/>
      <c r="D1012" s="15"/>
      <c r="E1012" s="15"/>
      <c r="F1012" s="55" t="s">
        <v>126</v>
      </c>
      <c r="G1012" s="15">
        <v>630</v>
      </c>
      <c r="H1012" s="15" t="s">
        <v>128</v>
      </c>
      <c r="I1012" s="52">
        <f>I1017+I1016+I1015+I1014+I1013</f>
        <v>72307</v>
      </c>
      <c r="J1012" s="52">
        <f>J1017+J1016+J1015+J1014+J1013</f>
        <v>-6770</v>
      </c>
      <c r="K1012" s="52">
        <f t="shared" si="150"/>
        <v>65537</v>
      </c>
      <c r="L1012" s="126"/>
      <c r="M1012" s="52">
        <v>0</v>
      </c>
      <c r="N1012" s="52"/>
      <c r="O1012" s="52">
        <f t="shared" si="151"/>
        <v>0</v>
      </c>
      <c r="P1012" s="126"/>
      <c r="Q1012" s="52">
        <f t="shared" si="153"/>
        <v>72307</v>
      </c>
      <c r="R1012" s="52">
        <f t="shared" si="159"/>
        <v>-6770</v>
      </c>
      <c r="S1012" s="52">
        <f t="shared" si="160"/>
        <v>65537</v>
      </c>
    </row>
    <row r="1013" spans="2:19" x14ac:dyDescent="0.2">
      <c r="B1013" s="79">
        <f t="shared" si="152"/>
        <v>266</v>
      </c>
      <c r="C1013" s="4"/>
      <c r="D1013" s="4"/>
      <c r="E1013" s="4"/>
      <c r="F1013" s="56" t="s">
        <v>126</v>
      </c>
      <c r="G1013" s="4">
        <v>631</v>
      </c>
      <c r="H1013" s="4" t="s">
        <v>134</v>
      </c>
      <c r="I1013" s="26">
        <v>113</v>
      </c>
      <c r="J1013" s="26"/>
      <c r="K1013" s="26">
        <f t="shared" ref="K1013:K1077" si="161">I1013+J1013</f>
        <v>113</v>
      </c>
      <c r="L1013" s="80"/>
      <c r="M1013" s="26"/>
      <c r="N1013" s="26"/>
      <c r="O1013" s="26">
        <f t="shared" ref="O1013:O1077" si="162">M1013+N1013</f>
        <v>0</v>
      </c>
      <c r="P1013" s="80"/>
      <c r="Q1013" s="26">
        <f t="shared" si="153"/>
        <v>113</v>
      </c>
      <c r="R1013" s="26">
        <f t="shared" si="159"/>
        <v>0</v>
      </c>
      <c r="S1013" s="26">
        <f t="shared" si="160"/>
        <v>113</v>
      </c>
    </row>
    <row r="1014" spans="2:19" x14ac:dyDescent="0.2">
      <c r="B1014" s="79">
        <f t="shared" ref="B1014:B1078" si="163">B1013+1</f>
        <v>267</v>
      </c>
      <c r="C1014" s="4"/>
      <c r="D1014" s="4"/>
      <c r="E1014" s="4"/>
      <c r="F1014" s="56" t="s">
        <v>126</v>
      </c>
      <c r="G1014" s="4">
        <v>632</v>
      </c>
      <c r="H1014" s="4" t="s">
        <v>139</v>
      </c>
      <c r="I1014" s="26">
        <v>24300</v>
      </c>
      <c r="J1014" s="26">
        <v>-12500</v>
      </c>
      <c r="K1014" s="26">
        <f t="shared" si="161"/>
        <v>11800</v>
      </c>
      <c r="L1014" s="80"/>
      <c r="M1014" s="26"/>
      <c r="N1014" s="26"/>
      <c r="O1014" s="26">
        <f t="shared" si="162"/>
        <v>0</v>
      </c>
      <c r="P1014" s="80"/>
      <c r="Q1014" s="26">
        <f t="shared" si="153"/>
        <v>24300</v>
      </c>
      <c r="R1014" s="26">
        <f t="shared" si="159"/>
        <v>-12500</v>
      </c>
      <c r="S1014" s="26">
        <f t="shared" si="160"/>
        <v>11800</v>
      </c>
    </row>
    <row r="1015" spans="2:19" x14ac:dyDescent="0.2">
      <c r="B1015" s="79">
        <f t="shared" si="163"/>
        <v>268</v>
      </c>
      <c r="C1015" s="4"/>
      <c r="D1015" s="4"/>
      <c r="E1015" s="4"/>
      <c r="F1015" s="56" t="s">
        <v>126</v>
      </c>
      <c r="G1015" s="4">
        <v>633</v>
      </c>
      <c r="H1015" s="4" t="s">
        <v>132</v>
      </c>
      <c r="I1015" s="26">
        <v>23414</v>
      </c>
      <c r="J1015" s="26">
        <v>-370</v>
      </c>
      <c r="K1015" s="26">
        <f t="shared" si="161"/>
        <v>23044</v>
      </c>
      <c r="L1015" s="80"/>
      <c r="M1015" s="26"/>
      <c r="N1015" s="26"/>
      <c r="O1015" s="26">
        <f t="shared" si="162"/>
        <v>0</v>
      </c>
      <c r="P1015" s="80"/>
      <c r="Q1015" s="26">
        <f t="shared" si="153"/>
        <v>23414</v>
      </c>
      <c r="R1015" s="26">
        <f t="shared" si="159"/>
        <v>-370</v>
      </c>
      <c r="S1015" s="26">
        <f t="shared" si="160"/>
        <v>23044</v>
      </c>
    </row>
    <row r="1016" spans="2:19" x14ac:dyDescent="0.2">
      <c r="B1016" s="79">
        <f t="shared" si="163"/>
        <v>269</v>
      </c>
      <c r="C1016" s="4"/>
      <c r="D1016" s="4"/>
      <c r="E1016" s="4"/>
      <c r="F1016" s="56" t="s">
        <v>126</v>
      </c>
      <c r="G1016" s="4">
        <v>635</v>
      </c>
      <c r="H1016" s="4" t="s">
        <v>138</v>
      </c>
      <c r="I1016" s="26">
        <v>10350</v>
      </c>
      <c r="J1016" s="26">
        <v>2500</v>
      </c>
      <c r="K1016" s="26">
        <f t="shared" si="161"/>
        <v>12850</v>
      </c>
      <c r="L1016" s="80"/>
      <c r="M1016" s="26"/>
      <c r="N1016" s="26"/>
      <c r="O1016" s="26">
        <f t="shared" si="162"/>
        <v>0</v>
      </c>
      <c r="P1016" s="80"/>
      <c r="Q1016" s="26">
        <f t="shared" si="153"/>
        <v>10350</v>
      </c>
      <c r="R1016" s="26">
        <f t="shared" si="159"/>
        <v>2500</v>
      </c>
      <c r="S1016" s="26">
        <f t="shared" si="160"/>
        <v>12850</v>
      </c>
    </row>
    <row r="1017" spans="2:19" x14ac:dyDescent="0.2">
      <c r="B1017" s="79">
        <f t="shared" si="163"/>
        <v>270</v>
      </c>
      <c r="C1017" s="4"/>
      <c r="D1017" s="4"/>
      <c r="E1017" s="4"/>
      <c r="F1017" s="56" t="s">
        <v>126</v>
      </c>
      <c r="G1017" s="4">
        <v>637</v>
      </c>
      <c r="H1017" s="4" t="s">
        <v>129</v>
      </c>
      <c r="I1017" s="26">
        <v>14130</v>
      </c>
      <c r="J1017" s="26">
        <v>3600</v>
      </c>
      <c r="K1017" s="26">
        <f t="shared" si="161"/>
        <v>17730</v>
      </c>
      <c r="L1017" s="80"/>
      <c r="M1017" s="26"/>
      <c r="N1017" s="26"/>
      <c r="O1017" s="26">
        <f t="shared" si="162"/>
        <v>0</v>
      </c>
      <c r="P1017" s="80"/>
      <c r="Q1017" s="26">
        <f t="shared" si="153"/>
        <v>14130</v>
      </c>
      <c r="R1017" s="26">
        <f t="shared" si="159"/>
        <v>3600</v>
      </c>
      <c r="S1017" s="26">
        <f t="shared" si="160"/>
        <v>17730</v>
      </c>
    </row>
    <row r="1018" spans="2:19" x14ac:dyDescent="0.2">
      <c r="B1018" s="79">
        <f t="shared" si="163"/>
        <v>271</v>
      </c>
      <c r="C1018" s="15"/>
      <c r="D1018" s="15"/>
      <c r="E1018" s="15"/>
      <c r="F1018" s="55" t="s">
        <v>126</v>
      </c>
      <c r="G1018" s="15">
        <v>640</v>
      </c>
      <c r="H1018" s="15" t="s">
        <v>135</v>
      </c>
      <c r="I1018" s="52">
        <v>653</v>
      </c>
      <c r="J1018" s="52">
        <v>250</v>
      </c>
      <c r="K1018" s="52">
        <f t="shared" si="161"/>
        <v>903</v>
      </c>
      <c r="L1018" s="126"/>
      <c r="M1018" s="52"/>
      <c r="N1018" s="52"/>
      <c r="O1018" s="52">
        <f t="shared" si="162"/>
        <v>0</v>
      </c>
      <c r="P1018" s="126"/>
      <c r="Q1018" s="52">
        <f t="shared" si="153"/>
        <v>653</v>
      </c>
      <c r="R1018" s="52">
        <f t="shared" si="159"/>
        <v>250</v>
      </c>
      <c r="S1018" s="52">
        <f t="shared" si="160"/>
        <v>903</v>
      </c>
    </row>
    <row r="1019" spans="2:19" x14ac:dyDescent="0.2">
      <c r="B1019" s="79">
        <f t="shared" si="163"/>
        <v>272</v>
      </c>
      <c r="C1019" s="15"/>
      <c r="D1019" s="15"/>
      <c r="E1019" s="15"/>
      <c r="F1019" s="55" t="s">
        <v>250</v>
      </c>
      <c r="G1019" s="15">
        <v>610</v>
      </c>
      <c r="H1019" s="15" t="s">
        <v>136</v>
      </c>
      <c r="I1019" s="52">
        <v>384940</v>
      </c>
      <c r="J1019" s="52">
        <v>6446</v>
      </c>
      <c r="K1019" s="52">
        <f t="shared" si="161"/>
        <v>391386</v>
      </c>
      <c r="L1019" s="126"/>
      <c r="M1019" s="52"/>
      <c r="N1019" s="52"/>
      <c r="O1019" s="52">
        <f t="shared" si="162"/>
        <v>0</v>
      </c>
      <c r="P1019" s="126"/>
      <c r="Q1019" s="52">
        <f t="shared" si="153"/>
        <v>384940</v>
      </c>
      <c r="R1019" s="52">
        <f t="shared" si="159"/>
        <v>6446</v>
      </c>
      <c r="S1019" s="52">
        <f t="shared" si="160"/>
        <v>391386</v>
      </c>
    </row>
    <row r="1020" spans="2:19" x14ac:dyDescent="0.2">
      <c r="B1020" s="79">
        <f t="shared" si="163"/>
        <v>273</v>
      </c>
      <c r="C1020" s="15"/>
      <c r="D1020" s="15"/>
      <c r="E1020" s="15"/>
      <c r="F1020" s="55" t="s">
        <v>270</v>
      </c>
      <c r="G1020" s="15">
        <v>620</v>
      </c>
      <c r="H1020" s="15" t="s">
        <v>131</v>
      </c>
      <c r="I1020" s="52">
        <v>135501</v>
      </c>
      <c r="J1020" s="52">
        <v>2879</v>
      </c>
      <c r="K1020" s="52">
        <f t="shared" si="161"/>
        <v>138380</v>
      </c>
      <c r="L1020" s="126"/>
      <c r="M1020" s="52"/>
      <c r="N1020" s="52"/>
      <c r="O1020" s="52">
        <f t="shared" si="162"/>
        <v>0</v>
      </c>
      <c r="P1020" s="126"/>
      <c r="Q1020" s="52">
        <f t="shared" si="153"/>
        <v>135501</v>
      </c>
      <c r="R1020" s="52">
        <f t="shared" si="159"/>
        <v>2879</v>
      </c>
      <c r="S1020" s="52">
        <f t="shared" si="160"/>
        <v>138380</v>
      </c>
    </row>
    <row r="1021" spans="2:19" x14ac:dyDescent="0.2">
      <c r="B1021" s="79">
        <f t="shared" si="163"/>
        <v>274</v>
      </c>
      <c r="C1021" s="15"/>
      <c r="D1021" s="15"/>
      <c r="E1021" s="15"/>
      <c r="F1021" s="55" t="s">
        <v>270</v>
      </c>
      <c r="G1021" s="15">
        <v>630</v>
      </c>
      <c r="H1021" s="15" t="s">
        <v>128</v>
      </c>
      <c r="I1021" s="52">
        <f>I1026+I1025+I1024+I1023+I1022</f>
        <v>110109</v>
      </c>
      <c r="J1021" s="52">
        <f>J1026+J1025+J1024+J1023+J1022</f>
        <v>-15300</v>
      </c>
      <c r="K1021" s="52">
        <f t="shared" si="161"/>
        <v>94809</v>
      </c>
      <c r="L1021" s="126"/>
      <c r="M1021" s="52">
        <f>M1026+M1025+M1024+M1023+M1022</f>
        <v>0</v>
      </c>
      <c r="N1021" s="52">
        <f>N1026+N1025+N1024+N1023+N1022</f>
        <v>0</v>
      </c>
      <c r="O1021" s="52">
        <f t="shared" si="162"/>
        <v>0</v>
      </c>
      <c r="P1021" s="126"/>
      <c r="Q1021" s="52">
        <f t="shared" si="153"/>
        <v>110109</v>
      </c>
      <c r="R1021" s="52">
        <f t="shared" si="159"/>
        <v>-15300</v>
      </c>
      <c r="S1021" s="52">
        <f t="shared" si="160"/>
        <v>94809</v>
      </c>
    </row>
    <row r="1022" spans="2:19" x14ac:dyDescent="0.2">
      <c r="B1022" s="79">
        <f t="shared" si="163"/>
        <v>275</v>
      </c>
      <c r="C1022" s="4"/>
      <c r="D1022" s="4"/>
      <c r="E1022" s="4"/>
      <c r="F1022" s="56" t="s">
        <v>270</v>
      </c>
      <c r="G1022" s="4">
        <v>631</v>
      </c>
      <c r="H1022" s="4" t="s">
        <v>134</v>
      </c>
      <c r="I1022" s="26">
        <v>137</v>
      </c>
      <c r="J1022" s="26">
        <v>100</v>
      </c>
      <c r="K1022" s="26">
        <f t="shared" si="161"/>
        <v>237</v>
      </c>
      <c r="L1022" s="80"/>
      <c r="M1022" s="26"/>
      <c r="N1022" s="26"/>
      <c r="O1022" s="26">
        <f t="shared" si="162"/>
        <v>0</v>
      </c>
      <c r="P1022" s="80"/>
      <c r="Q1022" s="26">
        <f t="shared" si="153"/>
        <v>137</v>
      </c>
      <c r="R1022" s="26">
        <f t="shared" si="159"/>
        <v>100</v>
      </c>
      <c r="S1022" s="26">
        <f t="shared" si="160"/>
        <v>237</v>
      </c>
    </row>
    <row r="1023" spans="2:19" x14ac:dyDescent="0.2">
      <c r="B1023" s="79">
        <f t="shared" si="163"/>
        <v>276</v>
      </c>
      <c r="C1023" s="4"/>
      <c r="D1023" s="4"/>
      <c r="E1023" s="4"/>
      <c r="F1023" s="56" t="s">
        <v>270</v>
      </c>
      <c r="G1023" s="4">
        <v>632</v>
      </c>
      <c r="H1023" s="4" t="s">
        <v>139</v>
      </c>
      <c r="I1023" s="26">
        <v>31700</v>
      </c>
      <c r="J1023" s="26">
        <v>-17500</v>
      </c>
      <c r="K1023" s="26">
        <f t="shared" si="161"/>
        <v>14200</v>
      </c>
      <c r="L1023" s="80"/>
      <c r="M1023" s="26"/>
      <c r="N1023" s="26"/>
      <c r="O1023" s="26">
        <f t="shared" si="162"/>
        <v>0</v>
      </c>
      <c r="P1023" s="80"/>
      <c r="Q1023" s="26">
        <f t="shared" si="153"/>
        <v>31700</v>
      </c>
      <c r="R1023" s="26">
        <f t="shared" si="159"/>
        <v>-17500</v>
      </c>
      <c r="S1023" s="26">
        <f t="shared" si="160"/>
        <v>14200</v>
      </c>
    </row>
    <row r="1024" spans="2:19" x14ac:dyDescent="0.2">
      <c r="B1024" s="79">
        <f t="shared" si="163"/>
        <v>277</v>
      </c>
      <c r="C1024" s="4"/>
      <c r="D1024" s="4"/>
      <c r="E1024" s="4"/>
      <c r="F1024" s="56" t="s">
        <v>270</v>
      </c>
      <c r="G1024" s="4">
        <v>633</v>
      </c>
      <c r="H1024" s="4" t="s">
        <v>132</v>
      </c>
      <c r="I1024" s="26">
        <f>38552+200</f>
        <v>38752</v>
      </c>
      <c r="J1024" s="26">
        <v>-7300</v>
      </c>
      <c r="K1024" s="26">
        <f t="shared" si="161"/>
        <v>31452</v>
      </c>
      <c r="L1024" s="80"/>
      <c r="M1024" s="26"/>
      <c r="N1024" s="26"/>
      <c r="O1024" s="26">
        <f t="shared" si="162"/>
        <v>0</v>
      </c>
      <c r="P1024" s="80"/>
      <c r="Q1024" s="26">
        <f t="shared" si="153"/>
        <v>38752</v>
      </c>
      <c r="R1024" s="26">
        <f t="shared" si="159"/>
        <v>-7300</v>
      </c>
      <c r="S1024" s="26">
        <f t="shared" si="160"/>
        <v>31452</v>
      </c>
    </row>
    <row r="1025" spans="2:19" x14ac:dyDescent="0.2">
      <c r="B1025" s="79">
        <f t="shared" si="163"/>
        <v>278</v>
      </c>
      <c r="C1025" s="4"/>
      <c r="D1025" s="4"/>
      <c r="E1025" s="4"/>
      <c r="F1025" s="56" t="s">
        <v>270</v>
      </c>
      <c r="G1025" s="4">
        <v>635</v>
      </c>
      <c r="H1025" s="4" t="s">
        <v>138</v>
      </c>
      <c r="I1025" s="26">
        <v>12650</v>
      </c>
      <c r="J1025" s="26">
        <v>2500</v>
      </c>
      <c r="K1025" s="26">
        <f t="shared" si="161"/>
        <v>15150</v>
      </c>
      <c r="L1025" s="80"/>
      <c r="M1025" s="26"/>
      <c r="N1025" s="26"/>
      <c r="O1025" s="26">
        <f t="shared" si="162"/>
        <v>0</v>
      </c>
      <c r="P1025" s="80"/>
      <c r="Q1025" s="26">
        <f t="shared" si="153"/>
        <v>12650</v>
      </c>
      <c r="R1025" s="26">
        <f t="shared" si="159"/>
        <v>2500</v>
      </c>
      <c r="S1025" s="26">
        <f t="shared" si="160"/>
        <v>15150</v>
      </c>
    </row>
    <row r="1026" spans="2:19" x14ac:dyDescent="0.2">
      <c r="B1026" s="79">
        <f t="shared" si="163"/>
        <v>279</v>
      </c>
      <c r="C1026" s="4"/>
      <c r="D1026" s="4"/>
      <c r="E1026" s="4"/>
      <c r="F1026" s="56" t="s">
        <v>270</v>
      </c>
      <c r="G1026" s="4">
        <v>637</v>
      </c>
      <c r="H1026" s="4" t="s">
        <v>129</v>
      </c>
      <c r="I1026" s="26">
        <f>17270+9600</f>
        <v>26870</v>
      </c>
      <c r="J1026" s="26">
        <v>6900</v>
      </c>
      <c r="K1026" s="26">
        <f t="shared" si="161"/>
        <v>33770</v>
      </c>
      <c r="L1026" s="80"/>
      <c r="M1026" s="26"/>
      <c r="N1026" s="26"/>
      <c r="O1026" s="26">
        <f t="shared" si="162"/>
        <v>0</v>
      </c>
      <c r="P1026" s="80"/>
      <c r="Q1026" s="26">
        <f t="shared" si="153"/>
        <v>26870</v>
      </c>
      <c r="R1026" s="26">
        <f t="shared" si="159"/>
        <v>6900</v>
      </c>
      <c r="S1026" s="26">
        <f t="shared" si="160"/>
        <v>33770</v>
      </c>
    </row>
    <row r="1027" spans="2:19" x14ac:dyDescent="0.2">
      <c r="B1027" s="79">
        <f t="shared" si="163"/>
        <v>280</v>
      </c>
      <c r="C1027" s="15"/>
      <c r="D1027" s="15"/>
      <c r="E1027" s="15"/>
      <c r="F1027" s="55" t="s">
        <v>270</v>
      </c>
      <c r="G1027" s="15">
        <v>640</v>
      </c>
      <c r="H1027" s="15" t="s">
        <v>135</v>
      </c>
      <c r="I1027" s="52">
        <v>797</v>
      </c>
      <c r="J1027" s="52">
        <v>1215</v>
      </c>
      <c r="K1027" s="52">
        <f t="shared" si="161"/>
        <v>2012</v>
      </c>
      <c r="L1027" s="126"/>
      <c r="M1027" s="52"/>
      <c r="N1027" s="52"/>
      <c r="O1027" s="52">
        <f t="shared" si="162"/>
        <v>0</v>
      </c>
      <c r="P1027" s="126"/>
      <c r="Q1027" s="52">
        <f t="shared" si="153"/>
        <v>797</v>
      </c>
      <c r="R1027" s="52">
        <f t="shared" si="159"/>
        <v>1215</v>
      </c>
      <c r="S1027" s="52">
        <f t="shared" si="160"/>
        <v>2012</v>
      </c>
    </row>
    <row r="1028" spans="2:19" x14ac:dyDescent="0.2">
      <c r="B1028" s="79">
        <f t="shared" si="163"/>
        <v>281</v>
      </c>
      <c r="C1028" s="15"/>
      <c r="D1028" s="15"/>
      <c r="E1028" s="15"/>
      <c r="F1028" s="55" t="s">
        <v>76</v>
      </c>
      <c r="G1028" s="15">
        <v>630</v>
      </c>
      <c r="H1028" s="15" t="s">
        <v>663</v>
      </c>
      <c r="I1028" s="52">
        <v>946</v>
      </c>
      <c r="J1028" s="52">
        <v>-430</v>
      </c>
      <c r="K1028" s="52">
        <f t="shared" si="161"/>
        <v>516</v>
      </c>
      <c r="L1028" s="126"/>
      <c r="M1028" s="52"/>
      <c r="N1028" s="52"/>
      <c r="O1028" s="52">
        <f t="shared" si="162"/>
        <v>0</v>
      </c>
      <c r="P1028" s="126"/>
      <c r="Q1028" s="52">
        <f t="shared" si="153"/>
        <v>946</v>
      </c>
      <c r="R1028" s="52">
        <f t="shared" si="159"/>
        <v>-430</v>
      </c>
      <c r="S1028" s="52">
        <f t="shared" si="160"/>
        <v>516</v>
      </c>
    </row>
    <row r="1029" spans="2:19" x14ac:dyDescent="0.2">
      <c r="B1029" s="79">
        <f t="shared" si="163"/>
        <v>282</v>
      </c>
      <c r="C1029" s="15"/>
      <c r="D1029" s="15"/>
      <c r="E1029" s="15"/>
      <c r="F1029" s="55"/>
      <c r="G1029" s="15"/>
      <c r="H1029" s="15"/>
      <c r="I1029" s="52"/>
      <c r="J1029" s="52"/>
      <c r="K1029" s="52">
        <f t="shared" si="161"/>
        <v>0</v>
      </c>
      <c r="L1029" s="126"/>
      <c r="M1029" s="52"/>
      <c r="N1029" s="52"/>
      <c r="O1029" s="52">
        <f t="shared" si="162"/>
        <v>0</v>
      </c>
      <c r="P1029" s="126"/>
      <c r="Q1029" s="52"/>
      <c r="R1029" s="52"/>
      <c r="S1029" s="52"/>
    </row>
    <row r="1030" spans="2:19" x14ac:dyDescent="0.2">
      <c r="B1030" s="79">
        <f t="shared" si="163"/>
        <v>283</v>
      </c>
      <c r="C1030" s="15"/>
      <c r="D1030" s="15"/>
      <c r="E1030" s="15"/>
      <c r="F1030" s="55"/>
      <c r="G1030" s="15">
        <v>630</v>
      </c>
      <c r="H1030" s="15" t="s">
        <v>612</v>
      </c>
      <c r="I1030" s="52">
        <v>3140</v>
      </c>
      <c r="J1030" s="52"/>
      <c r="K1030" s="52">
        <f t="shared" si="161"/>
        <v>3140</v>
      </c>
      <c r="L1030" s="126"/>
      <c r="M1030" s="52"/>
      <c r="N1030" s="52"/>
      <c r="O1030" s="52">
        <f t="shared" si="162"/>
        <v>0</v>
      </c>
      <c r="P1030" s="126"/>
      <c r="Q1030" s="52">
        <f t="shared" ref="Q1030" si="164">M1030+I1030</f>
        <v>3140</v>
      </c>
      <c r="R1030" s="52">
        <f t="shared" ref="R1030" si="165">N1030+J1030</f>
        <v>0</v>
      </c>
      <c r="S1030" s="52">
        <f t="shared" ref="S1030" si="166">O1030+K1030</f>
        <v>3140</v>
      </c>
    </row>
    <row r="1031" spans="2:19" x14ac:dyDescent="0.2">
      <c r="B1031" s="79">
        <f t="shared" si="163"/>
        <v>284</v>
      </c>
      <c r="C1031" s="15"/>
      <c r="D1031" s="15"/>
      <c r="E1031" s="15"/>
      <c r="F1031" s="55"/>
      <c r="G1031" s="15"/>
      <c r="H1031" s="15"/>
      <c r="I1031" s="52"/>
      <c r="J1031" s="52"/>
      <c r="K1031" s="52">
        <f t="shared" si="161"/>
        <v>0</v>
      </c>
      <c r="L1031" s="126"/>
      <c r="M1031" s="52"/>
      <c r="N1031" s="52"/>
      <c r="O1031" s="52">
        <f t="shared" si="162"/>
        <v>0</v>
      </c>
      <c r="P1031" s="126"/>
      <c r="Q1031" s="52"/>
      <c r="R1031" s="52"/>
      <c r="S1031" s="52"/>
    </row>
    <row r="1032" spans="2:19" x14ac:dyDescent="0.2">
      <c r="B1032" s="79">
        <f t="shared" si="163"/>
        <v>285</v>
      </c>
      <c r="C1032" s="15"/>
      <c r="D1032" s="15"/>
      <c r="E1032" s="15"/>
      <c r="F1032" s="55" t="s">
        <v>126</v>
      </c>
      <c r="G1032" s="15">
        <v>710</v>
      </c>
      <c r="H1032" s="15" t="s">
        <v>184</v>
      </c>
      <c r="I1032" s="52">
        <v>0</v>
      </c>
      <c r="J1032" s="52">
        <v>0</v>
      </c>
      <c r="K1032" s="52">
        <f t="shared" si="161"/>
        <v>0</v>
      </c>
      <c r="L1032" s="126"/>
      <c r="M1032" s="52">
        <f>M1033</f>
        <v>5000</v>
      </c>
      <c r="N1032" s="52">
        <f>N1033</f>
        <v>0</v>
      </c>
      <c r="O1032" s="52">
        <f t="shared" si="162"/>
        <v>5000</v>
      </c>
      <c r="P1032" s="126"/>
      <c r="Q1032" s="52">
        <f t="shared" si="153"/>
        <v>5000</v>
      </c>
      <c r="R1032" s="52">
        <f t="shared" ref="R1032:R1035" si="167">N1032+J1032</f>
        <v>0</v>
      </c>
      <c r="S1032" s="52">
        <f t="shared" ref="S1032:S1035" si="168">O1032+K1032</f>
        <v>5000</v>
      </c>
    </row>
    <row r="1033" spans="2:19" x14ac:dyDescent="0.2">
      <c r="B1033" s="79">
        <f t="shared" si="163"/>
        <v>286</v>
      </c>
      <c r="C1033" s="4"/>
      <c r="D1033" s="4"/>
      <c r="E1033" s="4"/>
      <c r="F1033" s="89" t="s">
        <v>126</v>
      </c>
      <c r="G1033" s="90">
        <v>716</v>
      </c>
      <c r="H1033" s="90" t="s">
        <v>0</v>
      </c>
      <c r="I1033" s="91"/>
      <c r="J1033" s="91"/>
      <c r="K1033" s="91">
        <f t="shared" si="161"/>
        <v>0</v>
      </c>
      <c r="L1033" s="80"/>
      <c r="M1033" s="91">
        <f>SUM(M1034:M1034)</f>
        <v>5000</v>
      </c>
      <c r="N1033" s="91">
        <f>SUM(N1034:N1034)</f>
        <v>0</v>
      </c>
      <c r="O1033" s="91">
        <f t="shared" si="162"/>
        <v>5000</v>
      </c>
      <c r="P1033" s="80"/>
      <c r="Q1033" s="91">
        <f t="shared" si="153"/>
        <v>5000</v>
      </c>
      <c r="R1033" s="91">
        <f t="shared" si="167"/>
        <v>0</v>
      </c>
      <c r="S1033" s="91">
        <f t="shared" si="168"/>
        <v>5000</v>
      </c>
    </row>
    <row r="1034" spans="2:19" x14ac:dyDescent="0.2">
      <c r="B1034" s="79">
        <f t="shared" si="163"/>
        <v>287</v>
      </c>
      <c r="C1034" s="4"/>
      <c r="D1034" s="4"/>
      <c r="E1034" s="4"/>
      <c r="F1034" s="68"/>
      <c r="G1034" s="64"/>
      <c r="H1034" s="64" t="s">
        <v>511</v>
      </c>
      <c r="I1034" s="62"/>
      <c r="J1034" s="62"/>
      <c r="K1034" s="62">
        <f t="shared" si="161"/>
        <v>0</v>
      </c>
      <c r="L1034" s="80"/>
      <c r="M1034" s="62">
        <v>5000</v>
      </c>
      <c r="N1034" s="62"/>
      <c r="O1034" s="62">
        <f t="shared" si="162"/>
        <v>5000</v>
      </c>
      <c r="P1034" s="80"/>
      <c r="Q1034" s="26">
        <f t="shared" si="153"/>
        <v>5000</v>
      </c>
      <c r="R1034" s="26">
        <f t="shared" si="167"/>
        <v>0</v>
      </c>
      <c r="S1034" s="26">
        <f t="shared" si="168"/>
        <v>5000</v>
      </c>
    </row>
    <row r="1035" spans="2:19" x14ac:dyDescent="0.2">
      <c r="B1035" s="79">
        <f t="shared" si="163"/>
        <v>288</v>
      </c>
      <c r="C1035" s="4"/>
      <c r="D1035" s="4"/>
      <c r="E1035" s="4"/>
      <c r="F1035" s="55" t="s">
        <v>270</v>
      </c>
      <c r="G1035" s="15">
        <v>710</v>
      </c>
      <c r="H1035" s="15" t="s">
        <v>184</v>
      </c>
      <c r="I1035" s="52">
        <v>0</v>
      </c>
      <c r="J1035" s="52">
        <v>0</v>
      </c>
      <c r="K1035" s="52">
        <f t="shared" si="161"/>
        <v>0</v>
      </c>
      <c r="L1035" s="126"/>
      <c r="M1035" s="52">
        <f>M1036</f>
        <v>13000</v>
      </c>
      <c r="N1035" s="52">
        <f>N1036</f>
        <v>0</v>
      </c>
      <c r="O1035" s="52">
        <f t="shared" si="162"/>
        <v>13000</v>
      </c>
      <c r="P1035" s="126"/>
      <c r="Q1035" s="52">
        <f t="shared" si="153"/>
        <v>13000</v>
      </c>
      <c r="R1035" s="52">
        <f t="shared" si="167"/>
        <v>0</v>
      </c>
      <c r="S1035" s="52">
        <f t="shared" si="168"/>
        <v>13000</v>
      </c>
    </row>
    <row r="1036" spans="2:19" x14ac:dyDescent="0.2">
      <c r="B1036" s="79">
        <f t="shared" si="163"/>
        <v>289</v>
      </c>
      <c r="C1036" s="4"/>
      <c r="D1036" s="4"/>
      <c r="E1036" s="4"/>
      <c r="F1036" s="89" t="s">
        <v>270</v>
      </c>
      <c r="G1036" s="90">
        <v>717</v>
      </c>
      <c r="H1036" s="90" t="s">
        <v>194</v>
      </c>
      <c r="I1036" s="91"/>
      <c r="J1036" s="91"/>
      <c r="K1036" s="91">
        <f t="shared" si="161"/>
        <v>0</v>
      </c>
      <c r="L1036" s="80"/>
      <c r="M1036" s="91">
        <f>SUM(M1037:M1058)</f>
        <v>13000</v>
      </c>
      <c r="N1036" s="91">
        <f>SUM(N1037:N1058)</f>
        <v>0</v>
      </c>
      <c r="O1036" s="91">
        <f t="shared" si="162"/>
        <v>13000</v>
      </c>
      <c r="P1036" s="80"/>
      <c r="Q1036" s="91">
        <f t="shared" ref="Q1036" si="169">I1036+M1036</f>
        <v>13000</v>
      </c>
      <c r="R1036" s="91">
        <f t="shared" ref="R1036:R1038" si="170">J1036+N1036</f>
        <v>0</v>
      </c>
      <c r="S1036" s="91">
        <f t="shared" ref="S1036:S1038" si="171">K1036+O1036</f>
        <v>13000</v>
      </c>
    </row>
    <row r="1037" spans="2:19" x14ac:dyDescent="0.2">
      <c r="B1037" s="79">
        <f t="shared" si="163"/>
        <v>290</v>
      </c>
      <c r="C1037" s="4"/>
      <c r="D1037" s="4"/>
      <c r="E1037" s="4"/>
      <c r="F1037" s="68"/>
      <c r="G1037" s="64"/>
      <c r="H1037" s="64" t="s">
        <v>517</v>
      </c>
      <c r="I1037" s="62"/>
      <c r="J1037" s="62"/>
      <c r="K1037" s="62">
        <f t="shared" si="161"/>
        <v>0</v>
      </c>
      <c r="L1037" s="80"/>
      <c r="M1037" s="62">
        <v>1000</v>
      </c>
      <c r="N1037" s="62"/>
      <c r="O1037" s="62">
        <f t="shared" si="162"/>
        <v>1000</v>
      </c>
      <c r="P1037" s="80"/>
      <c r="Q1037" s="26">
        <f>I1037+M1037</f>
        <v>1000</v>
      </c>
      <c r="R1037" s="26">
        <f t="shared" si="170"/>
        <v>0</v>
      </c>
      <c r="S1037" s="26">
        <f t="shared" si="171"/>
        <v>1000</v>
      </c>
    </row>
    <row r="1038" spans="2:19" x14ac:dyDescent="0.2">
      <c r="B1038" s="79">
        <f t="shared" si="163"/>
        <v>291</v>
      </c>
      <c r="C1038" s="4"/>
      <c r="D1038" s="4"/>
      <c r="E1038" s="4"/>
      <c r="F1038" s="68"/>
      <c r="G1038" s="64"/>
      <c r="H1038" s="64" t="s">
        <v>671</v>
      </c>
      <c r="I1038" s="62"/>
      <c r="J1038" s="62"/>
      <c r="K1038" s="62">
        <f t="shared" si="161"/>
        <v>0</v>
      </c>
      <c r="L1038" s="80"/>
      <c r="M1038" s="62">
        <v>12000</v>
      </c>
      <c r="N1038" s="62"/>
      <c r="O1038" s="62">
        <f t="shared" si="162"/>
        <v>12000</v>
      </c>
      <c r="P1038" s="80"/>
      <c r="Q1038" s="26">
        <f>I1038+M1038</f>
        <v>12000</v>
      </c>
      <c r="R1038" s="26">
        <f t="shared" si="170"/>
        <v>0</v>
      </c>
      <c r="S1038" s="26">
        <f t="shared" si="171"/>
        <v>12000</v>
      </c>
    </row>
    <row r="1039" spans="2:19" ht="15" x14ac:dyDescent="0.25">
      <c r="B1039" s="79">
        <f t="shared" si="163"/>
        <v>292</v>
      </c>
      <c r="C1039" s="18"/>
      <c r="D1039" s="18"/>
      <c r="E1039" s="18">
        <v>8</v>
      </c>
      <c r="F1039" s="53"/>
      <c r="G1039" s="18"/>
      <c r="H1039" s="18" t="s">
        <v>315</v>
      </c>
      <c r="I1039" s="50">
        <f>I1040+I1041+I1042+I1048+I1049+I1050+I1051+I1058+I1061+I1059</f>
        <v>1467608</v>
      </c>
      <c r="J1039" s="50">
        <f>J1040+J1041+J1042+J1048+J1049+J1050+J1051+J1058+J1061+J1059</f>
        <v>6708</v>
      </c>
      <c r="K1039" s="50">
        <f t="shared" si="161"/>
        <v>1474316</v>
      </c>
      <c r="L1039" s="203"/>
      <c r="M1039" s="50">
        <v>0</v>
      </c>
      <c r="N1039" s="50">
        <v>0</v>
      </c>
      <c r="O1039" s="50">
        <f t="shared" si="162"/>
        <v>0</v>
      </c>
      <c r="P1039" s="203"/>
      <c r="Q1039" s="50">
        <f t="shared" si="153"/>
        <v>1467608</v>
      </c>
      <c r="R1039" s="50">
        <f t="shared" ref="R1039:R1059" si="172">N1039+J1039</f>
        <v>6708</v>
      </c>
      <c r="S1039" s="50">
        <f t="shared" ref="S1039:S1059" si="173">O1039+K1039</f>
        <v>1474316</v>
      </c>
    </row>
    <row r="1040" spans="2:19" x14ac:dyDescent="0.2">
      <c r="B1040" s="79">
        <f t="shared" si="163"/>
        <v>293</v>
      </c>
      <c r="C1040" s="15"/>
      <c r="D1040" s="15"/>
      <c r="E1040" s="15"/>
      <c r="F1040" s="55" t="s">
        <v>126</v>
      </c>
      <c r="G1040" s="15">
        <v>610</v>
      </c>
      <c r="H1040" s="15" t="s">
        <v>136</v>
      </c>
      <c r="I1040" s="52">
        <v>334950</v>
      </c>
      <c r="J1040" s="52">
        <v>-19762</v>
      </c>
      <c r="K1040" s="52">
        <f t="shared" si="161"/>
        <v>315188</v>
      </c>
      <c r="L1040" s="126"/>
      <c r="M1040" s="52"/>
      <c r="N1040" s="52"/>
      <c r="O1040" s="52">
        <f t="shared" si="162"/>
        <v>0</v>
      </c>
      <c r="P1040" s="126"/>
      <c r="Q1040" s="52">
        <f t="shared" ref="Q1040:Q1125" si="174">M1040+I1040</f>
        <v>334950</v>
      </c>
      <c r="R1040" s="52">
        <f t="shared" si="172"/>
        <v>-19762</v>
      </c>
      <c r="S1040" s="52">
        <f t="shared" si="173"/>
        <v>315188</v>
      </c>
    </row>
    <row r="1041" spans="2:19" x14ac:dyDescent="0.2">
      <c r="B1041" s="79">
        <f t="shared" si="163"/>
        <v>294</v>
      </c>
      <c r="C1041" s="15"/>
      <c r="D1041" s="15"/>
      <c r="E1041" s="15"/>
      <c r="F1041" s="55" t="s">
        <v>126</v>
      </c>
      <c r="G1041" s="15">
        <v>620</v>
      </c>
      <c r="H1041" s="15" t="s">
        <v>131</v>
      </c>
      <c r="I1041" s="52">
        <v>117190</v>
      </c>
      <c r="J1041" s="52">
        <v>-6916</v>
      </c>
      <c r="K1041" s="52">
        <f t="shared" si="161"/>
        <v>110274</v>
      </c>
      <c r="L1041" s="126"/>
      <c r="M1041" s="52"/>
      <c r="N1041" s="52"/>
      <c r="O1041" s="52">
        <f t="shared" si="162"/>
        <v>0</v>
      </c>
      <c r="P1041" s="126"/>
      <c r="Q1041" s="52">
        <f t="shared" si="174"/>
        <v>117190</v>
      </c>
      <c r="R1041" s="52">
        <f t="shared" si="172"/>
        <v>-6916</v>
      </c>
      <c r="S1041" s="52">
        <f t="shared" si="173"/>
        <v>110274</v>
      </c>
    </row>
    <row r="1042" spans="2:19" x14ac:dyDescent="0.2">
      <c r="B1042" s="79">
        <f t="shared" si="163"/>
        <v>295</v>
      </c>
      <c r="C1042" s="15"/>
      <c r="D1042" s="15"/>
      <c r="E1042" s="15"/>
      <c r="F1042" s="55" t="s">
        <v>126</v>
      </c>
      <c r="G1042" s="15">
        <v>630</v>
      </c>
      <c r="H1042" s="15" t="s">
        <v>128</v>
      </c>
      <c r="I1042" s="52">
        <f>I1047+I1046+I1045+I1044+I1043</f>
        <v>90387</v>
      </c>
      <c r="J1042" s="52">
        <f>J1047+J1046+J1045+J1044+J1043</f>
        <v>-12199</v>
      </c>
      <c r="K1042" s="52">
        <f t="shared" si="161"/>
        <v>78188</v>
      </c>
      <c r="L1042" s="126"/>
      <c r="M1042" s="52">
        <v>0</v>
      </c>
      <c r="N1042" s="52">
        <v>0</v>
      </c>
      <c r="O1042" s="52">
        <f t="shared" si="162"/>
        <v>0</v>
      </c>
      <c r="P1042" s="126"/>
      <c r="Q1042" s="52">
        <f t="shared" si="174"/>
        <v>90387</v>
      </c>
      <c r="R1042" s="52">
        <f t="shared" si="172"/>
        <v>-12199</v>
      </c>
      <c r="S1042" s="52">
        <f t="shared" si="173"/>
        <v>78188</v>
      </c>
    </row>
    <row r="1043" spans="2:19" x14ac:dyDescent="0.2">
      <c r="B1043" s="79">
        <f t="shared" si="163"/>
        <v>296</v>
      </c>
      <c r="C1043" s="4"/>
      <c r="D1043" s="4"/>
      <c r="E1043" s="4"/>
      <c r="F1043" s="56" t="s">
        <v>126</v>
      </c>
      <c r="G1043" s="4">
        <v>631</v>
      </c>
      <c r="H1043" s="4" t="s">
        <v>134</v>
      </c>
      <c r="I1043" s="26">
        <v>20</v>
      </c>
      <c r="J1043" s="26">
        <v>-20</v>
      </c>
      <c r="K1043" s="26">
        <f t="shared" si="161"/>
        <v>0</v>
      </c>
      <c r="L1043" s="80"/>
      <c r="M1043" s="26"/>
      <c r="N1043" s="26"/>
      <c r="O1043" s="26">
        <f t="shared" si="162"/>
        <v>0</v>
      </c>
      <c r="P1043" s="80"/>
      <c r="Q1043" s="26">
        <f t="shared" si="174"/>
        <v>20</v>
      </c>
      <c r="R1043" s="26">
        <f t="shared" si="172"/>
        <v>-20</v>
      </c>
      <c r="S1043" s="26">
        <f t="shared" si="173"/>
        <v>0</v>
      </c>
    </row>
    <row r="1044" spans="2:19" x14ac:dyDescent="0.2">
      <c r="B1044" s="79">
        <f t="shared" si="163"/>
        <v>297</v>
      </c>
      <c r="C1044" s="4"/>
      <c r="D1044" s="4"/>
      <c r="E1044" s="4"/>
      <c r="F1044" s="56" t="s">
        <v>126</v>
      </c>
      <c r="G1044" s="4">
        <v>632</v>
      </c>
      <c r="H1044" s="4" t="s">
        <v>139</v>
      </c>
      <c r="I1044" s="26">
        <v>60069</v>
      </c>
      <c r="J1044" s="26">
        <v>-20080</v>
      </c>
      <c r="K1044" s="26">
        <f t="shared" si="161"/>
        <v>39989</v>
      </c>
      <c r="L1044" s="80"/>
      <c r="M1044" s="26"/>
      <c r="N1044" s="26"/>
      <c r="O1044" s="26">
        <f t="shared" si="162"/>
        <v>0</v>
      </c>
      <c r="P1044" s="80"/>
      <c r="Q1044" s="26">
        <f t="shared" si="174"/>
        <v>60069</v>
      </c>
      <c r="R1044" s="26">
        <f t="shared" si="172"/>
        <v>-20080</v>
      </c>
      <c r="S1044" s="26">
        <f t="shared" si="173"/>
        <v>39989</v>
      </c>
    </row>
    <row r="1045" spans="2:19" x14ac:dyDescent="0.2">
      <c r="B1045" s="79">
        <f t="shared" si="163"/>
        <v>298</v>
      </c>
      <c r="C1045" s="4"/>
      <c r="D1045" s="4"/>
      <c r="E1045" s="4"/>
      <c r="F1045" s="56" t="s">
        <v>126</v>
      </c>
      <c r="G1045" s="4">
        <v>633</v>
      </c>
      <c r="H1045" s="4" t="s">
        <v>132</v>
      </c>
      <c r="I1045" s="26">
        <v>12260</v>
      </c>
      <c r="J1045" s="26">
        <v>2141</v>
      </c>
      <c r="K1045" s="26">
        <f t="shared" si="161"/>
        <v>14401</v>
      </c>
      <c r="L1045" s="80"/>
      <c r="M1045" s="26"/>
      <c r="N1045" s="26"/>
      <c r="O1045" s="26">
        <f t="shared" si="162"/>
        <v>0</v>
      </c>
      <c r="P1045" s="80"/>
      <c r="Q1045" s="26">
        <f t="shared" si="174"/>
        <v>12260</v>
      </c>
      <c r="R1045" s="26">
        <f t="shared" si="172"/>
        <v>2141</v>
      </c>
      <c r="S1045" s="26">
        <f t="shared" si="173"/>
        <v>14401</v>
      </c>
    </row>
    <row r="1046" spans="2:19" x14ac:dyDescent="0.2">
      <c r="B1046" s="79">
        <f t="shared" si="163"/>
        <v>299</v>
      </c>
      <c r="C1046" s="4"/>
      <c r="D1046" s="4"/>
      <c r="E1046" s="4"/>
      <c r="F1046" s="56" t="s">
        <v>126</v>
      </c>
      <c r="G1046" s="4">
        <v>635</v>
      </c>
      <c r="H1046" s="4" t="s">
        <v>138</v>
      </c>
      <c r="I1046" s="26">
        <v>4549</v>
      </c>
      <c r="J1046" s="26">
        <v>20</v>
      </c>
      <c r="K1046" s="26">
        <f t="shared" si="161"/>
        <v>4569</v>
      </c>
      <c r="L1046" s="80"/>
      <c r="M1046" s="26"/>
      <c r="N1046" s="26"/>
      <c r="O1046" s="26">
        <f t="shared" si="162"/>
        <v>0</v>
      </c>
      <c r="P1046" s="80"/>
      <c r="Q1046" s="26">
        <f t="shared" si="174"/>
        <v>4549</v>
      </c>
      <c r="R1046" s="26">
        <f t="shared" si="172"/>
        <v>20</v>
      </c>
      <c r="S1046" s="26">
        <f t="shared" si="173"/>
        <v>4569</v>
      </c>
    </row>
    <row r="1047" spans="2:19" x14ac:dyDescent="0.2">
      <c r="B1047" s="79">
        <f t="shared" si="163"/>
        <v>300</v>
      </c>
      <c r="C1047" s="4"/>
      <c r="D1047" s="4"/>
      <c r="E1047" s="4"/>
      <c r="F1047" s="56" t="s">
        <v>126</v>
      </c>
      <c r="G1047" s="4">
        <v>637</v>
      </c>
      <c r="H1047" s="4" t="s">
        <v>129</v>
      </c>
      <c r="I1047" s="26">
        <v>13489</v>
      </c>
      <c r="J1047" s="26">
        <v>5740</v>
      </c>
      <c r="K1047" s="26">
        <f t="shared" si="161"/>
        <v>19229</v>
      </c>
      <c r="L1047" s="80"/>
      <c r="M1047" s="26"/>
      <c r="N1047" s="26"/>
      <c r="O1047" s="26">
        <f t="shared" si="162"/>
        <v>0</v>
      </c>
      <c r="P1047" s="80"/>
      <c r="Q1047" s="26">
        <f t="shared" si="174"/>
        <v>13489</v>
      </c>
      <c r="R1047" s="26">
        <f t="shared" si="172"/>
        <v>5740</v>
      </c>
      <c r="S1047" s="26">
        <f t="shared" si="173"/>
        <v>19229</v>
      </c>
    </row>
    <row r="1048" spans="2:19" x14ac:dyDescent="0.2">
      <c r="B1048" s="79">
        <f t="shared" si="163"/>
        <v>301</v>
      </c>
      <c r="C1048" s="15"/>
      <c r="D1048" s="15"/>
      <c r="E1048" s="15"/>
      <c r="F1048" s="55" t="s">
        <v>126</v>
      </c>
      <c r="G1048" s="15">
        <v>640</v>
      </c>
      <c r="H1048" s="15" t="s">
        <v>135</v>
      </c>
      <c r="I1048" s="52">
        <v>3569</v>
      </c>
      <c r="J1048" s="52">
        <v>-2080</v>
      </c>
      <c r="K1048" s="52">
        <f t="shared" si="161"/>
        <v>1489</v>
      </c>
      <c r="L1048" s="126"/>
      <c r="M1048" s="52"/>
      <c r="N1048" s="52"/>
      <c r="O1048" s="52">
        <f t="shared" si="162"/>
        <v>0</v>
      </c>
      <c r="P1048" s="126"/>
      <c r="Q1048" s="52">
        <f t="shared" si="174"/>
        <v>3569</v>
      </c>
      <c r="R1048" s="52">
        <f t="shared" si="172"/>
        <v>-2080</v>
      </c>
      <c r="S1048" s="52">
        <f t="shared" si="173"/>
        <v>1489</v>
      </c>
    </row>
    <row r="1049" spans="2:19" x14ac:dyDescent="0.2">
      <c r="B1049" s="79">
        <f t="shared" si="163"/>
        <v>302</v>
      </c>
      <c r="C1049" s="15"/>
      <c r="D1049" s="15"/>
      <c r="E1049" s="15"/>
      <c r="F1049" s="55" t="s">
        <v>270</v>
      </c>
      <c r="G1049" s="15">
        <v>610</v>
      </c>
      <c r="H1049" s="15" t="s">
        <v>136</v>
      </c>
      <c r="I1049" s="52">
        <f>513638+220</f>
        <v>513858</v>
      </c>
      <c r="J1049" s="52">
        <v>52053</v>
      </c>
      <c r="K1049" s="52">
        <f t="shared" si="161"/>
        <v>565911</v>
      </c>
      <c r="L1049" s="126"/>
      <c r="M1049" s="52"/>
      <c r="N1049" s="52"/>
      <c r="O1049" s="52">
        <f t="shared" si="162"/>
        <v>0</v>
      </c>
      <c r="P1049" s="126"/>
      <c r="Q1049" s="52">
        <f t="shared" si="174"/>
        <v>513858</v>
      </c>
      <c r="R1049" s="52">
        <f t="shared" si="172"/>
        <v>52053</v>
      </c>
      <c r="S1049" s="52">
        <f t="shared" si="173"/>
        <v>565911</v>
      </c>
    </row>
    <row r="1050" spans="2:19" x14ac:dyDescent="0.2">
      <c r="B1050" s="79">
        <f t="shared" si="163"/>
        <v>303</v>
      </c>
      <c r="C1050" s="15"/>
      <c r="D1050" s="15"/>
      <c r="E1050" s="15"/>
      <c r="F1050" s="55" t="s">
        <v>270</v>
      </c>
      <c r="G1050" s="15">
        <v>620</v>
      </c>
      <c r="H1050" s="15" t="s">
        <v>131</v>
      </c>
      <c r="I1050" s="52">
        <f>179525+80</f>
        <v>179605</v>
      </c>
      <c r="J1050" s="52">
        <v>18512</v>
      </c>
      <c r="K1050" s="52">
        <f t="shared" si="161"/>
        <v>198117</v>
      </c>
      <c r="L1050" s="126"/>
      <c r="M1050" s="52"/>
      <c r="N1050" s="52"/>
      <c r="O1050" s="52">
        <f t="shared" si="162"/>
        <v>0</v>
      </c>
      <c r="P1050" s="126"/>
      <c r="Q1050" s="52">
        <f t="shared" si="174"/>
        <v>179605</v>
      </c>
      <c r="R1050" s="52">
        <f t="shared" si="172"/>
        <v>18512</v>
      </c>
      <c r="S1050" s="52">
        <f t="shared" si="173"/>
        <v>198117</v>
      </c>
    </row>
    <row r="1051" spans="2:19" x14ac:dyDescent="0.2">
      <c r="B1051" s="79">
        <f t="shared" si="163"/>
        <v>304</v>
      </c>
      <c r="C1051" s="15"/>
      <c r="D1051" s="15"/>
      <c r="E1051" s="15"/>
      <c r="F1051" s="55" t="s">
        <v>270</v>
      </c>
      <c r="G1051" s="15">
        <v>630</v>
      </c>
      <c r="H1051" s="15" t="s">
        <v>128</v>
      </c>
      <c r="I1051" s="52">
        <f>I1057+I1056+I1055+I1054+I1053+I1052</f>
        <v>223299</v>
      </c>
      <c r="J1051" s="52">
        <f>J1057+J1056+J1055+J1054+J1053+J1052</f>
        <v>-23400</v>
      </c>
      <c r="K1051" s="52">
        <f t="shared" si="161"/>
        <v>199899</v>
      </c>
      <c r="L1051" s="126"/>
      <c r="M1051" s="52">
        <f>M1057+M1056+M1055+M1054+M1053+M1052</f>
        <v>0</v>
      </c>
      <c r="N1051" s="52">
        <f>N1057+N1056+N1055+N1054+N1053+N1052</f>
        <v>0</v>
      </c>
      <c r="O1051" s="52">
        <f t="shared" si="162"/>
        <v>0</v>
      </c>
      <c r="P1051" s="126"/>
      <c r="Q1051" s="52">
        <f t="shared" si="174"/>
        <v>223299</v>
      </c>
      <c r="R1051" s="52">
        <f t="shared" si="172"/>
        <v>-23400</v>
      </c>
      <c r="S1051" s="52">
        <f t="shared" si="173"/>
        <v>199899</v>
      </c>
    </row>
    <row r="1052" spans="2:19" x14ac:dyDescent="0.2">
      <c r="B1052" s="79">
        <f t="shared" si="163"/>
        <v>305</v>
      </c>
      <c r="C1052" s="4"/>
      <c r="D1052" s="4"/>
      <c r="E1052" s="4"/>
      <c r="F1052" s="56" t="s">
        <v>270</v>
      </c>
      <c r="G1052" s="4">
        <v>631</v>
      </c>
      <c r="H1052" s="4" t="s">
        <v>134</v>
      </c>
      <c r="I1052" s="26">
        <v>31</v>
      </c>
      <c r="J1052" s="26">
        <v>-31</v>
      </c>
      <c r="K1052" s="26">
        <f t="shared" si="161"/>
        <v>0</v>
      </c>
      <c r="L1052" s="80"/>
      <c r="M1052" s="26"/>
      <c r="N1052" s="26"/>
      <c r="O1052" s="26">
        <f t="shared" si="162"/>
        <v>0</v>
      </c>
      <c r="P1052" s="80"/>
      <c r="Q1052" s="26">
        <f t="shared" si="174"/>
        <v>31</v>
      </c>
      <c r="R1052" s="26">
        <f t="shared" si="172"/>
        <v>-31</v>
      </c>
      <c r="S1052" s="26">
        <f t="shared" si="173"/>
        <v>0</v>
      </c>
    </row>
    <row r="1053" spans="2:19" x14ac:dyDescent="0.2">
      <c r="B1053" s="79">
        <f t="shared" si="163"/>
        <v>306</v>
      </c>
      <c r="C1053" s="4"/>
      <c r="D1053" s="4"/>
      <c r="E1053" s="4"/>
      <c r="F1053" s="56" t="s">
        <v>270</v>
      </c>
      <c r="G1053" s="4">
        <v>632</v>
      </c>
      <c r="H1053" s="4" t="s">
        <v>139</v>
      </c>
      <c r="I1053" s="26">
        <v>100105</v>
      </c>
      <c r="J1053" s="26">
        <v>-35695</v>
      </c>
      <c r="K1053" s="26">
        <f t="shared" si="161"/>
        <v>64410</v>
      </c>
      <c r="L1053" s="80"/>
      <c r="M1053" s="26"/>
      <c r="N1053" s="26"/>
      <c r="O1053" s="26">
        <f t="shared" si="162"/>
        <v>0</v>
      </c>
      <c r="P1053" s="80"/>
      <c r="Q1053" s="26">
        <f t="shared" si="174"/>
        <v>100105</v>
      </c>
      <c r="R1053" s="26">
        <f t="shared" si="172"/>
        <v>-35695</v>
      </c>
      <c r="S1053" s="26">
        <f t="shared" si="173"/>
        <v>64410</v>
      </c>
    </row>
    <row r="1054" spans="2:19" x14ac:dyDescent="0.2">
      <c r="B1054" s="79">
        <f t="shared" si="163"/>
        <v>307</v>
      </c>
      <c r="C1054" s="4"/>
      <c r="D1054" s="4"/>
      <c r="E1054" s="4"/>
      <c r="F1054" s="56" t="s">
        <v>270</v>
      </c>
      <c r="G1054" s="4">
        <v>633</v>
      </c>
      <c r="H1054" s="4" t="s">
        <v>132</v>
      </c>
      <c r="I1054" s="26">
        <v>37655</v>
      </c>
      <c r="J1054" s="26">
        <v>-3288</v>
      </c>
      <c r="K1054" s="26">
        <f t="shared" si="161"/>
        <v>34367</v>
      </c>
      <c r="L1054" s="80"/>
      <c r="M1054" s="26"/>
      <c r="N1054" s="26"/>
      <c r="O1054" s="26">
        <f t="shared" si="162"/>
        <v>0</v>
      </c>
      <c r="P1054" s="80"/>
      <c r="Q1054" s="26">
        <f t="shared" si="174"/>
        <v>37655</v>
      </c>
      <c r="R1054" s="26">
        <f t="shared" si="172"/>
        <v>-3288</v>
      </c>
      <c r="S1054" s="26">
        <f t="shared" si="173"/>
        <v>34367</v>
      </c>
    </row>
    <row r="1055" spans="2:19" x14ac:dyDescent="0.2">
      <c r="B1055" s="79">
        <f t="shared" si="163"/>
        <v>308</v>
      </c>
      <c r="C1055" s="4"/>
      <c r="D1055" s="4"/>
      <c r="E1055" s="4"/>
      <c r="F1055" s="56" t="s">
        <v>270</v>
      </c>
      <c r="G1055" s="4">
        <v>635</v>
      </c>
      <c r="H1055" s="4" t="s">
        <v>138</v>
      </c>
      <c r="I1055" s="26">
        <v>12824</v>
      </c>
      <c r="J1055" s="26">
        <v>15766</v>
      </c>
      <c r="K1055" s="26">
        <f t="shared" si="161"/>
        <v>28590</v>
      </c>
      <c r="L1055" s="80"/>
      <c r="M1055" s="26"/>
      <c r="N1055" s="26"/>
      <c r="O1055" s="26">
        <f t="shared" si="162"/>
        <v>0</v>
      </c>
      <c r="P1055" s="80"/>
      <c r="Q1055" s="26">
        <f t="shared" si="174"/>
        <v>12824</v>
      </c>
      <c r="R1055" s="26">
        <f t="shared" si="172"/>
        <v>15766</v>
      </c>
      <c r="S1055" s="26">
        <f t="shared" si="173"/>
        <v>28590</v>
      </c>
    </row>
    <row r="1056" spans="2:19" x14ac:dyDescent="0.2">
      <c r="B1056" s="79">
        <f t="shared" si="163"/>
        <v>309</v>
      </c>
      <c r="C1056" s="4"/>
      <c r="D1056" s="4"/>
      <c r="E1056" s="4"/>
      <c r="F1056" s="56" t="s">
        <v>270</v>
      </c>
      <c r="G1056" s="4">
        <v>636</v>
      </c>
      <c r="H1056" s="4" t="s">
        <v>133</v>
      </c>
      <c r="I1056" s="26">
        <f>20000+20000</f>
        <v>40000</v>
      </c>
      <c r="J1056" s="26"/>
      <c r="K1056" s="26">
        <f t="shared" si="161"/>
        <v>40000</v>
      </c>
      <c r="L1056" s="80"/>
      <c r="M1056" s="26"/>
      <c r="N1056" s="26"/>
      <c r="O1056" s="26">
        <f t="shared" si="162"/>
        <v>0</v>
      </c>
      <c r="P1056" s="80"/>
      <c r="Q1056" s="26">
        <f t="shared" si="174"/>
        <v>40000</v>
      </c>
      <c r="R1056" s="26">
        <f t="shared" si="172"/>
        <v>0</v>
      </c>
      <c r="S1056" s="26">
        <f t="shared" si="173"/>
        <v>40000</v>
      </c>
    </row>
    <row r="1057" spans="2:19" x14ac:dyDescent="0.2">
      <c r="B1057" s="79">
        <f t="shared" si="163"/>
        <v>310</v>
      </c>
      <c r="C1057" s="4"/>
      <c r="D1057" s="4"/>
      <c r="E1057" s="4"/>
      <c r="F1057" s="56" t="s">
        <v>270</v>
      </c>
      <c r="G1057" s="4">
        <v>637</v>
      </c>
      <c r="H1057" s="4" t="s">
        <v>129</v>
      </c>
      <c r="I1057" s="26">
        <f>20234+12450</f>
        <v>32684</v>
      </c>
      <c r="J1057" s="26">
        <v>-152</v>
      </c>
      <c r="K1057" s="26">
        <f t="shared" si="161"/>
        <v>32532</v>
      </c>
      <c r="L1057" s="80"/>
      <c r="M1057" s="26"/>
      <c r="N1057" s="26"/>
      <c r="O1057" s="26">
        <f t="shared" si="162"/>
        <v>0</v>
      </c>
      <c r="P1057" s="80"/>
      <c r="Q1057" s="26">
        <f t="shared" si="174"/>
        <v>32684</v>
      </c>
      <c r="R1057" s="26">
        <f t="shared" si="172"/>
        <v>-152</v>
      </c>
      <c r="S1057" s="26">
        <f t="shared" si="173"/>
        <v>32532</v>
      </c>
    </row>
    <row r="1058" spans="2:19" x14ac:dyDescent="0.2">
      <c r="B1058" s="79">
        <f t="shared" si="163"/>
        <v>311</v>
      </c>
      <c r="C1058" s="15"/>
      <c r="D1058" s="15"/>
      <c r="E1058" s="15"/>
      <c r="F1058" s="55" t="s">
        <v>270</v>
      </c>
      <c r="G1058" s="15">
        <v>640</v>
      </c>
      <c r="H1058" s="15" t="s">
        <v>135</v>
      </c>
      <c r="I1058" s="52">
        <v>4310</v>
      </c>
      <c r="J1058" s="52">
        <v>-165</v>
      </c>
      <c r="K1058" s="52">
        <f t="shared" si="161"/>
        <v>4145</v>
      </c>
      <c r="L1058" s="126"/>
      <c r="M1058" s="52"/>
      <c r="N1058" s="52"/>
      <c r="O1058" s="52">
        <f t="shared" si="162"/>
        <v>0</v>
      </c>
      <c r="P1058" s="126"/>
      <c r="Q1058" s="52">
        <f t="shared" si="174"/>
        <v>4310</v>
      </c>
      <c r="R1058" s="52">
        <f t="shared" si="172"/>
        <v>-165</v>
      </c>
      <c r="S1058" s="52">
        <f t="shared" si="173"/>
        <v>4145</v>
      </c>
    </row>
    <row r="1059" spans="2:19" x14ac:dyDescent="0.2">
      <c r="B1059" s="79">
        <f t="shared" si="163"/>
        <v>312</v>
      </c>
      <c r="C1059" s="15"/>
      <c r="D1059" s="15"/>
      <c r="E1059" s="15"/>
      <c r="F1059" s="55" t="s">
        <v>76</v>
      </c>
      <c r="G1059" s="15">
        <v>630</v>
      </c>
      <c r="H1059" s="15" t="s">
        <v>664</v>
      </c>
      <c r="I1059" s="52">
        <v>356</v>
      </c>
      <c r="J1059" s="52">
        <v>665</v>
      </c>
      <c r="K1059" s="52">
        <f t="shared" si="161"/>
        <v>1021</v>
      </c>
      <c r="L1059" s="126"/>
      <c r="M1059" s="52"/>
      <c r="N1059" s="52"/>
      <c r="O1059" s="52">
        <f t="shared" si="162"/>
        <v>0</v>
      </c>
      <c r="P1059" s="126"/>
      <c r="Q1059" s="52">
        <f t="shared" si="174"/>
        <v>356</v>
      </c>
      <c r="R1059" s="52">
        <f t="shared" si="172"/>
        <v>665</v>
      </c>
      <c r="S1059" s="52">
        <f t="shared" si="173"/>
        <v>1021</v>
      </c>
    </row>
    <row r="1060" spans="2:19" x14ac:dyDescent="0.2">
      <c r="B1060" s="79">
        <f t="shared" si="163"/>
        <v>313</v>
      </c>
      <c r="C1060" s="15"/>
      <c r="D1060" s="15"/>
      <c r="E1060" s="15"/>
      <c r="F1060" s="55"/>
      <c r="G1060" s="15"/>
      <c r="H1060" s="15"/>
      <c r="I1060" s="52"/>
      <c r="J1060" s="52"/>
      <c r="K1060" s="52">
        <f t="shared" si="161"/>
        <v>0</v>
      </c>
      <c r="L1060" s="126"/>
      <c r="M1060" s="52"/>
      <c r="N1060" s="52"/>
      <c r="O1060" s="52">
        <f t="shared" si="162"/>
        <v>0</v>
      </c>
      <c r="P1060" s="126"/>
      <c r="Q1060" s="52"/>
      <c r="R1060" s="52"/>
      <c r="S1060" s="52"/>
    </row>
    <row r="1061" spans="2:19" x14ac:dyDescent="0.2">
      <c r="B1061" s="79">
        <f t="shared" si="163"/>
        <v>314</v>
      </c>
      <c r="C1061" s="15"/>
      <c r="D1061" s="15"/>
      <c r="E1061" s="15"/>
      <c r="F1061" s="55"/>
      <c r="G1061" s="15">
        <v>630</v>
      </c>
      <c r="H1061" s="15" t="s">
        <v>612</v>
      </c>
      <c r="I1061" s="52">
        <v>84</v>
      </c>
      <c r="J1061" s="52"/>
      <c r="K1061" s="52">
        <f t="shared" si="161"/>
        <v>84</v>
      </c>
      <c r="L1061" s="126"/>
      <c r="M1061" s="52"/>
      <c r="N1061" s="52"/>
      <c r="O1061" s="52">
        <f t="shared" si="162"/>
        <v>0</v>
      </c>
      <c r="P1061" s="126"/>
      <c r="Q1061" s="52">
        <f t="shared" ref="Q1061" si="175">M1061+I1061</f>
        <v>84</v>
      </c>
      <c r="R1061" s="52">
        <f t="shared" ref="R1061:R1085" si="176">N1061+J1061</f>
        <v>0</v>
      </c>
      <c r="S1061" s="52">
        <f t="shared" ref="S1061:S1085" si="177">O1061+K1061</f>
        <v>84</v>
      </c>
    </row>
    <row r="1062" spans="2:19" ht="15" x14ac:dyDescent="0.25">
      <c r="B1062" s="79">
        <f t="shared" si="163"/>
        <v>315</v>
      </c>
      <c r="C1062" s="18"/>
      <c r="D1062" s="18"/>
      <c r="E1062" s="18">
        <v>9</v>
      </c>
      <c r="F1062" s="53"/>
      <c r="G1062" s="18"/>
      <c r="H1062" s="18" t="s">
        <v>274</v>
      </c>
      <c r="I1062" s="50">
        <f>I1063+I1064+I1065+I1072+I1073+I1074+I1075+I1083+I1089+I1087+I1085+I1084</f>
        <v>549179</v>
      </c>
      <c r="J1062" s="50">
        <f>J1063+J1064+J1065+J1072+J1073+J1074+J1075+J1083+J1089+J1087+J1085+J1084</f>
        <v>43980</v>
      </c>
      <c r="K1062" s="50">
        <f t="shared" si="161"/>
        <v>593159</v>
      </c>
      <c r="L1062" s="203"/>
      <c r="M1062" s="50">
        <f>M1063+M1064+M1065+M1072+M1073+M1074+M1075+M1083+M1089</f>
        <v>102000</v>
      </c>
      <c r="N1062" s="50">
        <f>N1063+N1064+N1065+N1072+N1073+N1074+N1075+N1083+N1089</f>
        <v>0</v>
      </c>
      <c r="O1062" s="50">
        <f t="shared" si="162"/>
        <v>102000</v>
      </c>
      <c r="P1062" s="203"/>
      <c r="Q1062" s="50">
        <f t="shared" si="174"/>
        <v>651179</v>
      </c>
      <c r="R1062" s="50">
        <f t="shared" si="176"/>
        <v>43980</v>
      </c>
      <c r="S1062" s="50">
        <f t="shared" si="177"/>
        <v>695159</v>
      </c>
    </row>
    <row r="1063" spans="2:19" x14ac:dyDescent="0.2">
      <c r="B1063" s="79">
        <f t="shared" si="163"/>
        <v>316</v>
      </c>
      <c r="C1063" s="15"/>
      <c r="D1063" s="15"/>
      <c r="E1063" s="15"/>
      <c r="F1063" s="55" t="s">
        <v>126</v>
      </c>
      <c r="G1063" s="15">
        <v>610</v>
      </c>
      <c r="H1063" s="15" t="s">
        <v>136</v>
      </c>
      <c r="I1063" s="52">
        <v>158605</v>
      </c>
      <c r="J1063" s="52">
        <v>12523</v>
      </c>
      <c r="K1063" s="52">
        <f t="shared" si="161"/>
        <v>171128</v>
      </c>
      <c r="L1063" s="126"/>
      <c r="M1063" s="52"/>
      <c r="N1063" s="52"/>
      <c r="O1063" s="52">
        <f t="shared" si="162"/>
        <v>0</v>
      </c>
      <c r="P1063" s="126"/>
      <c r="Q1063" s="52">
        <f t="shared" si="174"/>
        <v>158605</v>
      </c>
      <c r="R1063" s="52">
        <f t="shared" si="176"/>
        <v>12523</v>
      </c>
      <c r="S1063" s="52">
        <f t="shared" si="177"/>
        <v>171128</v>
      </c>
    </row>
    <row r="1064" spans="2:19" x14ac:dyDescent="0.2">
      <c r="B1064" s="79">
        <f t="shared" si="163"/>
        <v>317</v>
      </c>
      <c r="C1064" s="15"/>
      <c r="D1064" s="15"/>
      <c r="E1064" s="15"/>
      <c r="F1064" s="55" t="s">
        <v>126</v>
      </c>
      <c r="G1064" s="15">
        <v>620</v>
      </c>
      <c r="H1064" s="15" t="s">
        <v>131</v>
      </c>
      <c r="I1064" s="52">
        <v>56233</v>
      </c>
      <c r="J1064" s="52">
        <v>4782</v>
      </c>
      <c r="K1064" s="52">
        <f t="shared" si="161"/>
        <v>61015</v>
      </c>
      <c r="L1064" s="126"/>
      <c r="M1064" s="52"/>
      <c r="N1064" s="52"/>
      <c r="O1064" s="52">
        <f t="shared" si="162"/>
        <v>0</v>
      </c>
      <c r="P1064" s="126"/>
      <c r="Q1064" s="52">
        <f t="shared" si="174"/>
        <v>56233</v>
      </c>
      <c r="R1064" s="52">
        <f t="shared" si="176"/>
        <v>4782</v>
      </c>
      <c r="S1064" s="52">
        <f t="shared" si="177"/>
        <v>61015</v>
      </c>
    </row>
    <row r="1065" spans="2:19" x14ac:dyDescent="0.2">
      <c r="B1065" s="79">
        <f t="shared" si="163"/>
        <v>318</v>
      </c>
      <c r="C1065" s="15"/>
      <c r="D1065" s="15"/>
      <c r="E1065" s="15"/>
      <c r="F1065" s="55" t="s">
        <v>126</v>
      </c>
      <c r="G1065" s="15">
        <v>630</v>
      </c>
      <c r="H1065" s="15" t="s">
        <v>128</v>
      </c>
      <c r="I1065" s="52">
        <f>I1071+I1070+I1068+I1067+I1066</f>
        <v>41285</v>
      </c>
      <c r="J1065" s="52">
        <f>J1071+J1070+J1068+J1067+J1066+J1069</f>
        <v>4279</v>
      </c>
      <c r="K1065" s="52">
        <f t="shared" si="161"/>
        <v>45564</v>
      </c>
      <c r="L1065" s="126"/>
      <c r="M1065" s="52">
        <v>0</v>
      </c>
      <c r="N1065" s="52"/>
      <c r="O1065" s="52">
        <f t="shared" si="162"/>
        <v>0</v>
      </c>
      <c r="P1065" s="126"/>
      <c r="Q1065" s="52">
        <f t="shared" si="174"/>
        <v>41285</v>
      </c>
      <c r="R1065" s="52">
        <f t="shared" si="176"/>
        <v>4279</v>
      </c>
      <c r="S1065" s="52">
        <f t="shared" si="177"/>
        <v>45564</v>
      </c>
    </row>
    <row r="1066" spans="2:19" x14ac:dyDescent="0.2">
      <c r="B1066" s="79">
        <f t="shared" si="163"/>
        <v>319</v>
      </c>
      <c r="C1066" s="4"/>
      <c r="D1066" s="4"/>
      <c r="E1066" s="4"/>
      <c r="F1066" s="56" t="s">
        <v>126</v>
      </c>
      <c r="G1066" s="4">
        <v>631</v>
      </c>
      <c r="H1066" s="4" t="s">
        <v>134</v>
      </c>
      <c r="I1066" s="26">
        <f>25+40</f>
        <v>65</v>
      </c>
      <c r="J1066" s="26">
        <v>185</v>
      </c>
      <c r="K1066" s="26">
        <f t="shared" si="161"/>
        <v>250</v>
      </c>
      <c r="L1066" s="80"/>
      <c r="M1066" s="26"/>
      <c r="N1066" s="26"/>
      <c r="O1066" s="26">
        <f t="shared" si="162"/>
        <v>0</v>
      </c>
      <c r="P1066" s="80"/>
      <c r="Q1066" s="26">
        <f t="shared" si="174"/>
        <v>65</v>
      </c>
      <c r="R1066" s="26">
        <f t="shared" si="176"/>
        <v>185</v>
      </c>
      <c r="S1066" s="26">
        <f t="shared" si="177"/>
        <v>250</v>
      </c>
    </row>
    <row r="1067" spans="2:19" x14ac:dyDescent="0.2">
      <c r="B1067" s="79">
        <f t="shared" si="163"/>
        <v>320</v>
      </c>
      <c r="C1067" s="4"/>
      <c r="D1067" s="4"/>
      <c r="E1067" s="4"/>
      <c r="F1067" s="56" t="s">
        <v>126</v>
      </c>
      <c r="G1067" s="4">
        <v>632</v>
      </c>
      <c r="H1067" s="4" t="s">
        <v>139</v>
      </c>
      <c r="I1067" s="26">
        <f>20700-40</f>
        <v>20660</v>
      </c>
      <c r="J1067" s="26">
        <v>-2000</v>
      </c>
      <c r="K1067" s="26">
        <f t="shared" si="161"/>
        <v>18660</v>
      </c>
      <c r="L1067" s="80"/>
      <c r="M1067" s="26"/>
      <c r="N1067" s="26"/>
      <c r="O1067" s="26">
        <f t="shared" si="162"/>
        <v>0</v>
      </c>
      <c r="P1067" s="80"/>
      <c r="Q1067" s="26">
        <f t="shared" si="174"/>
        <v>20660</v>
      </c>
      <c r="R1067" s="26">
        <f t="shared" si="176"/>
        <v>-2000</v>
      </c>
      <c r="S1067" s="26">
        <f t="shared" si="177"/>
        <v>18660</v>
      </c>
    </row>
    <row r="1068" spans="2:19" x14ac:dyDescent="0.2">
      <c r="B1068" s="79">
        <f t="shared" si="163"/>
        <v>321</v>
      </c>
      <c r="C1068" s="4"/>
      <c r="D1068" s="4"/>
      <c r="E1068" s="4"/>
      <c r="F1068" s="56" t="s">
        <v>126</v>
      </c>
      <c r="G1068" s="4">
        <v>633</v>
      </c>
      <c r="H1068" s="4" t="s">
        <v>132</v>
      </c>
      <c r="I1068" s="26">
        <v>6768</v>
      </c>
      <c r="J1068" s="26">
        <v>-644</v>
      </c>
      <c r="K1068" s="26">
        <f t="shared" si="161"/>
        <v>6124</v>
      </c>
      <c r="L1068" s="80"/>
      <c r="M1068" s="26"/>
      <c r="N1068" s="26"/>
      <c r="O1068" s="26">
        <f t="shared" si="162"/>
        <v>0</v>
      </c>
      <c r="P1068" s="80"/>
      <c r="Q1068" s="26">
        <f t="shared" si="174"/>
        <v>6768</v>
      </c>
      <c r="R1068" s="26">
        <f t="shared" si="176"/>
        <v>-644</v>
      </c>
      <c r="S1068" s="26">
        <f t="shared" si="177"/>
        <v>6124</v>
      </c>
    </row>
    <row r="1069" spans="2:19" x14ac:dyDescent="0.2">
      <c r="B1069" s="79">
        <f t="shared" si="163"/>
        <v>322</v>
      </c>
      <c r="C1069" s="4"/>
      <c r="D1069" s="4"/>
      <c r="E1069" s="4"/>
      <c r="F1069" s="56" t="s">
        <v>126</v>
      </c>
      <c r="G1069" s="4">
        <v>634</v>
      </c>
      <c r="H1069" s="4" t="s">
        <v>137</v>
      </c>
      <c r="I1069" s="26">
        <v>0</v>
      </c>
      <c r="J1069" s="26">
        <v>15</v>
      </c>
      <c r="K1069" s="26">
        <f t="shared" si="161"/>
        <v>15</v>
      </c>
      <c r="L1069" s="80"/>
      <c r="M1069" s="26"/>
      <c r="N1069" s="26"/>
      <c r="O1069" s="26"/>
      <c r="P1069" s="80"/>
      <c r="Q1069" s="26"/>
      <c r="R1069" s="26">
        <f t="shared" si="176"/>
        <v>15</v>
      </c>
      <c r="S1069" s="26"/>
    </row>
    <row r="1070" spans="2:19" x14ac:dyDescent="0.2">
      <c r="B1070" s="79">
        <f t="shared" si="163"/>
        <v>323</v>
      </c>
      <c r="C1070" s="4"/>
      <c r="D1070" s="4"/>
      <c r="E1070" s="4"/>
      <c r="F1070" s="56" t="s">
        <v>126</v>
      </c>
      <c r="G1070" s="4">
        <v>635</v>
      </c>
      <c r="H1070" s="4" t="s">
        <v>138</v>
      </c>
      <c r="I1070" s="26">
        <f>1480+2000</f>
        <v>3480</v>
      </c>
      <c r="J1070" s="26">
        <v>-3310</v>
      </c>
      <c r="K1070" s="26">
        <f t="shared" si="161"/>
        <v>170</v>
      </c>
      <c r="L1070" s="80"/>
      <c r="M1070" s="26"/>
      <c r="N1070" s="26"/>
      <c r="O1070" s="26">
        <f t="shared" si="162"/>
        <v>0</v>
      </c>
      <c r="P1070" s="80"/>
      <c r="Q1070" s="26">
        <f t="shared" si="174"/>
        <v>3480</v>
      </c>
      <c r="R1070" s="26">
        <f t="shared" si="176"/>
        <v>-3310</v>
      </c>
      <c r="S1070" s="26">
        <f t="shared" si="177"/>
        <v>170</v>
      </c>
    </row>
    <row r="1071" spans="2:19" x14ac:dyDescent="0.2">
      <c r="B1071" s="79">
        <f t="shared" si="163"/>
        <v>324</v>
      </c>
      <c r="C1071" s="4"/>
      <c r="D1071" s="4"/>
      <c r="E1071" s="4"/>
      <c r="F1071" s="56" t="s">
        <v>126</v>
      </c>
      <c r="G1071" s="4">
        <v>637</v>
      </c>
      <c r="H1071" s="4" t="s">
        <v>129</v>
      </c>
      <c r="I1071" s="26">
        <v>10312</v>
      </c>
      <c r="J1071" s="26">
        <v>10033</v>
      </c>
      <c r="K1071" s="26">
        <f t="shared" si="161"/>
        <v>20345</v>
      </c>
      <c r="L1071" s="80"/>
      <c r="M1071" s="26"/>
      <c r="N1071" s="26"/>
      <c r="O1071" s="26">
        <f t="shared" si="162"/>
        <v>0</v>
      </c>
      <c r="P1071" s="80"/>
      <c r="Q1071" s="26">
        <f t="shared" si="174"/>
        <v>10312</v>
      </c>
      <c r="R1071" s="26">
        <f t="shared" si="176"/>
        <v>10033</v>
      </c>
      <c r="S1071" s="26">
        <f t="shared" si="177"/>
        <v>20345</v>
      </c>
    </row>
    <row r="1072" spans="2:19" x14ac:dyDescent="0.2">
      <c r="B1072" s="79">
        <f t="shared" si="163"/>
        <v>325</v>
      </c>
      <c r="C1072" s="15"/>
      <c r="D1072" s="15"/>
      <c r="E1072" s="15"/>
      <c r="F1072" s="55" t="s">
        <v>126</v>
      </c>
      <c r="G1072" s="15">
        <v>640</v>
      </c>
      <c r="H1072" s="15" t="s">
        <v>135</v>
      </c>
      <c r="I1072" s="52">
        <v>1550</v>
      </c>
      <c r="J1072" s="52">
        <v>-950</v>
      </c>
      <c r="K1072" s="52">
        <f t="shared" si="161"/>
        <v>600</v>
      </c>
      <c r="L1072" s="126"/>
      <c r="M1072" s="52"/>
      <c r="N1072" s="52"/>
      <c r="O1072" s="52">
        <f t="shared" si="162"/>
        <v>0</v>
      </c>
      <c r="P1072" s="126"/>
      <c r="Q1072" s="52">
        <f t="shared" si="174"/>
        <v>1550</v>
      </c>
      <c r="R1072" s="52">
        <f t="shared" si="176"/>
        <v>-950</v>
      </c>
      <c r="S1072" s="52">
        <f t="shared" si="177"/>
        <v>600</v>
      </c>
    </row>
    <row r="1073" spans="2:19" x14ac:dyDescent="0.2">
      <c r="B1073" s="79">
        <f t="shared" si="163"/>
        <v>326</v>
      </c>
      <c r="C1073" s="15"/>
      <c r="D1073" s="15"/>
      <c r="E1073" s="15"/>
      <c r="F1073" s="55" t="s">
        <v>270</v>
      </c>
      <c r="G1073" s="15">
        <v>610</v>
      </c>
      <c r="H1073" s="15" t="s">
        <v>136</v>
      </c>
      <c r="I1073" s="52">
        <f>172879+148</f>
        <v>173027</v>
      </c>
      <c r="J1073" s="52">
        <v>12183</v>
      </c>
      <c r="K1073" s="52">
        <f t="shared" si="161"/>
        <v>185210</v>
      </c>
      <c r="L1073" s="126"/>
      <c r="M1073" s="52"/>
      <c r="N1073" s="52"/>
      <c r="O1073" s="52">
        <f t="shared" si="162"/>
        <v>0</v>
      </c>
      <c r="P1073" s="126"/>
      <c r="Q1073" s="52">
        <f t="shared" si="174"/>
        <v>173027</v>
      </c>
      <c r="R1073" s="52">
        <f t="shared" si="176"/>
        <v>12183</v>
      </c>
      <c r="S1073" s="52">
        <f t="shared" si="177"/>
        <v>185210</v>
      </c>
    </row>
    <row r="1074" spans="2:19" x14ac:dyDescent="0.2">
      <c r="B1074" s="79">
        <f t="shared" si="163"/>
        <v>327</v>
      </c>
      <c r="C1074" s="15"/>
      <c r="D1074" s="15"/>
      <c r="E1074" s="15"/>
      <c r="F1074" s="55" t="s">
        <v>270</v>
      </c>
      <c r="G1074" s="15">
        <v>620</v>
      </c>
      <c r="H1074" s="15" t="s">
        <v>131</v>
      </c>
      <c r="I1074" s="52">
        <f>61222+52</f>
        <v>61274</v>
      </c>
      <c r="J1074" s="52">
        <v>4560</v>
      </c>
      <c r="K1074" s="52">
        <f t="shared" si="161"/>
        <v>65834</v>
      </c>
      <c r="L1074" s="126"/>
      <c r="M1074" s="52"/>
      <c r="N1074" s="52"/>
      <c r="O1074" s="52">
        <f t="shared" si="162"/>
        <v>0</v>
      </c>
      <c r="P1074" s="126"/>
      <c r="Q1074" s="52">
        <f t="shared" si="174"/>
        <v>61274</v>
      </c>
      <c r="R1074" s="52">
        <f t="shared" si="176"/>
        <v>4560</v>
      </c>
      <c r="S1074" s="52">
        <f t="shared" si="177"/>
        <v>65834</v>
      </c>
    </row>
    <row r="1075" spans="2:19" x14ac:dyDescent="0.2">
      <c r="B1075" s="79">
        <f t="shared" si="163"/>
        <v>328</v>
      </c>
      <c r="C1075" s="15"/>
      <c r="D1075" s="15"/>
      <c r="E1075" s="15"/>
      <c r="F1075" s="55" t="s">
        <v>270</v>
      </c>
      <c r="G1075" s="15">
        <v>630</v>
      </c>
      <c r="H1075" s="15" t="s">
        <v>128</v>
      </c>
      <c r="I1075" s="52">
        <f>I1082+I1080+I1078+I1077+I1076+I1081</f>
        <v>54726</v>
      </c>
      <c r="J1075" s="52">
        <f>J1082+J1080+J1078+J1077+J1076+J1081+J1079</f>
        <v>6942</v>
      </c>
      <c r="K1075" s="52">
        <f t="shared" si="161"/>
        <v>61668</v>
      </c>
      <c r="L1075" s="126"/>
      <c r="M1075" s="52">
        <f>M1082+M1080+M1078+M1077+M1076</f>
        <v>0</v>
      </c>
      <c r="N1075" s="52">
        <f>N1082+N1080+N1078+N1077+N1076</f>
        <v>0</v>
      </c>
      <c r="O1075" s="52">
        <f t="shared" si="162"/>
        <v>0</v>
      </c>
      <c r="P1075" s="126"/>
      <c r="Q1075" s="52">
        <f t="shared" si="174"/>
        <v>54726</v>
      </c>
      <c r="R1075" s="52">
        <f t="shared" si="176"/>
        <v>6942</v>
      </c>
      <c r="S1075" s="52">
        <f t="shared" si="177"/>
        <v>61668</v>
      </c>
    </row>
    <row r="1076" spans="2:19" x14ac:dyDescent="0.2">
      <c r="B1076" s="79">
        <f t="shared" si="163"/>
        <v>329</v>
      </c>
      <c r="C1076" s="4"/>
      <c r="D1076" s="4"/>
      <c r="E1076" s="4"/>
      <c r="F1076" s="56" t="s">
        <v>270</v>
      </c>
      <c r="G1076" s="4">
        <v>631</v>
      </c>
      <c r="H1076" s="4" t="s">
        <v>134</v>
      </c>
      <c r="I1076" s="26">
        <f>25+40</f>
        <v>65</v>
      </c>
      <c r="J1076" s="26">
        <v>185</v>
      </c>
      <c r="K1076" s="26">
        <f t="shared" si="161"/>
        <v>250</v>
      </c>
      <c r="L1076" s="80"/>
      <c r="M1076" s="26"/>
      <c r="N1076" s="26"/>
      <c r="O1076" s="26">
        <f t="shared" si="162"/>
        <v>0</v>
      </c>
      <c r="P1076" s="80"/>
      <c r="Q1076" s="26">
        <f t="shared" si="174"/>
        <v>65</v>
      </c>
      <c r="R1076" s="26">
        <f t="shared" si="176"/>
        <v>185</v>
      </c>
      <c r="S1076" s="26">
        <f t="shared" si="177"/>
        <v>250</v>
      </c>
    </row>
    <row r="1077" spans="2:19" x14ac:dyDescent="0.2">
      <c r="B1077" s="79">
        <f t="shared" si="163"/>
        <v>330</v>
      </c>
      <c r="C1077" s="4"/>
      <c r="D1077" s="4"/>
      <c r="E1077" s="4"/>
      <c r="F1077" s="56" t="s">
        <v>270</v>
      </c>
      <c r="G1077" s="4">
        <v>632</v>
      </c>
      <c r="H1077" s="4" t="s">
        <v>139</v>
      </c>
      <c r="I1077" s="26">
        <f>20700-40</f>
        <v>20660</v>
      </c>
      <c r="J1077" s="26">
        <v>-2000</v>
      </c>
      <c r="K1077" s="26">
        <f t="shared" si="161"/>
        <v>18660</v>
      </c>
      <c r="L1077" s="80"/>
      <c r="M1077" s="26"/>
      <c r="N1077" s="26"/>
      <c r="O1077" s="26">
        <f t="shared" si="162"/>
        <v>0</v>
      </c>
      <c r="P1077" s="80"/>
      <c r="Q1077" s="26">
        <f t="shared" si="174"/>
        <v>20660</v>
      </c>
      <c r="R1077" s="26">
        <f t="shared" si="176"/>
        <v>-2000</v>
      </c>
      <c r="S1077" s="26">
        <f t="shared" si="177"/>
        <v>18660</v>
      </c>
    </row>
    <row r="1078" spans="2:19" x14ac:dyDescent="0.2">
      <c r="B1078" s="79">
        <f t="shared" si="163"/>
        <v>331</v>
      </c>
      <c r="C1078" s="4"/>
      <c r="D1078" s="4"/>
      <c r="E1078" s="4"/>
      <c r="F1078" s="56" t="s">
        <v>270</v>
      </c>
      <c r="G1078" s="4">
        <v>633</v>
      </c>
      <c r="H1078" s="4" t="s">
        <v>132</v>
      </c>
      <c r="I1078" s="26">
        <f>11808+1500</f>
        <v>13308</v>
      </c>
      <c r="J1078" s="26">
        <v>2992</v>
      </c>
      <c r="K1078" s="26">
        <f t="shared" ref="K1078:K1142" si="178">I1078+J1078</f>
        <v>16300</v>
      </c>
      <c r="L1078" s="80"/>
      <c r="M1078" s="26"/>
      <c r="N1078" s="26"/>
      <c r="O1078" s="26">
        <f t="shared" ref="O1078:O1142" si="179">M1078+N1078</f>
        <v>0</v>
      </c>
      <c r="P1078" s="80"/>
      <c r="Q1078" s="26">
        <f t="shared" si="174"/>
        <v>13308</v>
      </c>
      <c r="R1078" s="26">
        <f t="shared" si="176"/>
        <v>2992</v>
      </c>
      <c r="S1078" s="26">
        <f t="shared" si="177"/>
        <v>16300</v>
      </c>
    </row>
    <row r="1079" spans="2:19" x14ac:dyDescent="0.2">
      <c r="B1079" s="79">
        <f t="shared" ref="B1079:B1088" si="180">B1078+1</f>
        <v>332</v>
      </c>
      <c r="C1079" s="4"/>
      <c r="D1079" s="4"/>
      <c r="E1079" s="4"/>
      <c r="F1079" s="56" t="s">
        <v>270</v>
      </c>
      <c r="G1079" s="4">
        <v>634</v>
      </c>
      <c r="H1079" s="4" t="s">
        <v>137</v>
      </c>
      <c r="I1079" s="26">
        <v>0</v>
      </c>
      <c r="J1079" s="26">
        <v>315</v>
      </c>
      <c r="K1079" s="26">
        <f t="shared" si="178"/>
        <v>315</v>
      </c>
      <c r="L1079" s="80"/>
      <c r="M1079" s="26"/>
      <c r="N1079" s="26"/>
      <c r="O1079" s="26"/>
      <c r="P1079" s="80"/>
      <c r="Q1079" s="26">
        <f t="shared" si="174"/>
        <v>0</v>
      </c>
      <c r="R1079" s="26">
        <f t="shared" si="176"/>
        <v>315</v>
      </c>
      <c r="S1079" s="26">
        <f t="shared" si="177"/>
        <v>315</v>
      </c>
    </row>
    <row r="1080" spans="2:19" x14ac:dyDescent="0.2">
      <c r="B1080" s="79">
        <f t="shared" si="180"/>
        <v>333</v>
      </c>
      <c r="C1080" s="4"/>
      <c r="D1080" s="4"/>
      <c r="E1080" s="4"/>
      <c r="F1080" s="56" t="s">
        <v>270</v>
      </c>
      <c r="G1080" s="4">
        <v>635</v>
      </c>
      <c r="H1080" s="4" t="s">
        <v>138</v>
      </c>
      <c r="I1080" s="26">
        <v>4180</v>
      </c>
      <c r="J1080" s="26">
        <v>273</v>
      </c>
      <c r="K1080" s="26">
        <f t="shared" si="178"/>
        <v>4453</v>
      </c>
      <c r="L1080" s="80"/>
      <c r="M1080" s="26"/>
      <c r="N1080" s="26"/>
      <c r="O1080" s="26">
        <f t="shared" si="179"/>
        <v>0</v>
      </c>
      <c r="P1080" s="80"/>
      <c r="Q1080" s="26">
        <f t="shared" si="174"/>
        <v>4180</v>
      </c>
      <c r="R1080" s="26">
        <f t="shared" si="176"/>
        <v>273</v>
      </c>
      <c r="S1080" s="26">
        <f t="shared" si="177"/>
        <v>4453</v>
      </c>
    </row>
    <row r="1081" spans="2:19" x14ac:dyDescent="0.2">
      <c r="B1081" s="79">
        <f t="shared" si="180"/>
        <v>334</v>
      </c>
      <c r="C1081" s="4"/>
      <c r="D1081" s="4"/>
      <c r="E1081" s="4"/>
      <c r="F1081" s="146" t="s">
        <v>270</v>
      </c>
      <c r="G1081" s="147">
        <v>635</v>
      </c>
      <c r="H1081" s="147" t="s">
        <v>574</v>
      </c>
      <c r="I1081" s="145">
        <v>2000</v>
      </c>
      <c r="J1081" s="145"/>
      <c r="K1081" s="145">
        <f t="shared" si="178"/>
        <v>2000</v>
      </c>
      <c r="L1081" s="80"/>
      <c r="M1081" s="145"/>
      <c r="N1081" s="145"/>
      <c r="O1081" s="145">
        <f t="shared" si="179"/>
        <v>0</v>
      </c>
      <c r="P1081" s="80"/>
      <c r="Q1081" s="145">
        <f t="shared" si="174"/>
        <v>2000</v>
      </c>
      <c r="R1081" s="145">
        <f t="shared" si="176"/>
        <v>0</v>
      </c>
      <c r="S1081" s="145">
        <f t="shared" si="177"/>
        <v>2000</v>
      </c>
    </row>
    <row r="1082" spans="2:19" x14ac:dyDescent="0.2">
      <c r="B1082" s="79">
        <f t="shared" si="180"/>
        <v>335</v>
      </c>
      <c r="C1082" s="4"/>
      <c r="D1082" s="4"/>
      <c r="E1082" s="4"/>
      <c r="F1082" s="56" t="s">
        <v>270</v>
      </c>
      <c r="G1082" s="4">
        <v>637</v>
      </c>
      <c r="H1082" s="4" t="s">
        <v>129</v>
      </c>
      <c r="I1082" s="26">
        <f>10313+4200</f>
        <v>14513</v>
      </c>
      <c r="J1082" s="26">
        <v>5177</v>
      </c>
      <c r="K1082" s="26">
        <f t="shared" si="178"/>
        <v>19690</v>
      </c>
      <c r="L1082" s="80"/>
      <c r="M1082" s="26"/>
      <c r="N1082" s="26"/>
      <c r="O1082" s="26">
        <f t="shared" si="179"/>
        <v>0</v>
      </c>
      <c r="P1082" s="80"/>
      <c r="Q1082" s="26">
        <f t="shared" si="174"/>
        <v>14513</v>
      </c>
      <c r="R1082" s="26">
        <f t="shared" si="176"/>
        <v>5177</v>
      </c>
      <c r="S1082" s="26">
        <f t="shared" si="177"/>
        <v>19690</v>
      </c>
    </row>
    <row r="1083" spans="2:19" x14ac:dyDescent="0.2">
      <c r="B1083" s="79">
        <f t="shared" si="180"/>
        <v>336</v>
      </c>
      <c r="C1083" s="15"/>
      <c r="D1083" s="15"/>
      <c r="E1083" s="15"/>
      <c r="F1083" s="55" t="s">
        <v>270</v>
      </c>
      <c r="G1083" s="15">
        <v>640</v>
      </c>
      <c r="H1083" s="15" t="s">
        <v>135</v>
      </c>
      <c r="I1083" s="52">
        <v>1550</v>
      </c>
      <c r="J1083" s="52">
        <v>-839</v>
      </c>
      <c r="K1083" s="52">
        <f t="shared" si="178"/>
        <v>711</v>
      </c>
      <c r="L1083" s="126"/>
      <c r="M1083" s="52"/>
      <c r="N1083" s="52"/>
      <c r="O1083" s="52">
        <f t="shared" si="179"/>
        <v>0</v>
      </c>
      <c r="P1083" s="126"/>
      <c r="Q1083" s="52">
        <f t="shared" si="174"/>
        <v>1550</v>
      </c>
      <c r="R1083" s="52">
        <f t="shared" si="176"/>
        <v>-839</v>
      </c>
      <c r="S1083" s="52">
        <f t="shared" si="177"/>
        <v>711</v>
      </c>
    </row>
    <row r="1084" spans="2:19" x14ac:dyDescent="0.2">
      <c r="B1084" s="79">
        <f t="shared" si="180"/>
        <v>337</v>
      </c>
      <c r="C1084" s="15"/>
      <c r="D1084" s="15"/>
      <c r="E1084" s="15"/>
      <c r="F1084" s="55" t="s">
        <v>270</v>
      </c>
      <c r="G1084" s="15">
        <v>630</v>
      </c>
      <c r="H1084" s="15" t="s">
        <v>715</v>
      </c>
      <c r="I1084" s="52">
        <v>600</v>
      </c>
      <c r="J1084" s="52"/>
      <c r="K1084" s="52">
        <f t="shared" si="178"/>
        <v>600</v>
      </c>
      <c r="L1084" s="126"/>
      <c r="M1084" s="52"/>
      <c r="N1084" s="52"/>
      <c r="O1084" s="52">
        <f t="shared" si="179"/>
        <v>0</v>
      </c>
      <c r="P1084" s="126"/>
      <c r="Q1084" s="52">
        <f t="shared" si="174"/>
        <v>600</v>
      </c>
      <c r="R1084" s="52">
        <f t="shared" si="176"/>
        <v>0</v>
      </c>
      <c r="S1084" s="52">
        <f t="shared" si="177"/>
        <v>600</v>
      </c>
    </row>
    <row r="1085" spans="2:19" x14ac:dyDescent="0.2">
      <c r="B1085" s="79">
        <f t="shared" si="180"/>
        <v>338</v>
      </c>
      <c r="C1085" s="15"/>
      <c r="D1085" s="15"/>
      <c r="E1085" s="15"/>
      <c r="F1085" s="55" t="s">
        <v>76</v>
      </c>
      <c r="G1085" s="15">
        <v>630</v>
      </c>
      <c r="H1085" s="15" t="s">
        <v>663</v>
      </c>
      <c r="I1085" s="52">
        <v>173</v>
      </c>
      <c r="J1085" s="52">
        <v>500</v>
      </c>
      <c r="K1085" s="52">
        <f t="shared" si="178"/>
        <v>673</v>
      </c>
      <c r="L1085" s="126"/>
      <c r="M1085" s="52"/>
      <c r="N1085" s="52"/>
      <c r="O1085" s="52">
        <f t="shared" si="179"/>
        <v>0</v>
      </c>
      <c r="P1085" s="126"/>
      <c r="Q1085" s="52">
        <f t="shared" si="174"/>
        <v>173</v>
      </c>
      <c r="R1085" s="52">
        <f t="shared" si="176"/>
        <v>500</v>
      </c>
      <c r="S1085" s="52">
        <f t="shared" si="177"/>
        <v>673</v>
      </c>
    </row>
    <row r="1086" spans="2:19" x14ac:dyDescent="0.2">
      <c r="B1086" s="79">
        <f t="shared" si="180"/>
        <v>339</v>
      </c>
      <c r="C1086" s="15"/>
      <c r="D1086" s="15"/>
      <c r="E1086" s="15"/>
      <c r="F1086" s="55"/>
      <c r="G1086" s="15"/>
      <c r="H1086" s="15"/>
      <c r="I1086" s="52"/>
      <c r="J1086" s="52"/>
      <c r="K1086" s="52">
        <f t="shared" si="178"/>
        <v>0</v>
      </c>
      <c r="L1086" s="126"/>
      <c r="M1086" s="52"/>
      <c r="N1086" s="52"/>
      <c r="O1086" s="52">
        <f t="shared" si="179"/>
        <v>0</v>
      </c>
      <c r="P1086" s="126"/>
      <c r="Q1086" s="52"/>
      <c r="R1086" s="52"/>
      <c r="S1086" s="52"/>
    </row>
    <row r="1087" spans="2:19" x14ac:dyDescent="0.2">
      <c r="B1087" s="79">
        <f t="shared" si="180"/>
        <v>340</v>
      </c>
      <c r="C1087" s="15"/>
      <c r="D1087" s="15"/>
      <c r="E1087" s="15"/>
      <c r="F1087" s="55"/>
      <c r="G1087" s="15">
        <v>630</v>
      </c>
      <c r="H1087" s="15" t="s">
        <v>612</v>
      </c>
      <c r="I1087" s="52">
        <v>156</v>
      </c>
      <c r="J1087" s="52"/>
      <c r="K1087" s="52">
        <f t="shared" si="178"/>
        <v>156</v>
      </c>
      <c r="L1087" s="126"/>
      <c r="M1087" s="52"/>
      <c r="N1087" s="52"/>
      <c r="O1087" s="52">
        <f t="shared" si="179"/>
        <v>0</v>
      </c>
      <c r="P1087" s="126"/>
      <c r="Q1087" s="52">
        <f t="shared" ref="Q1087" si="181">M1087+I1087</f>
        <v>156</v>
      </c>
      <c r="R1087" s="52">
        <f t="shared" ref="R1087" si="182">N1087+J1087</f>
        <v>0</v>
      </c>
      <c r="S1087" s="52">
        <f t="shared" ref="S1087" si="183">O1087+K1087</f>
        <v>156</v>
      </c>
    </row>
    <row r="1088" spans="2:19" x14ac:dyDescent="0.2">
      <c r="B1088" s="79">
        <f t="shared" si="180"/>
        <v>341</v>
      </c>
      <c r="C1088" s="15"/>
      <c r="D1088" s="15"/>
      <c r="E1088" s="15"/>
      <c r="F1088" s="55"/>
      <c r="G1088" s="15"/>
      <c r="H1088" s="15"/>
      <c r="I1088" s="52"/>
      <c r="J1088" s="52"/>
      <c r="K1088" s="52">
        <f t="shared" si="178"/>
        <v>0</v>
      </c>
      <c r="L1088" s="126"/>
      <c r="M1088" s="52"/>
      <c r="N1088" s="52"/>
      <c r="O1088" s="52">
        <f t="shared" si="179"/>
        <v>0</v>
      </c>
      <c r="P1088" s="126"/>
      <c r="Q1088" s="52"/>
      <c r="R1088" s="52"/>
      <c r="S1088" s="52"/>
    </row>
    <row r="1089" spans="2:19" x14ac:dyDescent="0.2">
      <c r="B1089" s="79">
        <f t="shared" ref="B1089:B1143" si="184">B1088+1</f>
        <v>342</v>
      </c>
      <c r="C1089" s="15"/>
      <c r="D1089" s="15"/>
      <c r="E1089" s="15"/>
      <c r="F1089" s="55" t="s">
        <v>270</v>
      </c>
      <c r="G1089" s="15">
        <v>710</v>
      </c>
      <c r="H1089" s="15" t="s">
        <v>184</v>
      </c>
      <c r="I1089" s="52">
        <f>I1092</f>
        <v>0</v>
      </c>
      <c r="J1089" s="52">
        <f>J1092</f>
        <v>0</v>
      </c>
      <c r="K1089" s="52">
        <f t="shared" si="178"/>
        <v>0</v>
      </c>
      <c r="L1089" s="126"/>
      <c r="M1089" s="52">
        <f>M1092+M1090</f>
        <v>102000</v>
      </c>
      <c r="N1089" s="52">
        <f>N1092+N1090</f>
        <v>0</v>
      </c>
      <c r="O1089" s="52">
        <f t="shared" si="179"/>
        <v>102000</v>
      </c>
      <c r="P1089" s="126"/>
      <c r="Q1089" s="52">
        <f t="shared" si="174"/>
        <v>102000</v>
      </c>
      <c r="R1089" s="52">
        <f t="shared" ref="R1089" si="185">N1089+J1089</f>
        <v>0</v>
      </c>
      <c r="S1089" s="52">
        <f t="shared" ref="S1089" si="186">O1089+K1089</f>
        <v>102000</v>
      </c>
    </row>
    <row r="1090" spans="2:19" x14ac:dyDescent="0.2">
      <c r="B1090" s="79">
        <f t="shared" si="184"/>
        <v>343</v>
      </c>
      <c r="C1090" s="15"/>
      <c r="D1090" s="15"/>
      <c r="E1090" s="15"/>
      <c r="F1090" s="89" t="s">
        <v>270</v>
      </c>
      <c r="G1090" s="90">
        <v>716</v>
      </c>
      <c r="H1090" s="90" t="s">
        <v>0</v>
      </c>
      <c r="I1090" s="91"/>
      <c r="J1090" s="91"/>
      <c r="K1090" s="91">
        <f t="shared" si="178"/>
        <v>0</v>
      </c>
      <c r="L1090" s="80"/>
      <c r="M1090" s="91">
        <f>M1091</f>
        <v>4000</v>
      </c>
      <c r="N1090" s="91">
        <f>N1091</f>
        <v>0</v>
      </c>
      <c r="O1090" s="91">
        <f t="shared" si="179"/>
        <v>4000</v>
      </c>
      <c r="P1090" s="80"/>
      <c r="Q1090" s="91">
        <f t="shared" ref="Q1090" si="187">I1090+M1090</f>
        <v>4000</v>
      </c>
      <c r="R1090" s="91">
        <f t="shared" ref="R1090" si="188">J1090+N1090</f>
        <v>0</v>
      </c>
      <c r="S1090" s="91">
        <f t="shared" ref="S1090" si="189">K1090+O1090</f>
        <v>4000</v>
      </c>
    </row>
    <row r="1091" spans="2:19" ht="24" x14ac:dyDescent="0.2">
      <c r="B1091" s="79">
        <f t="shared" si="184"/>
        <v>344</v>
      </c>
      <c r="C1091" s="15"/>
      <c r="D1091" s="15"/>
      <c r="E1091" s="15"/>
      <c r="F1091" s="55"/>
      <c r="G1091" s="15"/>
      <c r="H1091" s="168" t="s">
        <v>689</v>
      </c>
      <c r="I1091" s="52"/>
      <c r="J1091" s="52"/>
      <c r="K1091" s="52">
        <f t="shared" si="178"/>
        <v>0</v>
      </c>
      <c r="L1091" s="126"/>
      <c r="M1091" s="62">
        <f>2900+1100</f>
        <v>4000</v>
      </c>
      <c r="N1091" s="62"/>
      <c r="O1091" s="62">
        <f t="shared" si="179"/>
        <v>4000</v>
      </c>
      <c r="P1091" s="80"/>
      <c r="Q1091" s="62">
        <f>M1091</f>
        <v>4000</v>
      </c>
      <c r="R1091" s="62">
        <f t="shared" ref="R1091:S1091" si="190">N1091</f>
        <v>0</v>
      </c>
      <c r="S1091" s="62">
        <f t="shared" si="190"/>
        <v>4000</v>
      </c>
    </row>
    <row r="1092" spans="2:19" x14ac:dyDescent="0.2">
      <c r="B1092" s="79">
        <f t="shared" si="184"/>
        <v>345</v>
      </c>
      <c r="C1092" s="4"/>
      <c r="D1092" s="4"/>
      <c r="E1092" s="4"/>
      <c r="F1092" s="89" t="s">
        <v>270</v>
      </c>
      <c r="G1092" s="90">
        <v>717</v>
      </c>
      <c r="H1092" s="90" t="s">
        <v>194</v>
      </c>
      <c r="I1092" s="91"/>
      <c r="J1092" s="91"/>
      <c r="K1092" s="91">
        <f t="shared" si="178"/>
        <v>0</v>
      </c>
      <c r="L1092" s="80"/>
      <c r="M1092" s="91">
        <f>SUM(M1093:M1094)</f>
        <v>98000</v>
      </c>
      <c r="N1092" s="91">
        <f>SUM(N1093:N1094)</f>
        <v>0</v>
      </c>
      <c r="O1092" s="91">
        <f t="shared" si="179"/>
        <v>98000</v>
      </c>
      <c r="P1092" s="80"/>
      <c r="Q1092" s="91">
        <f t="shared" si="174"/>
        <v>98000</v>
      </c>
      <c r="R1092" s="91">
        <f t="shared" ref="R1092:R1115" si="191">N1092+J1092</f>
        <v>0</v>
      </c>
      <c r="S1092" s="91">
        <f t="shared" ref="S1092:S1115" si="192">O1092+K1092</f>
        <v>98000</v>
      </c>
    </row>
    <row r="1093" spans="2:19" x14ac:dyDescent="0.2">
      <c r="B1093" s="79">
        <f t="shared" si="184"/>
        <v>346</v>
      </c>
      <c r="C1093" s="4"/>
      <c r="D1093" s="4"/>
      <c r="E1093" s="4"/>
      <c r="F1093" s="56"/>
      <c r="G1093" s="4"/>
      <c r="H1093" s="4" t="s">
        <v>707</v>
      </c>
      <c r="I1093" s="26"/>
      <c r="J1093" s="26"/>
      <c r="K1093" s="26">
        <f t="shared" si="178"/>
        <v>0</v>
      </c>
      <c r="L1093" s="80"/>
      <c r="M1093" s="26">
        <f>34000+30000+21000-2900-1100</f>
        <v>81000</v>
      </c>
      <c r="N1093" s="26"/>
      <c r="O1093" s="26">
        <f t="shared" si="179"/>
        <v>81000</v>
      </c>
      <c r="P1093" s="80"/>
      <c r="Q1093" s="26">
        <f t="shared" si="174"/>
        <v>81000</v>
      </c>
      <c r="R1093" s="26">
        <f t="shared" si="191"/>
        <v>0</v>
      </c>
      <c r="S1093" s="26">
        <f t="shared" si="192"/>
        <v>81000</v>
      </c>
    </row>
    <row r="1094" spans="2:19" x14ac:dyDescent="0.2">
      <c r="B1094" s="79">
        <f t="shared" si="184"/>
        <v>347</v>
      </c>
      <c r="C1094" s="4"/>
      <c r="D1094" s="4"/>
      <c r="E1094" s="4"/>
      <c r="F1094" s="56"/>
      <c r="G1094" s="4"/>
      <c r="H1094" s="4" t="s">
        <v>671</v>
      </c>
      <c r="I1094" s="26"/>
      <c r="J1094" s="26"/>
      <c r="K1094" s="26">
        <f t="shared" si="178"/>
        <v>0</v>
      </c>
      <c r="L1094" s="80"/>
      <c r="M1094" s="26">
        <v>17000</v>
      </c>
      <c r="N1094" s="26"/>
      <c r="O1094" s="26">
        <f t="shared" si="179"/>
        <v>17000</v>
      </c>
      <c r="P1094" s="80"/>
      <c r="Q1094" s="26">
        <f t="shared" si="174"/>
        <v>17000</v>
      </c>
      <c r="R1094" s="26">
        <f t="shared" si="191"/>
        <v>0</v>
      </c>
      <c r="S1094" s="26">
        <f t="shared" si="192"/>
        <v>17000</v>
      </c>
    </row>
    <row r="1095" spans="2:19" ht="15" x14ac:dyDescent="0.25">
      <c r="B1095" s="79">
        <f t="shared" si="184"/>
        <v>348</v>
      </c>
      <c r="C1095" s="18"/>
      <c r="D1095" s="18"/>
      <c r="E1095" s="18">
        <v>10</v>
      </c>
      <c r="F1095" s="53"/>
      <c r="G1095" s="18"/>
      <c r="H1095" s="18" t="s">
        <v>256</v>
      </c>
      <c r="I1095" s="50">
        <f>I1096+I1097+I1098+I1104+I1105+I1106+I1107+I1114+I1119+I1117+I1115</f>
        <v>401271</v>
      </c>
      <c r="J1095" s="50">
        <f>J1096+J1097+J1098+J1104+J1105+J1106+J1107+J1114+J1119+J1117+J1115</f>
        <v>31698</v>
      </c>
      <c r="K1095" s="50">
        <f t="shared" si="178"/>
        <v>432969</v>
      </c>
      <c r="L1095" s="203"/>
      <c r="M1095" s="50">
        <f>M1096+M1097+M1098+M1104+M1105+M1106+M1107+M1114+M1119</f>
        <v>121510</v>
      </c>
      <c r="N1095" s="50">
        <f>N1096+N1097+N1098+N1104+N1105+N1106+N1107+N1114+N1119</f>
        <v>0</v>
      </c>
      <c r="O1095" s="50">
        <f t="shared" si="179"/>
        <v>121510</v>
      </c>
      <c r="P1095" s="203"/>
      <c r="Q1095" s="50">
        <f t="shared" si="174"/>
        <v>522781</v>
      </c>
      <c r="R1095" s="50">
        <f t="shared" si="191"/>
        <v>31698</v>
      </c>
      <c r="S1095" s="50">
        <f t="shared" si="192"/>
        <v>554479</v>
      </c>
    </row>
    <row r="1096" spans="2:19" x14ac:dyDescent="0.2">
      <c r="B1096" s="79">
        <f t="shared" si="184"/>
        <v>349</v>
      </c>
      <c r="C1096" s="15"/>
      <c r="D1096" s="15"/>
      <c r="E1096" s="15"/>
      <c r="F1096" s="55" t="s">
        <v>126</v>
      </c>
      <c r="G1096" s="15">
        <v>610</v>
      </c>
      <c r="H1096" s="15" t="s">
        <v>136</v>
      </c>
      <c r="I1096" s="52">
        <v>96918</v>
      </c>
      <c r="J1096" s="52">
        <v>6344</v>
      </c>
      <c r="K1096" s="52">
        <f t="shared" si="178"/>
        <v>103262</v>
      </c>
      <c r="L1096" s="126"/>
      <c r="M1096" s="52"/>
      <c r="N1096" s="52"/>
      <c r="O1096" s="52">
        <f t="shared" si="179"/>
        <v>0</v>
      </c>
      <c r="P1096" s="126"/>
      <c r="Q1096" s="52">
        <f t="shared" si="174"/>
        <v>96918</v>
      </c>
      <c r="R1096" s="52">
        <f t="shared" si="191"/>
        <v>6344</v>
      </c>
      <c r="S1096" s="52">
        <f t="shared" si="192"/>
        <v>103262</v>
      </c>
    </row>
    <row r="1097" spans="2:19" x14ac:dyDescent="0.2">
      <c r="B1097" s="79">
        <f t="shared" si="184"/>
        <v>350</v>
      </c>
      <c r="C1097" s="15"/>
      <c r="D1097" s="15"/>
      <c r="E1097" s="15"/>
      <c r="F1097" s="55" t="s">
        <v>126</v>
      </c>
      <c r="G1097" s="15">
        <v>620</v>
      </c>
      <c r="H1097" s="15" t="s">
        <v>131</v>
      </c>
      <c r="I1097" s="52">
        <v>33873</v>
      </c>
      <c r="J1097" s="52">
        <v>2703</v>
      </c>
      <c r="K1097" s="52">
        <f t="shared" si="178"/>
        <v>36576</v>
      </c>
      <c r="L1097" s="126"/>
      <c r="M1097" s="52"/>
      <c r="N1097" s="52"/>
      <c r="O1097" s="52">
        <f t="shared" si="179"/>
        <v>0</v>
      </c>
      <c r="P1097" s="126"/>
      <c r="Q1097" s="52">
        <f t="shared" si="174"/>
        <v>33873</v>
      </c>
      <c r="R1097" s="52">
        <f t="shared" si="191"/>
        <v>2703</v>
      </c>
      <c r="S1097" s="52">
        <f t="shared" si="192"/>
        <v>36576</v>
      </c>
    </row>
    <row r="1098" spans="2:19" x14ac:dyDescent="0.2">
      <c r="B1098" s="79">
        <f t="shared" si="184"/>
        <v>351</v>
      </c>
      <c r="C1098" s="15"/>
      <c r="D1098" s="15"/>
      <c r="E1098" s="15"/>
      <c r="F1098" s="55" t="s">
        <v>126</v>
      </c>
      <c r="G1098" s="15">
        <v>630</v>
      </c>
      <c r="H1098" s="15" t="s">
        <v>128</v>
      </c>
      <c r="I1098" s="52">
        <f>I1103+I1102+I1101+I1100+I1099</f>
        <v>19976</v>
      </c>
      <c r="J1098" s="52">
        <f>J1103+J1102+J1101+J1100+J1099</f>
        <v>5587</v>
      </c>
      <c r="K1098" s="52">
        <f t="shared" si="178"/>
        <v>25563</v>
      </c>
      <c r="L1098" s="126"/>
      <c r="M1098" s="52">
        <v>0</v>
      </c>
      <c r="N1098" s="52"/>
      <c r="O1098" s="52">
        <f t="shared" si="179"/>
        <v>0</v>
      </c>
      <c r="P1098" s="126"/>
      <c r="Q1098" s="52">
        <f t="shared" si="174"/>
        <v>19976</v>
      </c>
      <c r="R1098" s="52">
        <f t="shared" si="191"/>
        <v>5587</v>
      </c>
      <c r="S1098" s="52">
        <f t="shared" si="192"/>
        <v>25563</v>
      </c>
    </row>
    <row r="1099" spans="2:19" x14ac:dyDescent="0.2">
      <c r="B1099" s="79">
        <f t="shared" si="184"/>
        <v>352</v>
      </c>
      <c r="C1099" s="4"/>
      <c r="D1099" s="4"/>
      <c r="E1099" s="4"/>
      <c r="F1099" s="56" t="s">
        <v>126</v>
      </c>
      <c r="G1099" s="4">
        <v>631</v>
      </c>
      <c r="H1099" s="4" t="s">
        <v>134</v>
      </c>
      <c r="I1099" s="26">
        <v>200</v>
      </c>
      <c r="J1099" s="26">
        <v>-110</v>
      </c>
      <c r="K1099" s="26">
        <f t="shared" si="178"/>
        <v>90</v>
      </c>
      <c r="L1099" s="80"/>
      <c r="M1099" s="26"/>
      <c r="N1099" s="26"/>
      <c r="O1099" s="26">
        <f t="shared" si="179"/>
        <v>0</v>
      </c>
      <c r="P1099" s="80"/>
      <c r="Q1099" s="26">
        <f t="shared" si="174"/>
        <v>200</v>
      </c>
      <c r="R1099" s="26">
        <f t="shared" si="191"/>
        <v>-110</v>
      </c>
      <c r="S1099" s="26">
        <f t="shared" si="192"/>
        <v>90</v>
      </c>
    </row>
    <row r="1100" spans="2:19" x14ac:dyDescent="0.2">
      <c r="B1100" s="79">
        <f t="shared" si="184"/>
        <v>353</v>
      </c>
      <c r="C1100" s="4"/>
      <c r="D1100" s="4"/>
      <c r="E1100" s="4"/>
      <c r="F1100" s="56" t="s">
        <v>126</v>
      </c>
      <c r="G1100" s="4">
        <v>632</v>
      </c>
      <c r="H1100" s="4" t="s">
        <v>139</v>
      </c>
      <c r="I1100" s="26">
        <f>8860-4000</f>
        <v>4860</v>
      </c>
      <c r="J1100" s="26"/>
      <c r="K1100" s="26">
        <f t="shared" si="178"/>
        <v>4860</v>
      </c>
      <c r="L1100" s="80"/>
      <c r="M1100" s="26"/>
      <c r="N1100" s="26"/>
      <c r="O1100" s="26">
        <f t="shared" si="179"/>
        <v>0</v>
      </c>
      <c r="P1100" s="80"/>
      <c r="Q1100" s="26">
        <f t="shared" si="174"/>
        <v>4860</v>
      </c>
      <c r="R1100" s="26">
        <f t="shared" si="191"/>
        <v>0</v>
      </c>
      <c r="S1100" s="26">
        <f t="shared" si="192"/>
        <v>4860</v>
      </c>
    </row>
    <row r="1101" spans="2:19" x14ac:dyDescent="0.2">
      <c r="B1101" s="79">
        <f t="shared" si="184"/>
        <v>354</v>
      </c>
      <c r="C1101" s="4"/>
      <c r="D1101" s="4"/>
      <c r="E1101" s="4"/>
      <c r="F1101" s="56" t="s">
        <v>126</v>
      </c>
      <c r="G1101" s="4">
        <v>633</v>
      </c>
      <c r="H1101" s="4" t="s">
        <v>132</v>
      </c>
      <c r="I1101" s="26">
        <f>5080+4000</f>
        <v>9080</v>
      </c>
      <c r="J1101" s="26">
        <v>637</v>
      </c>
      <c r="K1101" s="26">
        <f t="shared" si="178"/>
        <v>9717</v>
      </c>
      <c r="L1101" s="80"/>
      <c r="M1101" s="26"/>
      <c r="N1101" s="26"/>
      <c r="O1101" s="26">
        <f t="shared" si="179"/>
        <v>0</v>
      </c>
      <c r="P1101" s="80"/>
      <c r="Q1101" s="26">
        <f t="shared" si="174"/>
        <v>9080</v>
      </c>
      <c r="R1101" s="26">
        <f t="shared" si="191"/>
        <v>637</v>
      </c>
      <c r="S1101" s="26">
        <f t="shared" si="192"/>
        <v>9717</v>
      </c>
    </row>
    <row r="1102" spans="2:19" x14ac:dyDescent="0.2">
      <c r="B1102" s="79">
        <f t="shared" si="184"/>
        <v>355</v>
      </c>
      <c r="C1102" s="4"/>
      <c r="D1102" s="4"/>
      <c r="E1102" s="4"/>
      <c r="F1102" s="56" t="s">
        <v>126</v>
      </c>
      <c r="G1102" s="4">
        <v>635</v>
      </c>
      <c r="H1102" s="4" t="s">
        <v>138</v>
      </c>
      <c r="I1102" s="26">
        <v>1890</v>
      </c>
      <c r="J1102" s="26"/>
      <c r="K1102" s="26">
        <f t="shared" si="178"/>
        <v>1890</v>
      </c>
      <c r="L1102" s="80"/>
      <c r="M1102" s="26"/>
      <c r="N1102" s="26"/>
      <c r="O1102" s="26">
        <f t="shared" si="179"/>
        <v>0</v>
      </c>
      <c r="P1102" s="80"/>
      <c r="Q1102" s="26">
        <f t="shared" si="174"/>
        <v>1890</v>
      </c>
      <c r="R1102" s="26">
        <f t="shared" si="191"/>
        <v>0</v>
      </c>
      <c r="S1102" s="26">
        <f t="shared" si="192"/>
        <v>1890</v>
      </c>
    </row>
    <row r="1103" spans="2:19" x14ac:dyDescent="0.2">
      <c r="B1103" s="79">
        <f t="shared" si="184"/>
        <v>356</v>
      </c>
      <c r="C1103" s="4"/>
      <c r="D1103" s="4"/>
      <c r="E1103" s="4"/>
      <c r="F1103" s="56" t="s">
        <v>126</v>
      </c>
      <c r="G1103" s="4">
        <v>637</v>
      </c>
      <c r="H1103" s="4" t="s">
        <v>129</v>
      </c>
      <c r="I1103" s="26">
        <v>3946</v>
      </c>
      <c r="J1103" s="26">
        <v>5060</v>
      </c>
      <c r="K1103" s="26">
        <f t="shared" si="178"/>
        <v>9006</v>
      </c>
      <c r="L1103" s="80"/>
      <c r="M1103" s="26"/>
      <c r="N1103" s="26"/>
      <c r="O1103" s="26">
        <f t="shared" si="179"/>
        <v>0</v>
      </c>
      <c r="P1103" s="80"/>
      <c r="Q1103" s="26">
        <f t="shared" si="174"/>
        <v>3946</v>
      </c>
      <c r="R1103" s="26">
        <f t="shared" si="191"/>
        <v>5060</v>
      </c>
      <c r="S1103" s="26">
        <f t="shared" si="192"/>
        <v>9006</v>
      </c>
    </row>
    <row r="1104" spans="2:19" x14ac:dyDescent="0.2">
      <c r="B1104" s="79">
        <f t="shared" si="184"/>
        <v>357</v>
      </c>
      <c r="C1104" s="15"/>
      <c r="D1104" s="15"/>
      <c r="E1104" s="15"/>
      <c r="F1104" s="55" t="s">
        <v>126</v>
      </c>
      <c r="G1104" s="15">
        <v>640</v>
      </c>
      <c r="H1104" s="15" t="s">
        <v>135</v>
      </c>
      <c r="I1104" s="52">
        <v>100</v>
      </c>
      <c r="J1104" s="52">
        <v>336</v>
      </c>
      <c r="K1104" s="52">
        <f t="shared" si="178"/>
        <v>436</v>
      </c>
      <c r="L1104" s="126"/>
      <c r="M1104" s="52"/>
      <c r="N1104" s="52"/>
      <c r="O1104" s="52">
        <f t="shared" si="179"/>
        <v>0</v>
      </c>
      <c r="P1104" s="126"/>
      <c r="Q1104" s="52">
        <f t="shared" si="174"/>
        <v>100</v>
      </c>
      <c r="R1104" s="52">
        <f t="shared" si="191"/>
        <v>336</v>
      </c>
      <c r="S1104" s="52">
        <f t="shared" si="192"/>
        <v>436</v>
      </c>
    </row>
    <row r="1105" spans="2:19" x14ac:dyDescent="0.2">
      <c r="B1105" s="79">
        <f t="shared" si="184"/>
        <v>358</v>
      </c>
      <c r="C1105" s="15"/>
      <c r="D1105" s="15"/>
      <c r="E1105" s="15"/>
      <c r="F1105" s="55" t="s">
        <v>270</v>
      </c>
      <c r="G1105" s="15">
        <v>610</v>
      </c>
      <c r="H1105" s="15" t="s">
        <v>136</v>
      </c>
      <c r="I1105" s="52">
        <f>124619+1001</f>
        <v>125620</v>
      </c>
      <c r="J1105" s="52">
        <v>7633</v>
      </c>
      <c r="K1105" s="52">
        <f t="shared" si="178"/>
        <v>133253</v>
      </c>
      <c r="L1105" s="126"/>
      <c r="M1105" s="52"/>
      <c r="N1105" s="52"/>
      <c r="O1105" s="52">
        <f t="shared" si="179"/>
        <v>0</v>
      </c>
      <c r="P1105" s="126"/>
      <c r="Q1105" s="52">
        <f t="shared" si="174"/>
        <v>125620</v>
      </c>
      <c r="R1105" s="52">
        <f t="shared" si="191"/>
        <v>7633</v>
      </c>
      <c r="S1105" s="52">
        <f t="shared" si="192"/>
        <v>133253</v>
      </c>
    </row>
    <row r="1106" spans="2:19" x14ac:dyDescent="0.2">
      <c r="B1106" s="79">
        <f t="shared" si="184"/>
        <v>359</v>
      </c>
      <c r="C1106" s="15"/>
      <c r="D1106" s="15"/>
      <c r="E1106" s="15"/>
      <c r="F1106" s="55" t="s">
        <v>270</v>
      </c>
      <c r="G1106" s="15">
        <v>620</v>
      </c>
      <c r="H1106" s="15" t="s">
        <v>131</v>
      </c>
      <c r="I1106" s="52">
        <f>43557+350</f>
        <v>43907</v>
      </c>
      <c r="J1106" s="52">
        <v>2940</v>
      </c>
      <c r="K1106" s="52">
        <f t="shared" si="178"/>
        <v>46847</v>
      </c>
      <c r="L1106" s="126"/>
      <c r="M1106" s="52"/>
      <c r="N1106" s="52"/>
      <c r="O1106" s="52">
        <f t="shared" si="179"/>
        <v>0</v>
      </c>
      <c r="P1106" s="126"/>
      <c r="Q1106" s="52">
        <f t="shared" si="174"/>
        <v>43907</v>
      </c>
      <c r="R1106" s="52">
        <f t="shared" si="191"/>
        <v>2940</v>
      </c>
      <c r="S1106" s="52">
        <f t="shared" si="192"/>
        <v>46847</v>
      </c>
    </row>
    <row r="1107" spans="2:19" x14ac:dyDescent="0.2">
      <c r="B1107" s="79">
        <f t="shared" si="184"/>
        <v>360</v>
      </c>
      <c r="C1107" s="15"/>
      <c r="D1107" s="15"/>
      <c r="E1107" s="15"/>
      <c r="F1107" s="55" t="s">
        <v>270</v>
      </c>
      <c r="G1107" s="15">
        <v>630</v>
      </c>
      <c r="H1107" s="15" t="s">
        <v>128</v>
      </c>
      <c r="I1107" s="52">
        <f>I1113+I1112+I1111+I1110+I1109+I1108</f>
        <v>72319</v>
      </c>
      <c r="J1107" s="52">
        <f>J1113+J1112+J1111+J1110+J1109+J1108</f>
        <v>5900</v>
      </c>
      <c r="K1107" s="52">
        <f t="shared" si="178"/>
        <v>78219</v>
      </c>
      <c r="L1107" s="126"/>
      <c r="M1107" s="52">
        <f>M1113+M1112+M1111+M1110+M1109+M1108</f>
        <v>0</v>
      </c>
      <c r="N1107" s="52">
        <f>N1113+N1112+N1111+N1110+N1109+N1108</f>
        <v>0</v>
      </c>
      <c r="O1107" s="52">
        <f t="shared" si="179"/>
        <v>0</v>
      </c>
      <c r="P1107" s="126"/>
      <c r="Q1107" s="52">
        <f t="shared" si="174"/>
        <v>72319</v>
      </c>
      <c r="R1107" s="52">
        <f t="shared" si="191"/>
        <v>5900</v>
      </c>
      <c r="S1107" s="52">
        <f t="shared" si="192"/>
        <v>78219</v>
      </c>
    </row>
    <row r="1108" spans="2:19" x14ac:dyDescent="0.2">
      <c r="B1108" s="79">
        <f t="shared" si="184"/>
        <v>361</v>
      </c>
      <c r="C1108" s="4"/>
      <c r="D1108" s="4"/>
      <c r="E1108" s="4"/>
      <c r="F1108" s="56" t="s">
        <v>270</v>
      </c>
      <c r="G1108" s="4">
        <v>631</v>
      </c>
      <c r="H1108" s="4" t="s">
        <v>134</v>
      </c>
      <c r="I1108" s="26">
        <v>350</v>
      </c>
      <c r="J1108" s="26">
        <v>-300</v>
      </c>
      <c r="K1108" s="26">
        <f t="shared" si="178"/>
        <v>50</v>
      </c>
      <c r="L1108" s="80"/>
      <c r="M1108" s="26"/>
      <c r="N1108" s="26"/>
      <c r="O1108" s="26">
        <f t="shared" si="179"/>
        <v>0</v>
      </c>
      <c r="P1108" s="80"/>
      <c r="Q1108" s="26">
        <f t="shared" si="174"/>
        <v>350</v>
      </c>
      <c r="R1108" s="26">
        <f t="shared" si="191"/>
        <v>-300</v>
      </c>
      <c r="S1108" s="26">
        <f t="shared" si="192"/>
        <v>50</v>
      </c>
    </row>
    <row r="1109" spans="2:19" x14ac:dyDescent="0.2">
      <c r="B1109" s="79">
        <f t="shared" si="184"/>
        <v>362</v>
      </c>
      <c r="C1109" s="4"/>
      <c r="D1109" s="4"/>
      <c r="E1109" s="4"/>
      <c r="F1109" s="56" t="s">
        <v>270</v>
      </c>
      <c r="G1109" s="4">
        <v>632</v>
      </c>
      <c r="H1109" s="4" t="s">
        <v>139</v>
      </c>
      <c r="I1109" s="26">
        <f>58485-13990-1200</f>
        <v>43295</v>
      </c>
      <c r="J1109" s="26">
        <v>-5000</v>
      </c>
      <c r="K1109" s="26">
        <f t="shared" si="178"/>
        <v>38295</v>
      </c>
      <c r="L1109" s="80"/>
      <c r="M1109" s="26"/>
      <c r="N1109" s="26"/>
      <c r="O1109" s="26">
        <f t="shared" si="179"/>
        <v>0</v>
      </c>
      <c r="P1109" s="80"/>
      <c r="Q1109" s="26">
        <f t="shared" si="174"/>
        <v>43295</v>
      </c>
      <c r="R1109" s="26">
        <f t="shared" si="191"/>
        <v>-5000</v>
      </c>
      <c r="S1109" s="26">
        <f t="shared" si="192"/>
        <v>38295</v>
      </c>
    </row>
    <row r="1110" spans="2:19" x14ac:dyDescent="0.2">
      <c r="B1110" s="79">
        <f t="shared" si="184"/>
        <v>363</v>
      </c>
      <c r="C1110" s="4"/>
      <c r="D1110" s="4"/>
      <c r="E1110" s="4"/>
      <c r="F1110" s="56" t="s">
        <v>270</v>
      </c>
      <c r="G1110" s="4">
        <v>633</v>
      </c>
      <c r="H1110" s="4" t="s">
        <v>132</v>
      </c>
      <c r="I1110" s="26">
        <f>9467+4000</f>
        <v>13467</v>
      </c>
      <c r="J1110" s="26">
        <v>8412</v>
      </c>
      <c r="K1110" s="26">
        <f t="shared" si="178"/>
        <v>21879</v>
      </c>
      <c r="L1110" s="80"/>
      <c r="M1110" s="26"/>
      <c r="N1110" s="26"/>
      <c r="O1110" s="26">
        <f t="shared" si="179"/>
        <v>0</v>
      </c>
      <c r="P1110" s="80"/>
      <c r="Q1110" s="26">
        <f t="shared" si="174"/>
        <v>13467</v>
      </c>
      <c r="R1110" s="26">
        <f t="shared" si="191"/>
        <v>8412</v>
      </c>
      <c r="S1110" s="26">
        <f t="shared" si="192"/>
        <v>21879</v>
      </c>
    </row>
    <row r="1111" spans="2:19" x14ac:dyDescent="0.2">
      <c r="B1111" s="79">
        <f t="shared" si="184"/>
        <v>364</v>
      </c>
      <c r="C1111" s="4"/>
      <c r="D1111" s="4"/>
      <c r="E1111" s="4"/>
      <c r="F1111" s="56" t="s">
        <v>270</v>
      </c>
      <c r="G1111" s="4">
        <v>635</v>
      </c>
      <c r="H1111" s="4" t="s">
        <v>138</v>
      </c>
      <c r="I1111" s="26">
        <v>1850</v>
      </c>
      <c r="J1111" s="26"/>
      <c r="K1111" s="26">
        <f t="shared" si="178"/>
        <v>1850</v>
      </c>
      <c r="L1111" s="80"/>
      <c r="M1111" s="26"/>
      <c r="N1111" s="26"/>
      <c r="O1111" s="26">
        <f t="shared" si="179"/>
        <v>0</v>
      </c>
      <c r="P1111" s="80"/>
      <c r="Q1111" s="26">
        <f t="shared" si="174"/>
        <v>1850</v>
      </c>
      <c r="R1111" s="26">
        <f t="shared" si="191"/>
        <v>0</v>
      </c>
      <c r="S1111" s="26">
        <f t="shared" si="192"/>
        <v>1850</v>
      </c>
    </row>
    <row r="1112" spans="2:19" x14ac:dyDescent="0.2">
      <c r="B1112" s="79">
        <f t="shared" si="184"/>
        <v>365</v>
      </c>
      <c r="C1112" s="4"/>
      <c r="D1112" s="4"/>
      <c r="E1112" s="4"/>
      <c r="F1112" s="56" t="s">
        <v>270</v>
      </c>
      <c r="G1112" s="4">
        <v>636</v>
      </c>
      <c r="H1112" s="4" t="s">
        <v>133</v>
      </c>
      <c r="I1112" s="26">
        <v>1650</v>
      </c>
      <c r="J1112" s="26"/>
      <c r="K1112" s="26">
        <f t="shared" si="178"/>
        <v>1650</v>
      </c>
      <c r="L1112" s="80"/>
      <c r="M1112" s="26"/>
      <c r="N1112" s="26"/>
      <c r="O1112" s="26">
        <f t="shared" si="179"/>
        <v>0</v>
      </c>
      <c r="P1112" s="80"/>
      <c r="Q1112" s="26">
        <f t="shared" si="174"/>
        <v>1650</v>
      </c>
      <c r="R1112" s="26">
        <f t="shared" si="191"/>
        <v>0</v>
      </c>
      <c r="S1112" s="26">
        <f t="shared" si="192"/>
        <v>1650</v>
      </c>
    </row>
    <row r="1113" spans="2:19" x14ac:dyDescent="0.2">
      <c r="B1113" s="79">
        <f t="shared" si="184"/>
        <v>366</v>
      </c>
      <c r="C1113" s="4"/>
      <c r="D1113" s="4"/>
      <c r="E1113" s="4"/>
      <c r="F1113" s="56" t="s">
        <v>270</v>
      </c>
      <c r="G1113" s="4">
        <v>637</v>
      </c>
      <c r="H1113" s="4" t="s">
        <v>129</v>
      </c>
      <c r="I1113" s="26">
        <f>6457+5250</f>
        <v>11707</v>
      </c>
      <c r="J1113" s="26">
        <v>2788</v>
      </c>
      <c r="K1113" s="26">
        <f t="shared" si="178"/>
        <v>14495</v>
      </c>
      <c r="L1113" s="80"/>
      <c r="M1113" s="26"/>
      <c r="N1113" s="26"/>
      <c r="O1113" s="26">
        <f t="shared" si="179"/>
        <v>0</v>
      </c>
      <c r="P1113" s="80"/>
      <c r="Q1113" s="26">
        <f t="shared" si="174"/>
        <v>11707</v>
      </c>
      <c r="R1113" s="26">
        <f t="shared" si="191"/>
        <v>2788</v>
      </c>
      <c r="S1113" s="26">
        <f t="shared" si="192"/>
        <v>14495</v>
      </c>
    </row>
    <row r="1114" spans="2:19" x14ac:dyDescent="0.2">
      <c r="B1114" s="79">
        <f t="shared" si="184"/>
        <v>367</v>
      </c>
      <c r="C1114" s="15"/>
      <c r="D1114" s="15"/>
      <c r="E1114" s="15"/>
      <c r="F1114" s="55" t="s">
        <v>270</v>
      </c>
      <c r="G1114" s="15">
        <v>640</v>
      </c>
      <c r="H1114" s="15" t="s">
        <v>135</v>
      </c>
      <c r="I1114" s="52">
        <v>500</v>
      </c>
      <c r="J1114" s="52">
        <v>-85</v>
      </c>
      <c r="K1114" s="52">
        <f t="shared" si="178"/>
        <v>415</v>
      </c>
      <c r="L1114" s="126"/>
      <c r="M1114" s="52"/>
      <c r="N1114" s="52"/>
      <c r="O1114" s="52">
        <f t="shared" si="179"/>
        <v>0</v>
      </c>
      <c r="P1114" s="126"/>
      <c r="Q1114" s="52">
        <f t="shared" si="174"/>
        <v>500</v>
      </c>
      <c r="R1114" s="52">
        <f t="shared" si="191"/>
        <v>-85</v>
      </c>
      <c r="S1114" s="52">
        <f t="shared" si="192"/>
        <v>415</v>
      </c>
    </row>
    <row r="1115" spans="2:19" x14ac:dyDescent="0.2">
      <c r="B1115" s="79">
        <f t="shared" si="184"/>
        <v>368</v>
      </c>
      <c r="C1115" s="15"/>
      <c r="D1115" s="15"/>
      <c r="E1115" s="15"/>
      <c r="F1115" s="55" t="s">
        <v>76</v>
      </c>
      <c r="G1115" s="15">
        <v>630</v>
      </c>
      <c r="H1115" s="15" t="s">
        <v>663</v>
      </c>
      <c r="I1115" s="52">
        <v>126</v>
      </c>
      <c r="J1115" s="52">
        <v>340</v>
      </c>
      <c r="K1115" s="52">
        <f t="shared" si="178"/>
        <v>466</v>
      </c>
      <c r="L1115" s="126"/>
      <c r="M1115" s="52"/>
      <c r="N1115" s="52"/>
      <c r="O1115" s="52">
        <f t="shared" si="179"/>
        <v>0</v>
      </c>
      <c r="P1115" s="126"/>
      <c r="Q1115" s="52">
        <f t="shared" si="174"/>
        <v>126</v>
      </c>
      <c r="R1115" s="52">
        <f t="shared" si="191"/>
        <v>340</v>
      </c>
      <c r="S1115" s="52">
        <f t="shared" si="192"/>
        <v>466</v>
      </c>
    </row>
    <row r="1116" spans="2:19" x14ac:dyDescent="0.2">
      <c r="B1116" s="79">
        <f t="shared" si="184"/>
        <v>369</v>
      </c>
      <c r="C1116" s="15"/>
      <c r="D1116" s="15"/>
      <c r="E1116" s="15"/>
      <c r="F1116" s="55"/>
      <c r="G1116" s="15"/>
      <c r="H1116" s="15"/>
      <c r="I1116" s="52"/>
      <c r="J1116" s="52"/>
      <c r="K1116" s="52"/>
      <c r="L1116" s="126"/>
      <c r="M1116" s="52"/>
      <c r="N1116" s="52"/>
      <c r="O1116" s="52">
        <f t="shared" si="179"/>
        <v>0</v>
      </c>
      <c r="P1116" s="126"/>
      <c r="Q1116" s="52"/>
      <c r="R1116" s="52"/>
      <c r="S1116" s="52"/>
    </row>
    <row r="1117" spans="2:19" x14ac:dyDescent="0.2">
      <c r="B1117" s="79">
        <f t="shared" si="184"/>
        <v>370</v>
      </c>
      <c r="C1117" s="15"/>
      <c r="D1117" s="15"/>
      <c r="E1117" s="15"/>
      <c r="F1117" s="55"/>
      <c r="G1117" s="15">
        <v>630</v>
      </c>
      <c r="H1117" s="15" t="s">
        <v>612</v>
      </c>
      <c r="I1117" s="52">
        <v>7932</v>
      </c>
      <c r="J1117" s="52"/>
      <c r="K1117" s="52">
        <f t="shared" si="178"/>
        <v>7932</v>
      </c>
      <c r="L1117" s="126"/>
      <c r="M1117" s="52"/>
      <c r="N1117" s="52"/>
      <c r="O1117" s="52">
        <f t="shared" si="179"/>
        <v>0</v>
      </c>
      <c r="P1117" s="126"/>
      <c r="Q1117" s="52">
        <f t="shared" ref="Q1117" si="193">M1117+I1117</f>
        <v>7932</v>
      </c>
      <c r="R1117" s="52">
        <f t="shared" ref="R1117" si="194">N1117+J1117</f>
        <v>0</v>
      </c>
      <c r="S1117" s="52">
        <f t="shared" ref="S1117" si="195">O1117+K1117</f>
        <v>7932</v>
      </c>
    </row>
    <row r="1118" spans="2:19" x14ac:dyDescent="0.2">
      <c r="B1118" s="79">
        <f t="shared" si="184"/>
        <v>371</v>
      </c>
      <c r="C1118" s="15"/>
      <c r="D1118" s="15"/>
      <c r="E1118" s="15"/>
      <c r="F1118" s="55"/>
      <c r="G1118" s="15"/>
      <c r="H1118" s="15"/>
      <c r="I1118" s="52"/>
      <c r="J1118" s="52"/>
      <c r="K1118" s="52"/>
      <c r="L1118" s="126"/>
      <c r="M1118" s="52"/>
      <c r="N1118" s="52"/>
      <c r="O1118" s="52">
        <f t="shared" si="179"/>
        <v>0</v>
      </c>
      <c r="P1118" s="126"/>
      <c r="Q1118" s="52"/>
      <c r="R1118" s="52"/>
      <c r="S1118" s="52"/>
    </row>
    <row r="1119" spans="2:19" x14ac:dyDescent="0.2">
      <c r="B1119" s="79">
        <f t="shared" si="184"/>
        <v>372</v>
      </c>
      <c r="C1119" s="15"/>
      <c r="D1119" s="15"/>
      <c r="E1119" s="15"/>
      <c r="F1119" s="55" t="s">
        <v>126</v>
      </c>
      <c r="G1119" s="15">
        <v>710</v>
      </c>
      <c r="H1119" s="15" t="s">
        <v>184</v>
      </c>
      <c r="I1119" s="52">
        <f>I1125</f>
        <v>0</v>
      </c>
      <c r="J1119" s="52">
        <f>J1125</f>
        <v>0</v>
      </c>
      <c r="K1119" s="52">
        <f t="shared" si="178"/>
        <v>0</v>
      </c>
      <c r="L1119" s="126"/>
      <c r="M1119" s="52">
        <f>M1125+M1122+M1120</f>
        <v>121510</v>
      </c>
      <c r="N1119" s="52">
        <f>N1125+N1122+N1120</f>
        <v>0</v>
      </c>
      <c r="O1119" s="52">
        <f t="shared" si="179"/>
        <v>121510</v>
      </c>
      <c r="P1119" s="126"/>
      <c r="Q1119" s="52">
        <f t="shared" si="174"/>
        <v>121510</v>
      </c>
      <c r="R1119" s="52">
        <f t="shared" ref="R1119" si="196">N1119+J1119</f>
        <v>0</v>
      </c>
      <c r="S1119" s="52">
        <f t="shared" ref="S1119" si="197">O1119+K1119</f>
        <v>121510</v>
      </c>
    </row>
    <row r="1120" spans="2:19" x14ac:dyDescent="0.2">
      <c r="B1120" s="79">
        <f t="shared" si="184"/>
        <v>373</v>
      </c>
      <c r="C1120" s="15"/>
      <c r="D1120" s="15"/>
      <c r="E1120" s="15"/>
      <c r="F1120" s="89" t="s">
        <v>270</v>
      </c>
      <c r="G1120" s="90">
        <v>713</v>
      </c>
      <c r="H1120" s="90" t="s">
        <v>4</v>
      </c>
      <c r="I1120" s="91"/>
      <c r="J1120" s="91"/>
      <c r="K1120" s="91">
        <f t="shared" si="178"/>
        <v>0</v>
      </c>
      <c r="L1120" s="80"/>
      <c r="M1120" s="91">
        <f>M1121</f>
        <v>9990</v>
      </c>
      <c r="N1120" s="91">
        <f>N1121</f>
        <v>0</v>
      </c>
      <c r="O1120" s="91">
        <f t="shared" si="179"/>
        <v>9990</v>
      </c>
      <c r="P1120" s="80"/>
      <c r="Q1120" s="91">
        <f t="shared" ref="Q1120:Q1124" si="198">I1120+M1120</f>
        <v>9990</v>
      </c>
      <c r="R1120" s="91">
        <f t="shared" ref="R1120:R1124" si="199">J1120+N1120</f>
        <v>0</v>
      </c>
      <c r="S1120" s="91">
        <f t="shared" ref="S1120:S1124" si="200">K1120+O1120</f>
        <v>9990</v>
      </c>
    </row>
    <row r="1121" spans="2:19" x14ac:dyDescent="0.2">
      <c r="B1121" s="79">
        <f t="shared" si="184"/>
        <v>374</v>
      </c>
      <c r="C1121" s="15"/>
      <c r="D1121" s="15"/>
      <c r="E1121" s="15"/>
      <c r="F1121" s="56"/>
      <c r="G1121" s="4"/>
      <c r="H1121" s="4" t="s">
        <v>766</v>
      </c>
      <c r="I1121" s="26"/>
      <c r="J1121" s="26"/>
      <c r="K1121" s="26">
        <f t="shared" si="178"/>
        <v>0</v>
      </c>
      <c r="L1121" s="80"/>
      <c r="M1121" s="26">
        <v>9990</v>
      </c>
      <c r="N1121" s="26"/>
      <c r="O1121" s="26">
        <f t="shared" si="179"/>
        <v>9990</v>
      </c>
      <c r="P1121" s="80"/>
      <c r="Q1121" s="26">
        <f t="shared" si="198"/>
        <v>9990</v>
      </c>
      <c r="R1121" s="26">
        <f t="shared" si="199"/>
        <v>0</v>
      </c>
      <c r="S1121" s="26">
        <f t="shared" si="200"/>
        <v>9990</v>
      </c>
    </row>
    <row r="1122" spans="2:19" x14ac:dyDescent="0.2">
      <c r="B1122" s="79">
        <f t="shared" si="184"/>
        <v>375</v>
      </c>
      <c r="C1122" s="15"/>
      <c r="D1122" s="15"/>
      <c r="E1122" s="15"/>
      <c r="F1122" s="89" t="s">
        <v>126</v>
      </c>
      <c r="G1122" s="90">
        <v>716</v>
      </c>
      <c r="H1122" s="90" t="s">
        <v>0</v>
      </c>
      <c r="I1122" s="91"/>
      <c r="J1122" s="91"/>
      <c r="K1122" s="91">
        <f t="shared" si="178"/>
        <v>0</v>
      </c>
      <c r="L1122" s="80"/>
      <c r="M1122" s="91">
        <f>M1123+M1124</f>
        <v>7600</v>
      </c>
      <c r="N1122" s="91">
        <f>N1123+N1124</f>
        <v>0</v>
      </c>
      <c r="O1122" s="91">
        <f t="shared" si="179"/>
        <v>7600</v>
      </c>
      <c r="P1122" s="80"/>
      <c r="Q1122" s="91">
        <f t="shared" si="198"/>
        <v>7600</v>
      </c>
      <c r="R1122" s="91">
        <f t="shared" si="199"/>
        <v>0</v>
      </c>
      <c r="S1122" s="91">
        <f t="shared" si="200"/>
        <v>7600</v>
      </c>
    </row>
    <row r="1123" spans="2:19" x14ac:dyDescent="0.2">
      <c r="B1123" s="79">
        <f t="shared" si="184"/>
        <v>376</v>
      </c>
      <c r="C1123" s="15"/>
      <c r="D1123" s="15"/>
      <c r="E1123" s="15"/>
      <c r="F1123" s="56"/>
      <c r="G1123" s="4"/>
      <c r="H1123" s="4" t="s">
        <v>593</v>
      </c>
      <c r="I1123" s="26"/>
      <c r="J1123" s="26"/>
      <c r="K1123" s="26">
        <f t="shared" si="178"/>
        <v>0</v>
      </c>
      <c r="L1123" s="80"/>
      <c r="M1123" s="26">
        <v>6600</v>
      </c>
      <c r="N1123" s="26"/>
      <c r="O1123" s="26">
        <f t="shared" si="179"/>
        <v>6600</v>
      </c>
      <c r="P1123" s="80"/>
      <c r="Q1123" s="26">
        <f t="shared" si="198"/>
        <v>6600</v>
      </c>
      <c r="R1123" s="26">
        <f t="shared" si="199"/>
        <v>0</v>
      </c>
      <c r="S1123" s="26">
        <f t="shared" si="200"/>
        <v>6600</v>
      </c>
    </row>
    <row r="1124" spans="2:19" x14ac:dyDescent="0.2">
      <c r="B1124" s="79">
        <f t="shared" si="184"/>
        <v>377</v>
      </c>
      <c r="C1124" s="15"/>
      <c r="D1124" s="15"/>
      <c r="E1124" s="15"/>
      <c r="F1124" s="56"/>
      <c r="G1124" s="4"/>
      <c r="H1124" s="4" t="s">
        <v>665</v>
      </c>
      <c r="I1124" s="26"/>
      <c r="J1124" s="26"/>
      <c r="K1124" s="26">
        <f t="shared" si="178"/>
        <v>0</v>
      </c>
      <c r="L1124" s="80"/>
      <c r="M1124" s="26">
        <v>1000</v>
      </c>
      <c r="N1124" s="26"/>
      <c r="O1124" s="26">
        <f t="shared" si="179"/>
        <v>1000</v>
      </c>
      <c r="P1124" s="80"/>
      <c r="Q1124" s="26">
        <f t="shared" si="198"/>
        <v>1000</v>
      </c>
      <c r="R1124" s="26">
        <f t="shared" si="199"/>
        <v>0</v>
      </c>
      <c r="S1124" s="26">
        <f t="shared" si="200"/>
        <v>1000</v>
      </c>
    </row>
    <row r="1125" spans="2:19" x14ac:dyDescent="0.2">
      <c r="B1125" s="79">
        <f t="shared" si="184"/>
        <v>378</v>
      </c>
      <c r="C1125" s="4"/>
      <c r="D1125" s="4"/>
      <c r="E1125" s="4"/>
      <c r="F1125" s="89" t="s">
        <v>126</v>
      </c>
      <c r="G1125" s="90">
        <v>717</v>
      </c>
      <c r="H1125" s="90" t="s">
        <v>194</v>
      </c>
      <c r="I1125" s="91"/>
      <c r="J1125" s="91"/>
      <c r="K1125" s="91">
        <f t="shared" si="178"/>
        <v>0</v>
      </c>
      <c r="L1125" s="80"/>
      <c r="M1125" s="91">
        <f>SUM(M1126:M1128)</f>
        <v>103920</v>
      </c>
      <c r="N1125" s="91">
        <f>SUM(N1126:N1128)</f>
        <v>0</v>
      </c>
      <c r="O1125" s="91">
        <f t="shared" si="179"/>
        <v>103920</v>
      </c>
      <c r="P1125" s="80"/>
      <c r="Q1125" s="91">
        <f t="shared" si="174"/>
        <v>103920</v>
      </c>
      <c r="R1125" s="91">
        <f t="shared" ref="R1125:R1126" si="201">N1125+J1125</f>
        <v>0</v>
      </c>
      <c r="S1125" s="91">
        <f t="shared" ref="S1125:S1126" si="202">O1125+K1125</f>
        <v>103920</v>
      </c>
    </row>
    <row r="1126" spans="2:19" x14ac:dyDescent="0.2">
      <c r="B1126" s="79">
        <f t="shared" si="184"/>
        <v>379</v>
      </c>
      <c r="C1126" s="4"/>
      <c r="D1126" s="4"/>
      <c r="E1126" s="4"/>
      <c r="F1126" s="68"/>
      <c r="G1126" s="64"/>
      <c r="H1126" s="64" t="s">
        <v>505</v>
      </c>
      <c r="I1126" s="62"/>
      <c r="J1126" s="62"/>
      <c r="K1126" s="62">
        <f t="shared" si="178"/>
        <v>0</v>
      </c>
      <c r="L1126" s="80"/>
      <c r="M1126" s="62">
        <f>70000-6600-63400</f>
        <v>0</v>
      </c>
      <c r="N1126" s="62"/>
      <c r="O1126" s="62">
        <f t="shared" si="179"/>
        <v>0</v>
      </c>
      <c r="P1126" s="80"/>
      <c r="Q1126" s="26">
        <f t="shared" ref="Q1126:Q1210" si="203">M1126+I1126</f>
        <v>0</v>
      </c>
      <c r="R1126" s="26">
        <f t="shared" si="201"/>
        <v>0</v>
      </c>
      <c r="S1126" s="26">
        <f t="shared" si="202"/>
        <v>0</v>
      </c>
    </row>
    <row r="1127" spans="2:19" x14ac:dyDescent="0.2">
      <c r="B1127" s="79">
        <f t="shared" si="184"/>
        <v>380</v>
      </c>
      <c r="C1127" s="4"/>
      <c r="D1127" s="4"/>
      <c r="E1127" s="4"/>
      <c r="F1127" s="68"/>
      <c r="G1127" s="64"/>
      <c r="H1127" s="64" t="s">
        <v>767</v>
      </c>
      <c r="I1127" s="62"/>
      <c r="J1127" s="62"/>
      <c r="K1127" s="62">
        <f t="shared" si="178"/>
        <v>0</v>
      </c>
      <c r="L1127" s="80"/>
      <c r="M1127" s="62">
        <v>63400</v>
      </c>
      <c r="N1127" s="62"/>
      <c r="O1127" s="62">
        <f t="shared" si="179"/>
        <v>63400</v>
      </c>
      <c r="P1127" s="80"/>
      <c r="Q1127" s="26">
        <f t="shared" ref="Q1127" si="204">M1127+I1127</f>
        <v>63400</v>
      </c>
      <c r="R1127" s="26">
        <f t="shared" ref="R1127" si="205">N1127+J1127</f>
        <v>0</v>
      </c>
      <c r="S1127" s="26">
        <f t="shared" ref="S1127" si="206">O1127+K1127</f>
        <v>63400</v>
      </c>
    </row>
    <row r="1128" spans="2:19" x14ac:dyDescent="0.2">
      <c r="B1128" s="79">
        <f t="shared" si="184"/>
        <v>381</v>
      </c>
      <c r="C1128" s="4"/>
      <c r="D1128" s="4"/>
      <c r="E1128" s="4"/>
      <c r="F1128" s="68"/>
      <c r="G1128" s="64"/>
      <c r="H1128" s="64" t="s">
        <v>506</v>
      </c>
      <c r="I1128" s="62"/>
      <c r="J1128" s="62"/>
      <c r="K1128" s="62">
        <f t="shared" si="178"/>
        <v>0</v>
      </c>
      <c r="L1128" s="80"/>
      <c r="M1128" s="62">
        <f>13000-1000+28520</f>
        <v>40520</v>
      </c>
      <c r="N1128" s="62"/>
      <c r="O1128" s="62">
        <f t="shared" si="179"/>
        <v>40520</v>
      </c>
      <c r="P1128" s="80"/>
      <c r="Q1128" s="26">
        <f t="shared" si="203"/>
        <v>40520</v>
      </c>
      <c r="R1128" s="26">
        <f t="shared" ref="R1128:R1150" si="207">N1128+J1128</f>
        <v>0</v>
      </c>
      <c r="S1128" s="26">
        <f t="shared" ref="S1128:S1150" si="208">O1128+K1128</f>
        <v>40520</v>
      </c>
    </row>
    <row r="1129" spans="2:19" ht="15" x14ac:dyDescent="0.25">
      <c r="B1129" s="79">
        <f t="shared" si="184"/>
        <v>382</v>
      </c>
      <c r="C1129" s="18"/>
      <c r="D1129" s="18"/>
      <c r="E1129" s="18">
        <v>11</v>
      </c>
      <c r="F1129" s="53"/>
      <c r="G1129" s="18"/>
      <c r="H1129" s="18" t="s">
        <v>273</v>
      </c>
      <c r="I1129" s="50">
        <f>I1130+I1131+I1132+I1139+I1140+I1141+I1142+I1149+I1152+I1150</f>
        <v>1203129</v>
      </c>
      <c r="J1129" s="50">
        <f>J1130+J1131+J1132+J1139+J1140+J1141+J1142+J1149+J1152+J1150</f>
        <v>36540</v>
      </c>
      <c r="K1129" s="50">
        <f t="shared" si="178"/>
        <v>1239669</v>
      </c>
      <c r="L1129" s="203"/>
      <c r="M1129" s="50">
        <f>M1130+M1131+M1132+M1139+M1140+M1141+M1142+M1149+M1157+M1155</f>
        <v>84000</v>
      </c>
      <c r="N1129" s="50">
        <f>N1130+N1131+N1132+N1139+N1140+N1141+N1142+N1149+N1157+N1155</f>
        <v>0</v>
      </c>
      <c r="O1129" s="50">
        <f t="shared" si="179"/>
        <v>84000</v>
      </c>
      <c r="P1129" s="203"/>
      <c r="Q1129" s="50">
        <f t="shared" si="203"/>
        <v>1287129</v>
      </c>
      <c r="R1129" s="50">
        <f t="shared" si="207"/>
        <v>36540</v>
      </c>
      <c r="S1129" s="50">
        <f t="shared" si="208"/>
        <v>1323669</v>
      </c>
    </row>
    <row r="1130" spans="2:19" x14ac:dyDescent="0.2">
      <c r="B1130" s="79">
        <f t="shared" si="184"/>
        <v>383</v>
      </c>
      <c r="C1130" s="15"/>
      <c r="D1130" s="15"/>
      <c r="E1130" s="15"/>
      <c r="F1130" s="55" t="s">
        <v>126</v>
      </c>
      <c r="G1130" s="15">
        <v>610</v>
      </c>
      <c r="H1130" s="15" t="s">
        <v>136</v>
      </c>
      <c r="I1130" s="52">
        <v>258332</v>
      </c>
      <c r="J1130" s="52">
        <v>-13523</v>
      </c>
      <c r="K1130" s="52">
        <f t="shared" si="178"/>
        <v>244809</v>
      </c>
      <c r="L1130" s="126"/>
      <c r="M1130" s="52"/>
      <c r="N1130" s="52"/>
      <c r="O1130" s="52">
        <f t="shared" si="179"/>
        <v>0</v>
      </c>
      <c r="P1130" s="126"/>
      <c r="Q1130" s="52">
        <f t="shared" si="203"/>
        <v>258332</v>
      </c>
      <c r="R1130" s="52">
        <f t="shared" si="207"/>
        <v>-13523</v>
      </c>
      <c r="S1130" s="52">
        <f t="shared" si="208"/>
        <v>244809</v>
      </c>
    </row>
    <row r="1131" spans="2:19" x14ac:dyDescent="0.2">
      <c r="B1131" s="79">
        <f t="shared" si="184"/>
        <v>384</v>
      </c>
      <c r="C1131" s="15"/>
      <c r="D1131" s="15"/>
      <c r="E1131" s="15"/>
      <c r="F1131" s="55" t="s">
        <v>126</v>
      </c>
      <c r="G1131" s="15">
        <v>620</v>
      </c>
      <c r="H1131" s="15" t="s">
        <v>131</v>
      </c>
      <c r="I1131" s="52">
        <v>90407</v>
      </c>
      <c r="J1131" s="52">
        <v>-4727</v>
      </c>
      <c r="K1131" s="52">
        <f t="shared" si="178"/>
        <v>85680</v>
      </c>
      <c r="L1131" s="126"/>
      <c r="M1131" s="52"/>
      <c r="N1131" s="52"/>
      <c r="O1131" s="52">
        <f t="shared" si="179"/>
        <v>0</v>
      </c>
      <c r="P1131" s="126"/>
      <c r="Q1131" s="52">
        <f t="shared" si="203"/>
        <v>90407</v>
      </c>
      <c r="R1131" s="52">
        <f t="shared" si="207"/>
        <v>-4727</v>
      </c>
      <c r="S1131" s="52">
        <f t="shared" si="208"/>
        <v>85680</v>
      </c>
    </row>
    <row r="1132" spans="2:19" x14ac:dyDescent="0.2">
      <c r="B1132" s="79">
        <f t="shared" si="184"/>
        <v>385</v>
      </c>
      <c r="C1132" s="15"/>
      <c r="D1132" s="15"/>
      <c r="E1132" s="15"/>
      <c r="F1132" s="55" t="s">
        <v>126</v>
      </c>
      <c r="G1132" s="15">
        <v>630</v>
      </c>
      <c r="H1132" s="15" t="s">
        <v>128</v>
      </c>
      <c r="I1132" s="52">
        <f>I1138+I1137+I1136+I1135+I1134+I1133</f>
        <v>71110</v>
      </c>
      <c r="J1132" s="52">
        <f>J1138+J1137+J1136+J1135+J1134+J1133</f>
        <v>9273</v>
      </c>
      <c r="K1132" s="52">
        <f t="shared" si="178"/>
        <v>80383</v>
      </c>
      <c r="L1132" s="126"/>
      <c r="M1132" s="52">
        <v>0</v>
      </c>
      <c r="N1132" s="52"/>
      <c r="O1132" s="52">
        <f t="shared" si="179"/>
        <v>0</v>
      </c>
      <c r="P1132" s="126"/>
      <c r="Q1132" s="52">
        <f t="shared" si="203"/>
        <v>71110</v>
      </c>
      <c r="R1132" s="52">
        <f t="shared" si="207"/>
        <v>9273</v>
      </c>
      <c r="S1132" s="52">
        <f t="shared" si="208"/>
        <v>80383</v>
      </c>
    </row>
    <row r="1133" spans="2:19" x14ac:dyDescent="0.2">
      <c r="B1133" s="79">
        <f t="shared" si="184"/>
        <v>386</v>
      </c>
      <c r="C1133" s="4"/>
      <c r="D1133" s="4"/>
      <c r="E1133" s="4"/>
      <c r="F1133" s="56" t="s">
        <v>126</v>
      </c>
      <c r="G1133" s="4">
        <v>631</v>
      </c>
      <c r="H1133" s="4" t="s">
        <v>134</v>
      </c>
      <c r="I1133" s="26">
        <v>16</v>
      </c>
      <c r="J1133" s="26"/>
      <c r="K1133" s="26">
        <f t="shared" si="178"/>
        <v>16</v>
      </c>
      <c r="L1133" s="80"/>
      <c r="M1133" s="26"/>
      <c r="N1133" s="26"/>
      <c r="O1133" s="26">
        <f t="shared" si="179"/>
        <v>0</v>
      </c>
      <c r="P1133" s="80"/>
      <c r="Q1133" s="26">
        <f t="shared" si="203"/>
        <v>16</v>
      </c>
      <c r="R1133" s="26">
        <f t="shared" si="207"/>
        <v>0</v>
      </c>
      <c r="S1133" s="26">
        <f t="shared" si="208"/>
        <v>16</v>
      </c>
    </row>
    <row r="1134" spans="2:19" x14ac:dyDescent="0.2">
      <c r="B1134" s="79">
        <f t="shared" si="184"/>
        <v>387</v>
      </c>
      <c r="C1134" s="4"/>
      <c r="D1134" s="4"/>
      <c r="E1134" s="4"/>
      <c r="F1134" s="56" t="s">
        <v>126</v>
      </c>
      <c r="G1134" s="4">
        <v>632</v>
      </c>
      <c r="H1134" s="4" t="s">
        <v>139</v>
      </c>
      <c r="I1134" s="26">
        <v>44888</v>
      </c>
      <c r="J1134" s="26">
        <v>-5040</v>
      </c>
      <c r="K1134" s="26">
        <f t="shared" si="178"/>
        <v>39848</v>
      </c>
      <c r="L1134" s="80"/>
      <c r="M1134" s="26"/>
      <c r="N1134" s="26"/>
      <c r="O1134" s="26">
        <f t="shared" si="179"/>
        <v>0</v>
      </c>
      <c r="P1134" s="80"/>
      <c r="Q1134" s="26">
        <f t="shared" si="203"/>
        <v>44888</v>
      </c>
      <c r="R1134" s="26">
        <f t="shared" si="207"/>
        <v>-5040</v>
      </c>
      <c r="S1134" s="26">
        <f t="shared" si="208"/>
        <v>39848</v>
      </c>
    </row>
    <row r="1135" spans="2:19" x14ac:dyDescent="0.2">
      <c r="B1135" s="79">
        <f t="shared" si="184"/>
        <v>388</v>
      </c>
      <c r="C1135" s="4"/>
      <c r="D1135" s="4"/>
      <c r="E1135" s="4"/>
      <c r="F1135" s="56" t="s">
        <v>126</v>
      </c>
      <c r="G1135" s="4">
        <v>633</v>
      </c>
      <c r="H1135" s="4" t="s">
        <v>132</v>
      </c>
      <c r="I1135" s="26">
        <v>11589</v>
      </c>
      <c r="J1135" s="26">
        <v>6747</v>
      </c>
      <c r="K1135" s="26">
        <f t="shared" si="178"/>
        <v>18336</v>
      </c>
      <c r="L1135" s="80"/>
      <c r="M1135" s="26"/>
      <c r="N1135" s="26"/>
      <c r="O1135" s="26">
        <f t="shared" si="179"/>
        <v>0</v>
      </c>
      <c r="P1135" s="80"/>
      <c r="Q1135" s="26">
        <f t="shared" si="203"/>
        <v>11589</v>
      </c>
      <c r="R1135" s="26">
        <f t="shared" si="207"/>
        <v>6747</v>
      </c>
      <c r="S1135" s="26">
        <f t="shared" si="208"/>
        <v>18336</v>
      </c>
    </row>
    <row r="1136" spans="2:19" x14ac:dyDescent="0.2">
      <c r="B1136" s="79">
        <f t="shared" si="184"/>
        <v>389</v>
      </c>
      <c r="C1136" s="4"/>
      <c r="D1136" s="4"/>
      <c r="E1136" s="4"/>
      <c r="F1136" s="56" t="s">
        <v>126</v>
      </c>
      <c r="G1136" s="4">
        <v>634</v>
      </c>
      <c r="H1136" s="4" t="s">
        <v>137</v>
      </c>
      <c r="I1136" s="26">
        <v>10</v>
      </c>
      <c r="J1136" s="26">
        <v>-10</v>
      </c>
      <c r="K1136" s="26">
        <f t="shared" si="178"/>
        <v>0</v>
      </c>
      <c r="L1136" s="80"/>
      <c r="M1136" s="26"/>
      <c r="N1136" s="26"/>
      <c r="O1136" s="26">
        <f t="shared" si="179"/>
        <v>0</v>
      </c>
      <c r="P1136" s="80"/>
      <c r="Q1136" s="26">
        <f t="shared" si="203"/>
        <v>10</v>
      </c>
      <c r="R1136" s="26">
        <f t="shared" si="207"/>
        <v>-10</v>
      </c>
      <c r="S1136" s="26">
        <f t="shared" si="208"/>
        <v>0</v>
      </c>
    </row>
    <row r="1137" spans="2:19" x14ac:dyDescent="0.2">
      <c r="B1137" s="79">
        <f t="shared" si="184"/>
        <v>390</v>
      </c>
      <c r="C1137" s="4"/>
      <c r="D1137" s="4"/>
      <c r="E1137" s="4"/>
      <c r="F1137" s="56" t="s">
        <v>126</v>
      </c>
      <c r="G1137" s="4">
        <v>635</v>
      </c>
      <c r="H1137" s="4" t="s">
        <v>138</v>
      </c>
      <c r="I1137" s="26">
        <v>5953</v>
      </c>
      <c r="J1137" s="26">
        <v>2855</v>
      </c>
      <c r="K1137" s="26">
        <f t="shared" si="178"/>
        <v>8808</v>
      </c>
      <c r="L1137" s="80"/>
      <c r="M1137" s="26"/>
      <c r="N1137" s="26"/>
      <c r="O1137" s="26">
        <f t="shared" si="179"/>
        <v>0</v>
      </c>
      <c r="P1137" s="80"/>
      <c r="Q1137" s="26">
        <f t="shared" si="203"/>
        <v>5953</v>
      </c>
      <c r="R1137" s="26">
        <f t="shared" si="207"/>
        <v>2855</v>
      </c>
      <c r="S1137" s="26">
        <f t="shared" si="208"/>
        <v>8808</v>
      </c>
    </row>
    <row r="1138" spans="2:19" x14ac:dyDescent="0.2">
      <c r="B1138" s="79">
        <f t="shared" si="184"/>
        <v>391</v>
      </c>
      <c r="C1138" s="4"/>
      <c r="D1138" s="4"/>
      <c r="E1138" s="4"/>
      <c r="F1138" s="56" t="s">
        <v>126</v>
      </c>
      <c r="G1138" s="4">
        <v>637</v>
      </c>
      <c r="H1138" s="4" t="s">
        <v>129</v>
      </c>
      <c r="I1138" s="26">
        <v>8654</v>
      </c>
      <c r="J1138" s="26">
        <v>4721</v>
      </c>
      <c r="K1138" s="26">
        <f t="shared" si="178"/>
        <v>13375</v>
      </c>
      <c r="L1138" s="80"/>
      <c r="M1138" s="26"/>
      <c r="N1138" s="26"/>
      <c r="O1138" s="26">
        <f t="shared" si="179"/>
        <v>0</v>
      </c>
      <c r="P1138" s="80"/>
      <c r="Q1138" s="26">
        <f t="shared" si="203"/>
        <v>8654</v>
      </c>
      <c r="R1138" s="26">
        <f t="shared" si="207"/>
        <v>4721</v>
      </c>
      <c r="S1138" s="26">
        <f t="shared" si="208"/>
        <v>13375</v>
      </c>
    </row>
    <row r="1139" spans="2:19" x14ac:dyDescent="0.2">
      <c r="B1139" s="79">
        <f t="shared" si="184"/>
        <v>392</v>
      </c>
      <c r="C1139" s="15"/>
      <c r="D1139" s="15"/>
      <c r="E1139" s="15"/>
      <c r="F1139" s="55" t="s">
        <v>126</v>
      </c>
      <c r="G1139" s="15">
        <v>640</v>
      </c>
      <c r="H1139" s="15" t="s">
        <v>135</v>
      </c>
      <c r="I1139" s="52">
        <v>3682</v>
      </c>
      <c r="J1139" s="52">
        <v>-2247</v>
      </c>
      <c r="K1139" s="52">
        <f t="shared" si="178"/>
        <v>1435</v>
      </c>
      <c r="L1139" s="126"/>
      <c r="M1139" s="52"/>
      <c r="N1139" s="52"/>
      <c r="O1139" s="52">
        <f t="shared" si="179"/>
        <v>0</v>
      </c>
      <c r="P1139" s="126"/>
      <c r="Q1139" s="52">
        <f t="shared" si="203"/>
        <v>3682</v>
      </c>
      <c r="R1139" s="52">
        <f t="shared" si="207"/>
        <v>-2247</v>
      </c>
      <c r="S1139" s="52">
        <f t="shared" si="208"/>
        <v>1435</v>
      </c>
    </row>
    <row r="1140" spans="2:19" x14ac:dyDescent="0.2">
      <c r="B1140" s="79">
        <f t="shared" si="184"/>
        <v>393</v>
      </c>
      <c r="C1140" s="15"/>
      <c r="D1140" s="15"/>
      <c r="E1140" s="15"/>
      <c r="F1140" s="55" t="s">
        <v>270</v>
      </c>
      <c r="G1140" s="15">
        <v>610</v>
      </c>
      <c r="H1140" s="15" t="s">
        <v>136</v>
      </c>
      <c r="I1140" s="52">
        <v>409993</v>
      </c>
      <c r="J1140" s="52">
        <v>50243</v>
      </c>
      <c r="K1140" s="52">
        <f t="shared" si="178"/>
        <v>460236</v>
      </c>
      <c r="L1140" s="126"/>
      <c r="M1140" s="52"/>
      <c r="N1140" s="52"/>
      <c r="O1140" s="52">
        <f t="shared" si="179"/>
        <v>0</v>
      </c>
      <c r="P1140" s="126"/>
      <c r="Q1140" s="52">
        <f t="shared" si="203"/>
        <v>409993</v>
      </c>
      <c r="R1140" s="52">
        <f t="shared" si="207"/>
        <v>50243</v>
      </c>
      <c r="S1140" s="52">
        <f t="shared" si="208"/>
        <v>460236</v>
      </c>
    </row>
    <row r="1141" spans="2:19" x14ac:dyDescent="0.2">
      <c r="B1141" s="79">
        <f t="shared" si="184"/>
        <v>394</v>
      </c>
      <c r="C1141" s="15"/>
      <c r="D1141" s="15"/>
      <c r="E1141" s="15"/>
      <c r="F1141" s="55" t="s">
        <v>270</v>
      </c>
      <c r="G1141" s="15">
        <v>620</v>
      </c>
      <c r="H1141" s="15" t="s">
        <v>131</v>
      </c>
      <c r="I1141" s="52">
        <v>143470</v>
      </c>
      <c r="J1141" s="52">
        <v>18526</v>
      </c>
      <c r="K1141" s="52">
        <f t="shared" si="178"/>
        <v>161996</v>
      </c>
      <c r="L1141" s="126"/>
      <c r="M1141" s="52"/>
      <c r="N1141" s="52"/>
      <c r="O1141" s="52">
        <f t="shared" si="179"/>
        <v>0</v>
      </c>
      <c r="P1141" s="126"/>
      <c r="Q1141" s="52">
        <f t="shared" si="203"/>
        <v>143470</v>
      </c>
      <c r="R1141" s="52">
        <f t="shared" si="207"/>
        <v>18526</v>
      </c>
      <c r="S1141" s="52">
        <f t="shared" si="208"/>
        <v>161996</v>
      </c>
    </row>
    <row r="1142" spans="2:19" x14ac:dyDescent="0.2">
      <c r="B1142" s="79">
        <f t="shared" si="184"/>
        <v>395</v>
      </c>
      <c r="C1142" s="15"/>
      <c r="D1142" s="15"/>
      <c r="E1142" s="15"/>
      <c r="F1142" s="55" t="s">
        <v>270</v>
      </c>
      <c r="G1142" s="15">
        <v>630</v>
      </c>
      <c r="H1142" s="15" t="s">
        <v>128</v>
      </c>
      <c r="I1142" s="52">
        <f>I1148+I1147+I1146+I1145+I1144+I1143</f>
        <v>201684</v>
      </c>
      <c r="J1142" s="52">
        <f>J1148+J1147+J1146+J1145+J1144+J1143</f>
        <v>-17262</v>
      </c>
      <c r="K1142" s="52">
        <f t="shared" si="178"/>
        <v>184422</v>
      </c>
      <c r="L1142" s="126"/>
      <c r="M1142" s="52">
        <f>M1148+M1147+M1146+M1145+M1144+M1143</f>
        <v>0</v>
      </c>
      <c r="N1142" s="52">
        <f>N1148+N1147+N1146+N1145+N1144+N1143</f>
        <v>0</v>
      </c>
      <c r="O1142" s="52">
        <f t="shared" si="179"/>
        <v>0</v>
      </c>
      <c r="P1142" s="126"/>
      <c r="Q1142" s="52">
        <f t="shared" si="203"/>
        <v>201684</v>
      </c>
      <c r="R1142" s="52">
        <f t="shared" si="207"/>
        <v>-17262</v>
      </c>
      <c r="S1142" s="52">
        <f t="shared" si="208"/>
        <v>184422</v>
      </c>
    </row>
    <row r="1143" spans="2:19" x14ac:dyDescent="0.2">
      <c r="B1143" s="79">
        <f t="shared" si="184"/>
        <v>396</v>
      </c>
      <c r="C1143" s="4"/>
      <c r="D1143" s="4"/>
      <c r="E1143" s="4"/>
      <c r="F1143" s="56" t="s">
        <v>270</v>
      </c>
      <c r="G1143" s="4">
        <v>631</v>
      </c>
      <c r="H1143" s="4" t="s">
        <v>134</v>
      </c>
      <c r="I1143" s="26">
        <v>24</v>
      </c>
      <c r="J1143" s="26"/>
      <c r="K1143" s="26">
        <f t="shared" ref="K1143:K1206" si="209">I1143+J1143</f>
        <v>24</v>
      </c>
      <c r="L1143" s="80"/>
      <c r="M1143" s="26"/>
      <c r="N1143" s="26"/>
      <c r="O1143" s="26">
        <f t="shared" ref="O1143:O1206" si="210">M1143+N1143</f>
        <v>0</v>
      </c>
      <c r="P1143" s="80"/>
      <c r="Q1143" s="26">
        <f t="shared" si="203"/>
        <v>24</v>
      </c>
      <c r="R1143" s="26">
        <f t="shared" si="207"/>
        <v>0</v>
      </c>
      <c r="S1143" s="26">
        <f t="shared" si="208"/>
        <v>24</v>
      </c>
    </row>
    <row r="1144" spans="2:19" x14ac:dyDescent="0.2">
      <c r="B1144" s="79">
        <f t="shared" ref="B1144:B1207" si="211">B1143+1</f>
        <v>397</v>
      </c>
      <c r="C1144" s="4"/>
      <c r="D1144" s="4"/>
      <c r="E1144" s="4"/>
      <c r="F1144" s="56" t="s">
        <v>270</v>
      </c>
      <c r="G1144" s="4">
        <v>632</v>
      </c>
      <c r="H1144" s="4" t="s">
        <v>139</v>
      </c>
      <c r="I1144" s="26">
        <v>123407</v>
      </c>
      <c r="J1144" s="26">
        <v>-44157</v>
      </c>
      <c r="K1144" s="26">
        <f t="shared" si="209"/>
        <v>79250</v>
      </c>
      <c r="L1144" s="80"/>
      <c r="M1144" s="26"/>
      <c r="N1144" s="26"/>
      <c r="O1144" s="26">
        <f t="shared" si="210"/>
        <v>0</v>
      </c>
      <c r="P1144" s="80"/>
      <c r="Q1144" s="26">
        <f t="shared" si="203"/>
        <v>123407</v>
      </c>
      <c r="R1144" s="26">
        <f t="shared" si="207"/>
        <v>-44157</v>
      </c>
      <c r="S1144" s="26">
        <f t="shared" si="208"/>
        <v>79250</v>
      </c>
    </row>
    <row r="1145" spans="2:19" x14ac:dyDescent="0.2">
      <c r="B1145" s="79">
        <f t="shared" si="211"/>
        <v>398</v>
      </c>
      <c r="C1145" s="4"/>
      <c r="D1145" s="4"/>
      <c r="E1145" s="4"/>
      <c r="F1145" s="56" t="s">
        <v>270</v>
      </c>
      <c r="G1145" s="4">
        <v>633</v>
      </c>
      <c r="H1145" s="4" t="s">
        <v>132</v>
      </c>
      <c r="I1145" s="26">
        <v>28935</v>
      </c>
      <c r="J1145" s="26">
        <v>19846</v>
      </c>
      <c r="K1145" s="26">
        <f t="shared" si="209"/>
        <v>48781</v>
      </c>
      <c r="L1145" s="80"/>
      <c r="M1145" s="26"/>
      <c r="N1145" s="26"/>
      <c r="O1145" s="26">
        <f t="shared" si="210"/>
        <v>0</v>
      </c>
      <c r="P1145" s="80"/>
      <c r="Q1145" s="26">
        <f t="shared" si="203"/>
        <v>28935</v>
      </c>
      <c r="R1145" s="26">
        <f t="shared" si="207"/>
        <v>19846</v>
      </c>
      <c r="S1145" s="26">
        <f t="shared" si="208"/>
        <v>48781</v>
      </c>
    </row>
    <row r="1146" spans="2:19" x14ac:dyDescent="0.2">
      <c r="B1146" s="79">
        <f t="shared" si="211"/>
        <v>399</v>
      </c>
      <c r="C1146" s="4"/>
      <c r="D1146" s="4"/>
      <c r="E1146" s="4"/>
      <c r="F1146" s="56" t="s">
        <v>270</v>
      </c>
      <c r="G1146" s="4">
        <v>634</v>
      </c>
      <c r="H1146" s="4" t="s">
        <v>137</v>
      </c>
      <c r="I1146" s="26">
        <v>15</v>
      </c>
      <c r="J1146" s="26">
        <v>-15</v>
      </c>
      <c r="K1146" s="26">
        <f t="shared" si="209"/>
        <v>0</v>
      </c>
      <c r="L1146" s="80"/>
      <c r="M1146" s="26"/>
      <c r="N1146" s="26"/>
      <c r="O1146" s="26">
        <f t="shared" si="210"/>
        <v>0</v>
      </c>
      <c r="P1146" s="80"/>
      <c r="Q1146" s="26">
        <f t="shared" si="203"/>
        <v>15</v>
      </c>
      <c r="R1146" s="26">
        <f t="shared" si="207"/>
        <v>-15</v>
      </c>
      <c r="S1146" s="26">
        <f t="shared" si="208"/>
        <v>0</v>
      </c>
    </row>
    <row r="1147" spans="2:19" x14ac:dyDescent="0.2">
      <c r="B1147" s="79">
        <f t="shared" si="211"/>
        <v>400</v>
      </c>
      <c r="C1147" s="4"/>
      <c r="D1147" s="4"/>
      <c r="E1147" s="4"/>
      <c r="F1147" s="56" t="s">
        <v>270</v>
      </c>
      <c r="G1147" s="4">
        <v>635</v>
      </c>
      <c r="H1147" s="4" t="s">
        <v>138</v>
      </c>
      <c r="I1147" s="26">
        <v>11128</v>
      </c>
      <c r="J1147" s="26">
        <v>8172</v>
      </c>
      <c r="K1147" s="26">
        <f t="shared" si="209"/>
        <v>19300</v>
      </c>
      <c r="L1147" s="80"/>
      <c r="M1147" s="26"/>
      <c r="N1147" s="26"/>
      <c r="O1147" s="26">
        <f t="shared" si="210"/>
        <v>0</v>
      </c>
      <c r="P1147" s="80"/>
      <c r="Q1147" s="26">
        <f t="shared" si="203"/>
        <v>11128</v>
      </c>
      <c r="R1147" s="26">
        <f t="shared" si="207"/>
        <v>8172</v>
      </c>
      <c r="S1147" s="26">
        <f t="shared" si="208"/>
        <v>19300</v>
      </c>
    </row>
    <row r="1148" spans="2:19" x14ac:dyDescent="0.2">
      <c r="B1148" s="79">
        <f t="shared" si="211"/>
        <v>401</v>
      </c>
      <c r="C1148" s="4"/>
      <c r="D1148" s="4"/>
      <c r="E1148" s="4"/>
      <c r="F1148" s="56" t="s">
        <v>270</v>
      </c>
      <c r="G1148" s="4">
        <v>637</v>
      </c>
      <c r="H1148" s="4" t="s">
        <v>129</v>
      </c>
      <c r="I1148" s="26">
        <f>29925+8250</f>
        <v>38175</v>
      </c>
      <c r="J1148" s="26">
        <v>-1108</v>
      </c>
      <c r="K1148" s="26">
        <f t="shared" si="209"/>
        <v>37067</v>
      </c>
      <c r="L1148" s="80"/>
      <c r="M1148" s="26"/>
      <c r="N1148" s="26"/>
      <c r="O1148" s="26">
        <f t="shared" si="210"/>
        <v>0</v>
      </c>
      <c r="P1148" s="80"/>
      <c r="Q1148" s="26">
        <f t="shared" si="203"/>
        <v>38175</v>
      </c>
      <c r="R1148" s="26">
        <f t="shared" si="207"/>
        <v>-1108</v>
      </c>
      <c r="S1148" s="26">
        <f t="shared" si="208"/>
        <v>37067</v>
      </c>
    </row>
    <row r="1149" spans="2:19" x14ac:dyDescent="0.2">
      <c r="B1149" s="79">
        <f t="shared" si="211"/>
        <v>402</v>
      </c>
      <c r="C1149" s="15"/>
      <c r="D1149" s="15"/>
      <c r="E1149" s="15"/>
      <c r="F1149" s="55" t="s">
        <v>270</v>
      </c>
      <c r="G1149" s="15">
        <v>640</v>
      </c>
      <c r="H1149" s="15" t="s">
        <v>135</v>
      </c>
      <c r="I1149" s="52">
        <v>5523</v>
      </c>
      <c r="J1149" s="52">
        <v>-4258</v>
      </c>
      <c r="K1149" s="52">
        <f t="shared" si="209"/>
        <v>1265</v>
      </c>
      <c r="L1149" s="126"/>
      <c r="M1149" s="52"/>
      <c r="N1149" s="52"/>
      <c r="O1149" s="52">
        <f t="shared" si="210"/>
        <v>0</v>
      </c>
      <c r="P1149" s="126"/>
      <c r="Q1149" s="52">
        <f t="shared" si="203"/>
        <v>5523</v>
      </c>
      <c r="R1149" s="52">
        <f t="shared" si="207"/>
        <v>-4258</v>
      </c>
      <c r="S1149" s="52">
        <f t="shared" si="208"/>
        <v>1265</v>
      </c>
    </row>
    <row r="1150" spans="2:19" x14ac:dyDescent="0.2">
      <c r="B1150" s="79">
        <f t="shared" si="211"/>
        <v>403</v>
      </c>
      <c r="C1150" s="15"/>
      <c r="D1150" s="15"/>
      <c r="E1150" s="15"/>
      <c r="F1150" s="55" t="s">
        <v>76</v>
      </c>
      <c r="G1150" s="15">
        <v>630</v>
      </c>
      <c r="H1150" s="15" t="s">
        <v>663</v>
      </c>
      <c r="I1150" s="52">
        <v>428</v>
      </c>
      <c r="J1150" s="52">
        <f>332+183</f>
        <v>515</v>
      </c>
      <c r="K1150" s="52">
        <f t="shared" si="209"/>
        <v>943</v>
      </c>
      <c r="L1150" s="126"/>
      <c r="M1150" s="52"/>
      <c r="N1150" s="52"/>
      <c r="O1150" s="52">
        <f t="shared" si="210"/>
        <v>0</v>
      </c>
      <c r="P1150" s="126"/>
      <c r="Q1150" s="52">
        <f t="shared" si="203"/>
        <v>428</v>
      </c>
      <c r="R1150" s="52">
        <f t="shared" si="207"/>
        <v>515</v>
      </c>
      <c r="S1150" s="52">
        <f t="shared" si="208"/>
        <v>943</v>
      </c>
    </row>
    <row r="1151" spans="2:19" x14ac:dyDescent="0.2">
      <c r="B1151" s="79">
        <f t="shared" si="211"/>
        <v>404</v>
      </c>
      <c r="C1151" s="15"/>
      <c r="D1151" s="15"/>
      <c r="E1151" s="15"/>
      <c r="F1151" s="55"/>
      <c r="G1151" s="15"/>
      <c r="H1151" s="15"/>
      <c r="I1151" s="52"/>
      <c r="J1151" s="52"/>
      <c r="K1151" s="52">
        <f t="shared" si="209"/>
        <v>0</v>
      </c>
      <c r="L1151" s="126"/>
      <c r="M1151" s="52"/>
      <c r="N1151" s="52"/>
      <c r="O1151" s="52">
        <f t="shared" si="210"/>
        <v>0</v>
      </c>
      <c r="P1151" s="126"/>
      <c r="Q1151" s="52"/>
      <c r="R1151" s="52"/>
      <c r="S1151" s="52"/>
    </row>
    <row r="1152" spans="2:19" x14ac:dyDescent="0.2">
      <c r="B1152" s="79">
        <f t="shared" si="211"/>
        <v>405</v>
      </c>
      <c r="C1152" s="15"/>
      <c r="D1152" s="15"/>
      <c r="E1152" s="15"/>
      <c r="F1152" s="55"/>
      <c r="G1152" s="15">
        <v>630</v>
      </c>
      <c r="H1152" s="15" t="s">
        <v>612</v>
      </c>
      <c r="I1152" s="52">
        <v>18500</v>
      </c>
      <c r="J1152" s="52"/>
      <c r="K1152" s="52">
        <f t="shared" si="209"/>
        <v>18500</v>
      </c>
      <c r="L1152" s="126"/>
      <c r="M1152" s="52"/>
      <c r="N1152" s="52"/>
      <c r="O1152" s="52">
        <f t="shared" si="210"/>
        <v>0</v>
      </c>
      <c r="P1152" s="126"/>
      <c r="Q1152" s="52">
        <f t="shared" ref="Q1152:Q1158" si="212">M1152+I1152</f>
        <v>18500</v>
      </c>
      <c r="R1152" s="52">
        <f t="shared" ref="R1152" si="213">N1152+J1152</f>
        <v>0</v>
      </c>
      <c r="S1152" s="52">
        <f t="shared" ref="S1152" si="214">O1152+K1152</f>
        <v>18500</v>
      </c>
    </row>
    <row r="1153" spans="2:19" x14ac:dyDescent="0.2">
      <c r="B1153" s="79">
        <f t="shared" si="211"/>
        <v>406</v>
      </c>
      <c r="C1153" s="15"/>
      <c r="D1153" s="15"/>
      <c r="E1153" s="15"/>
      <c r="F1153" s="55"/>
      <c r="G1153" s="15"/>
      <c r="H1153" s="15"/>
      <c r="I1153" s="52"/>
      <c r="J1153" s="52"/>
      <c r="K1153" s="52">
        <f t="shared" si="209"/>
        <v>0</v>
      </c>
      <c r="L1153" s="126"/>
      <c r="M1153" s="52"/>
      <c r="N1153" s="52"/>
      <c r="O1153" s="52">
        <f t="shared" si="210"/>
        <v>0</v>
      </c>
      <c r="P1153" s="126"/>
      <c r="Q1153" s="52"/>
      <c r="R1153" s="52"/>
      <c r="S1153" s="52"/>
    </row>
    <row r="1154" spans="2:19" x14ac:dyDescent="0.2">
      <c r="B1154" s="79">
        <f t="shared" si="211"/>
        <v>407</v>
      </c>
      <c r="C1154" s="15"/>
      <c r="D1154" s="15"/>
      <c r="E1154" s="15"/>
      <c r="F1154" s="55" t="s">
        <v>126</v>
      </c>
      <c r="G1154" s="15">
        <v>710</v>
      </c>
      <c r="H1154" s="15" t="s">
        <v>184</v>
      </c>
      <c r="I1154" s="52">
        <f>I1158</f>
        <v>0</v>
      </c>
      <c r="J1154" s="52">
        <f>J1158</f>
        <v>0</v>
      </c>
      <c r="K1154" s="52">
        <f t="shared" si="209"/>
        <v>0</v>
      </c>
      <c r="L1154" s="126"/>
      <c r="M1154" s="52">
        <f>M1155+M1157</f>
        <v>84000</v>
      </c>
      <c r="N1154" s="52">
        <f>N1155+N1157</f>
        <v>0</v>
      </c>
      <c r="O1154" s="52">
        <f t="shared" si="210"/>
        <v>84000</v>
      </c>
      <c r="P1154" s="126"/>
      <c r="Q1154" s="52">
        <f t="shared" ref="Q1154" si="215">M1154+I1154</f>
        <v>84000</v>
      </c>
      <c r="R1154" s="52">
        <f t="shared" ref="R1154" si="216">N1154+J1154</f>
        <v>0</v>
      </c>
      <c r="S1154" s="52">
        <f t="shared" ref="S1154" si="217">O1154+K1154</f>
        <v>84000</v>
      </c>
    </row>
    <row r="1155" spans="2:19" x14ac:dyDescent="0.2">
      <c r="B1155" s="79">
        <f t="shared" si="211"/>
        <v>408</v>
      </c>
      <c r="C1155" s="15"/>
      <c r="D1155" s="15"/>
      <c r="E1155" s="15"/>
      <c r="F1155" s="89" t="s">
        <v>126</v>
      </c>
      <c r="G1155" s="90">
        <v>716</v>
      </c>
      <c r="H1155" s="90" t="s">
        <v>0</v>
      </c>
      <c r="I1155" s="91"/>
      <c r="J1155" s="91"/>
      <c r="K1155" s="91">
        <f t="shared" si="209"/>
        <v>0</v>
      </c>
      <c r="L1155" s="80"/>
      <c r="M1155" s="91">
        <f>M1156</f>
        <v>624</v>
      </c>
      <c r="N1155" s="91">
        <f>N1156</f>
        <v>0</v>
      </c>
      <c r="O1155" s="91">
        <f t="shared" si="210"/>
        <v>624</v>
      </c>
      <c r="P1155" s="80"/>
      <c r="Q1155" s="91">
        <f t="shared" ref="Q1155:Q1156" si="218">I1155+M1155</f>
        <v>624</v>
      </c>
      <c r="R1155" s="91">
        <f t="shared" ref="R1155:R1156" si="219">J1155+N1155</f>
        <v>0</v>
      </c>
      <c r="S1155" s="91">
        <f t="shared" ref="S1155:S1156" si="220">K1155+O1155</f>
        <v>624</v>
      </c>
    </row>
    <row r="1156" spans="2:19" x14ac:dyDescent="0.2">
      <c r="B1156" s="79">
        <f t="shared" si="211"/>
        <v>409</v>
      </c>
      <c r="C1156" s="15"/>
      <c r="D1156" s="15"/>
      <c r="E1156" s="15"/>
      <c r="F1156" s="56"/>
      <c r="G1156" s="4"/>
      <c r="H1156" s="4" t="s">
        <v>742</v>
      </c>
      <c r="I1156" s="26"/>
      <c r="J1156" s="26"/>
      <c r="K1156" s="26">
        <f t="shared" si="209"/>
        <v>0</v>
      </c>
      <c r="L1156" s="80"/>
      <c r="M1156" s="26">
        <v>624</v>
      </c>
      <c r="N1156" s="26"/>
      <c r="O1156" s="26">
        <f t="shared" si="210"/>
        <v>624</v>
      </c>
      <c r="P1156" s="80"/>
      <c r="Q1156" s="26">
        <f t="shared" si="218"/>
        <v>624</v>
      </c>
      <c r="R1156" s="26">
        <f t="shared" si="219"/>
        <v>0</v>
      </c>
      <c r="S1156" s="26">
        <f t="shared" si="220"/>
        <v>624</v>
      </c>
    </row>
    <row r="1157" spans="2:19" x14ac:dyDescent="0.2">
      <c r="B1157" s="79">
        <f t="shared" si="211"/>
        <v>410</v>
      </c>
      <c r="C1157" s="15"/>
      <c r="D1157" s="15"/>
      <c r="E1157" s="15"/>
      <c r="F1157" s="89" t="s">
        <v>270</v>
      </c>
      <c r="G1157" s="90">
        <v>717</v>
      </c>
      <c r="H1157" s="90" t="s">
        <v>194</v>
      </c>
      <c r="I1157" s="91"/>
      <c r="J1157" s="91"/>
      <c r="K1157" s="91">
        <f t="shared" si="209"/>
        <v>0</v>
      </c>
      <c r="L1157" s="80"/>
      <c r="M1157" s="91">
        <f>SUM(M1158:M1159)</f>
        <v>83376</v>
      </c>
      <c r="N1157" s="91">
        <f>SUM(N1158:N1159)</f>
        <v>0</v>
      </c>
      <c r="O1157" s="91">
        <f t="shared" si="210"/>
        <v>83376</v>
      </c>
      <c r="P1157" s="80"/>
      <c r="Q1157" s="91">
        <f t="shared" si="212"/>
        <v>83376</v>
      </c>
      <c r="R1157" s="91">
        <f t="shared" ref="R1157:R1158" si="221">N1157+J1157</f>
        <v>0</v>
      </c>
      <c r="S1157" s="91">
        <f t="shared" ref="S1157:S1158" si="222">O1157+K1157</f>
        <v>83376</v>
      </c>
    </row>
    <row r="1158" spans="2:19" x14ac:dyDescent="0.2">
      <c r="B1158" s="79">
        <f t="shared" si="211"/>
        <v>411</v>
      </c>
      <c r="C1158" s="15"/>
      <c r="D1158" s="15"/>
      <c r="E1158" s="15"/>
      <c r="F1158" s="56"/>
      <c r="G1158" s="4"/>
      <c r="H1158" s="4" t="s">
        <v>671</v>
      </c>
      <c r="I1158" s="26"/>
      <c r="J1158" s="26"/>
      <c r="K1158" s="26">
        <f t="shared" si="209"/>
        <v>0</v>
      </c>
      <c r="L1158" s="80"/>
      <c r="M1158" s="26">
        <f>44000-624</f>
        <v>43376</v>
      </c>
      <c r="N1158" s="26"/>
      <c r="O1158" s="26">
        <f t="shared" si="210"/>
        <v>43376</v>
      </c>
      <c r="P1158" s="80"/>
      <c r="Q1158" s="26">
        <f t="shared" si="212"/>
        <v>43376</v>
      </c>
      <c r="R1158" s="26">
        <f t="shared" si="221"/>
        <v>0</v>
      </c>
      <c r="S1158" s="26">
        <f t="shared" si="222"/>
        <v>43376</v>
      </c>
    </row>
    <row r="1159" spans="2:19" x14ac:dyDescent="0.2">
      <c r="B1159" s="79">
        <f t="shared" si="211"/>
        <v>412</v>
      </c>
      <c r="C1159" s="15"/>
      <c r="D1159" s="15"/>
      <c r="E1159" s="15"/>
      <c r="F1159" s="56"/>
      <c r="G1159" s="4"/>
      <c r="H1159" s="129" t="s">
        <v>680</v>
      </c>
      <c r="I1159" s="128"/>
      <c r="J1159" s="128"/>
      <c r="K1159" s="128">
        <f t="shared" si="209"/>
        <v>0</v>
      </c>
      <c r="L1159" s="80"/>
      <c r="M1159" s="128">
        <f>30000+10000</f>
        <v>40000</v>
      </c>
      <c r="N1159" s="128"/>
      <c r="O1159" s="128">
        <f t="shared" si="210"/>
        <v>40000</v>
      </c>
      <c r="P1159" s="80"/>
      <c r="Q1159" s="128">
        <f t="shared" ref="Q1159" si="223">I1159+M1159</f>
        <v>40000</v>
      </c>
      <c r="R1159" s="128">
        <f t="shared" ref="R1159" si="224">J1159+N1159</f>
        <v>0</v>
      </c>
      <c r="S1159" s="128">
        <f t="shared" ref="S1159" si="225">K1159+O1159</f>
        <v>40000</v>
      </c>
    </row>
    <row r="1160" spans="2:19" ht="15" x14ac:dyDescent="0.25">
      <c r="B1160" s="79">
        <f t="shared" si="211"/>
        <v>413</v>
      </c>
      <c r="C1160" s="18"/>
      <c r="D1160" s="18"/>
      <c r="E1160" s="18">
        <v>12</v>
      </c>
      <c r="F1160" s="53"/>
      <c r="G1160" s="18"/>
      <c r="H1160" s="18" t="s">
        <v>272</v>
      </c>
      <c r="I1160" s="50">
        <f>I1161+I1162+I1163+I1171+I1172+I1173+I1174+I1182+I1186+I1184+I1183</f>
        <v>1030650</v>
      </c>
      <c r="J1160" s="50">
        <f>J1161+J1162+J1163+J1171+J1172+J1173+J1174+J1182+J1186+J1184+J1183</f>
        <v>40541</v>
      </c>
      <c r="K1160" s="50">
        <f t="shared" si="209"/>
        <v>1071191</v>
      </c>
      <c r="L1160" s="203"/>
      <c r="M1160" s="50">
        <f>M1161+M1162+M1163+M1171+M1172+M1173+M1174+M1182</f>
        <v>0</v>
      </c>
      <c r="N1160" s="50">
        <f>N1161+N1162+N1163+N1171+N1172+N1173+N1174+N1182</f>
        <v>0</v>
      </c>
      <c r="O1160" s="50">
        <f t="shared" si="210"/>
        <v>0</v>
      </c>
      <c r="P1160" s="203"/>
      <c r="Q1160" s="50">
        <f t="shared" si="203"/>
        <v>1030650</v>
      </c>
      <c r="R1160" s="50">
        <f t="shared" ref="R1160:R1184" si="226">N1160+J1160</f>
        <v>40541</v>
      </c>
      <c r="S1160" s="50">
        <f t="shared" ref="S1160:S1184" si="227">O1160+K1160</f>
        <v>1071191</v>
      </c>
    </row>
    <row r="1161" spans="2:19" x14ac:dyDescent="0.2">
      <c r="B1161" s="79">
        <f t="shared" si="211"/>
        <v>414</v>
      </c>
      <c r="C1161" s="15"/>
      <c r="D1161" s="15"/>
      <c r="E1161" s="15"/>
      <c r="F1161" s="55" t="s">
        <v>126</v>
      </c>
      <c r="G1161" s="15">
        <v>610</v>
      </c>
      <c r="H1161" s="15" t="s">
        <v>136</v>
      </c>
      <c r="I1161" s="52">
        <v>264569</v>
      </c>
      <c r="J1161" s="52"/>
      <c r="K1161" s="52">
        <f t="shared" si="209"/>
        <v>264569</v>
      </c>
      <c r="L1161" s="126"/>
      <c r="M1161" s="52"/>
      <c r="N1161" s="52"/>
      <c r="O1161" s="52">
        <f t="shared" si="210"/>
        <v>0</v>
      </c>
      <c r="P1161" s="126"/>
      <c r="Q1161" s="52">
        <f t="shared" si="203"/>
        <v>264569</v>
      </c>
      <c r="R1161" s="52">
        <f t="shared" si="226"/>
        <v>0</v>
      </c>
      <c r="S1161" s="52">
        <f t="shared" si="227"/>
        <v>264569</v>
      </c>
    </row>
    <row r="1162" spans="2:19" x14ac:dyDescent="0.2">
      <c r="B1162" s="79">
        <f t="shared" si="211"/>
        <v>415</v>
      </c>
      <c r="C1162" s="15"/>
      <c r="D1162" s="15"/>
      <c r="E1162" s="15"/>
      <c r="F1162" s="55" t="s">
        <v>126</v>
      </c>
      <c r="G1162" s="15">
        <v>620</v>
      </c>
      <c r="H1162" s="15" t="s">
        <v>131</v>
      </c>
      <c r="I1162" s="52">
        <v>97360</v>
      </c>
      <c r="J1162" s="52"/>
      <c r="K1162" s="52">
        <f t="shared" si="209"/>
        <v>97360</v>
      </c>
      <c r="L1162" s="126"/>
      <c r="M1162" s="52"/>
      <c r="N1162" s="52"/>
      <c r="O1162" s="52">
        <f t="shared" si="210"/>
        <v>0</v>
      </c>
      <c r="P1162" s="126"/>
      <c r="Q1162" s="52">
        <f t="shared" si="203"/>
        <v>97360</v>
      </c>
      <c r="R1162" s="52">
        <f t="shared" si="226"/>
        <v>0</v>
      </c>
      <c r="S1162" s="52">
        <f t="shared" si="227"/>
        <v>97360</v>
      </c>
    </row>
    <row r="1163" spans="2:19" x14ac:dyDescent="0.2">
      <c r="B1163" s="79">
        <f t="shared" si="211"/>
        <v>416</v>
      </c>
      <c r="C1163" s="15"/>
      <c r="D1163" s="15"/>
      <c r="E1163" s="15"/>
      <c r="F1163" s="55" t="s">
        <v>126</v>
      </c>
      <c r="G1163" s="15">
        <v>630</v>
      </c>
      <c r="H1163" s="15" t="s">
        <v>128</v>
      </c>
      <c r="I1163" s="52">
        <f>I1170+I1169+I1168+I1167+I1166+I1165+I1164</f>
        <v>75345</v>
      </c>
      <c r="J1163" s="52">
        <f>J1170+J1169+J1168+J1167+J1166+J1165+J1164</f>
        <v>300</v>
      </c>
      <c r="K1163" s="52">
        <f t="shared" si="209"/>
        <v>75645</v>
      </c>
      <c r="L1163" s="126"/>
      <c r="M1163" s="52">
        <v>0</v>
      </c>
      <c r="N1163" s="52"/>
      <c r="O1163" s="52">
        <f t="shared" si="210"/>
        <v>0</v>
      </c>
      <c r="P1163" s="126"/>
      <c r="Q1163" s="52">
        <f t="shared" si="203"/>
        <v>75345</v>
      </c>
      <c r="R1163" s="52">
        <f t="shared" si="226"/>
        <v>300</v>
      </c>
      <c r="S1163" s="52">
        <f t="shared" si="227"/>
        <v>75645</v>
      </c>
    </row>
    <row r="1164" spans="2:19" x14ac:dyDescent="0.2">
      <c r="B1164" s="79">
        <f t="shared" si="211"/>
        <v>417</v>
      </c>
      <c r="C1164" s="4"/>
      <c r="D1164" s="4"/>
      <c r="E1164" s="4"/>
      <c r="F1164" s="56" t="s">
        <v>126</v>
      </c>
      <c r="G1164" s="4">
        <v>631</v>
      </c>
      <c r="H1164" s="4" t="s">
        <v>134</v>
      </c>
      <c r="I1164" s="26">
        <v>275</v>
      </c>
      <c r="J1164" s="26"/>
      <c r="K1164" s="26">
        <f t="shared" si="209"/>
        <v>275</v>
      </c>
      <c r="L1164" s="80"/>
      <c r="M1164" s="26"/>
      <c r="N1164" s="26"/>
      <c r="O1164" s="26">
        <f t="shared" si="210"/>
        <v>0</v>
      </c>
      <c r="P1164" s="80"/>
      <c r="Q1164" s="26">
        <f t="shared" si="203"/>
        <v>275</v>
      </c>
      <c r="R1164" s="26">
        <f t="shared" si="226"/>
        <v>0</v>
      </c>
      <c r="S1164" s="26">
        <f t="shared" si="227"/>
        <v>275</v>
      </c>
    </row>
    <row r="1165" spans="2:19" x14ac:dyDescent="0.2">
      <c r="B1165" s="79">
        <f t="shared" si="211"/>
        <v>418</v>
      </c>
      <c r="C1165" s="4"/>
      <c r="D1165" s="4"/>
      <c r="E1165" s="4"/>
      <c r="F1165" s="56" t="s">
        <v>126</v>
      </c>
      <c r="G1165" s="4">
        <v>632</v>
      </c>
      <c r="H1165" s="4" t="s">
        <v>139</v>
      </c>
      <c r="I1165" s="26">
        <v>25934</v>
      </c>
      <c r="J1165" s="26"/>
      <c r="K1165" s="26">
        <f t="shared" si="209"/>
        <v>25934</v>
      </c>
      <c r="L1165" s="80"/>
      <c r="M1165" s="26"/>
      <c r="N1165" s="26"/>
      <c r="O1165" s="26">
        <f t="shared" si="210"/>
        <v>0</v>
      </c>
      <c r="P1165" s="80"/>
      <c r="Q1165" s="26">
        <f t="shared" si="203"/>
        <v>25934</v>
      </c>
      <c r="R1165" s="26">
        <f t="shared" si="226"/>
        <v>0</v>
      </c>
      <c r="S1165" s="26">
        <f t="shared" si="227"/>
        <v>25934</v>
      </c>
    </row>
    <row r="1166" spans="2:19" x14ac:dyDescent="0.2">
      <c r="B1166" s="79">
        <f t="shared" si="211"/>
        <v>419</v>
      </c>
      <c r="C1166" s="4"/>
      <c r="D1166" s="4"/>
      <c r="E1166" s="4"/>
      <c r="F1166" s="56" t="s">
        <v>126</v>
      </c>
      <c r="G1166" s="4">
        <v>633</v>
      </c>
      <c r="H1166" s="4" t="s">
        <v>132</v>
      </c>
      <c r="I1166" s="26">
        <v>13589</v>
      </c>
      <c r="J1166" s="26">
        <v>300</v>
      </c>
      <c r="K1166" s="26">
        <f t="shared" si="209"/>
        <v>13889</v>
      </c>
      <c r="L1166" s="80"/>
      <c r="M1166" s="26"/>
      <c r="N1166" s="26"/>
      <c r="O1166" s="26">
        <f t="shared" si="210"/>
        <v>0</v>
      </c>
      <c r="P1166" s="80"/>
      <c r="Q1166" s="26">
        <f t="shared" si="203"/>
        <v>13589</v>
      </c>
      <c r="R1166" s="26">
        <f t="shared" si="226"/>
        <v>300</v>
      </c>
      <c r="S1166" s="26">
        <f t="shared" si="227"/>
        <v>13889</v>
      </c>
    </row>
    <row r="1167" spans="2:19" x14ac:dyDescent="0.2">
      <c r="B1167" s="79">
        <f t="shared" si="211"/>
        <v>420</v>
      </c>
      <c r="C1167" s="4"/>
      <c r="D1167" s="4"/>
      <c r="E1167" s="4"/>
      <c r="F1167" s="56" t="s">
        <v>126</v>
      </c>
      <c r="G1167" s="4">
        <v>634</v>
      </c>
      <c r="H1167" s="4" t="s">
        <v>137</v>
      </c>
      <c r="I1167" s="26">
        <v>112</v>
      </c>
      <c r="J1167" s="26"/>
      <c r="K1167" s="26">
        <f t="shared" si="209"/>
        <v>112</v>
      </c>
      <c r="L1167" s="80"/>
      <c r="M1167" s="26"/>
      <c r="N1167" s="26"/>
      <c r="O1167" s="26">
        <f t="shared" si="210"/>
        <v>0</v>
      </c>
      <c r="P1167" s="80"/>
      <c r="Q1167" s="26">
        <f t="shared" si="203"/>
        <v>112</v>
      </c>
      <c r="R1167" s="26">
        <f t="shared" si="226"/>
        <v>0</v>
      </c>
      <c r="S1167" s="26">
        <f t="shared" si="227"/>
        <v>112</v>
      </c>
    </row>
    <row r="1168" spans="2:19" x14ac:dyDescent="0.2">
      <c r="B1168" s="79">
        <f t="shared" si="211"/>
        <v>421</v>
      </c>
      <c r="C1168" s="4"/>
      <c r="D1168" s="4"/>
      <c r="E1168" s="4"/>
      <c r="F1168" s="56" t="s">
        <v>126</v>
      </c>
      <c r="G1168" s="4">
        <v>635</v>
      </c>
      <c r="H1168" s="4" t="s">
        <v>138</v>
      </c>
      <c r="I1168" s="26">
        <v>19655</v>
      </c>
      <c r="J1168" s="26"/>
      <c r="K1168" s="26">
        <f t="shared" si="209"/>
        <v>19655</v>
      </c>
      <c r="L1168" s="80"/>
      <c r="M1168" s="26"/>
      <c r="N1168" s="26"/>
      <c r="O1168" s="26">
        <f t="shared" si="210"/>
        <v>0</v>
      </c>
      <c r="P1168" s="80"/>
      <c r="Q1168" s="26">
        <f t="shared" si="203"/>
        <v>19655</v>
      </c>
      <c r="R1168" s="26">
        <f t="shared" si="226"/>
        <v>0</v>
      </c>
      <c r="S1168" s="26">
        <f t="shared" si="227"/>
        <v>19655</v>
      </c>
    </row>
    <row r="1169" spans="2:19" x14ac:dyDescent="0.2">
      <c r="B1169" s="79">
        <f t="shared" si="211"/>
        <v>422</v>
      </c>
      <c r="C1169" s="4"/>
      <c r="D1169" s="4"/>
      <c r="E1169" s="4"/>
      <c r="F1169" s="56" t="s">
        <v>126</v>
      </c>
      <c r="G1169" s="4">
        <v>636</v>
      </c>
      <c r="H1169" s="4" t="s">
        <v>133</v>
      </c>
      <c r="I1169" s="26">
        <v>1056</v>
      </c>
      <c r="J1169" s="26"/>
      <c r="K1169" s="26">
        <f t="shared" si="209"/>
        <v>1056</v>
      </c>
      <c r="L1169" s="80"/>
      <c r="M1169" s="26"/>
      <c r="N1169" s="26"/>
      <c r="O1169" s="26">
        <f t="shared" si="210"/>
        <v>0</v>
      </c>
      <c r="P1169" s="80"/>
      <c r="Q1169" s="26">
        <f t="shared" si="203"/>
        <v>1056</v>
      </c>
      <c r="R1169" s="26">
        <f t="shared" si="226"/>
        <v>0</v>
      </c>
      <c r="S1169" s="26">
        <f t="shared" si="227"/>
        <v>1056</v>
      </c>
    </row>
    <row r="1170" spans="2:19" x14ac:dyDescent="0.2">
      <c r="B1170" s="79">
        <f t="shared" si="211"/>
        <v>423</v>
      </c>
      <c r="C1170" s="4"/>
      <c r="D1170" s="4"/>
      <c r="E1170" s="4"/>
      <c r="F1170" s="56" t="s">
        <v>126</v>
      </c>
      <c r="G1170" s="4">
        <v>637</v>
      </c>
      <c r="H1170" s="4" t="s">
        <v>129</v>
      </c>
      <c r="I1170" s="26">
        <v>14724</v>
      </c>
      <c r="J1170" s="26"/>
      <c r="K1170" s="26">
        <f t="shared" si="209"/>
        <v>14724</v>
      </c>
      <c r="L1170" s="80"/>
      <c r="M1170" s="26"/>
      <c r="N1170" s="26"/>
      <c r="O1170" s="26">
        <f t="shared" si="210"/>
        <v>0</v>
      </c>
      <c r="P1170" s="80"/>
      <c r="Q1170" s="26">
        <f t="shared" si="203"/>
        <v>14724</v>
      </c>
      <c r="R1170" s="26">
        <f t="shared" si="226"/>
        <v>0</v>
      </c>
      <c r="S1170" s="26">
        <f t="shared" si="227"/>
        <v>14724</v>
      </c>
    </row>
    <row r="1171" spans="2:19" x14ac:dyDescent="0.2">
      <c r="B1171" s="79">
        <f t="shared" si="211"/>
        <v>424</v>
      </c>
      <c r="C1171" s="15"/>
      <c r="D1171" s="15"/>
      <c r="E1171" s="15"/>
      <c r="F1171" s="55" t="s">
        <v>126</v>
      </c>
      <c r="G1171" s="15">
        <v>640</v>
      </c>
      <c r="H1171" s="15" t="s">
        <v>135</v>
      </c>
      <c r="I1171" s="52">
        <v>9319</v>
      </c>
      <c r="J1171" s="52">
        <v>-2022</v>
      </c>
      <c r="K1171" s="52">
        <f t="shared" si="209"/>
        <v>7297</v>
      </c>
      <c r="L1171" s="126"/>
      <c r="M1171" s="52"/>
      <c r="N1171" s="52"/>
      <c r="O1171" s="52">
        <f t="shared" si="210"/>
        <v>0</v>
      </c>
      <c r="P1171" s="126"/>
      <c r="Q1171" s="52">
        <f t="shared" si="203"/>
        <v>9319</v>
      </c>
      <c r="R1171" s="52">
        <f t="shared" si="226"/>
        <v>-2022</v>
      </c>
      <c r="S1171" s="52">
        <f t="shared" si="227"/>
        <v>7297</v>
      </c>
    </row>
    <row r="1172" spans="2:19" x14ac:dyDescent="0.2">
      <c r="B1172" s="79">
        <f t="shared" si="211"/>
        <v>425</v>
      </c>
      <c r="C1172" s="15"/>
      <c r="D1172" s="15"/>
      <c r="E1172" s="15"/>
      <c r="F1172" s="55" t="s">
        <v>270</v>
      </c>
      <c r="G1172" s="15">
        <v>610</v>
      </c>
      <c r="H1172" s="15" t="s">
        <v>136</v>
      </c>
      <c r="I1172" s="52">
        <v>330163</v>
      </c>
      <c r="J1172" s="52">
        <v>16268</v>
      </c>
      <c r="K1172" s="52">
        <f t="shared" si="209"/>
        <v>346431</v>
      </c>
      <c r="L1172" s="126"/>
      <c r="M1172" s="52"/>
      <c r="N1172" s="52"/>
      <c r="O1172" s="52">
        <f t="shared" si="210"/>
        <v>0</v>
      </c>
      <c r="P1172" s="126"/>
      <c r="Q1172" s="52">
        <f t="shared" si="203"/>
        <v>330163</v>
      </c>
      <c r="R1172" s="52">
        <f t="shared" si="226"/>
        <v>16268</v>
      </c>
      <c r="S1172" s="52">
        <f t="shared" si="227"/>
        <v>346431</v>
      </c>
    </row>
    <row r="1173" spans="2:19" x14ac:dyDescent="0.2">
      <c r="B1173" s="79">
        <f t="shared" si="211"/>
        <v>426</v>
      </c>
      <c r="C1173" s="15"/>
      <c r="D1173" s="15"/>
      <c r="E1173" s="15"/>
      <c r="F1173" s="55" t="s">
        <v>270</v>
      </c>
      <c r="G1173" s="15">
        <v>620</v>
      </c>
      <c r="H1173" s="15" t="s">
        <v>131</v>
      </c>
      <c r="I1173" s="52">
        <v>121006</v>
      </c>
      <c r="J1173" s="52">
        <v>7443</v>
      </c>
      <c r="K1173" s="52">
        <f t="shared" si="209"/>
        <v>128449</v>
      </c>
      <c r="L1173" s="126"/>
      <c r="M1173" s="52"/>
      <c r="N1173" s="52"/>
      <c r="O1173" s="52">
        <f t="shared" si="210"/>
        <v>0</v>
      </c>
      <c r="P1173" s="126"/>
      <c r="Q1173" s="52">
        <f t="shared" si="203"/>
        <v>121006</v>
      </c>
      <c r="R1173" s="52">
        <f t="shared" si="226"/>
        <v>7443</v>
      </c>
      <c r="S1173" s="52">
        <f t="shared" si="227"/>
        <v>128449</v>
      </c>
    </row>
    <row r="1174" spans="2:19" x14ac:dyDescent="0.2">
      <c r="B1174" s="79">
        <f t="shared" si="211"/>
        <v>427</v>
      </c>
      <c r="C1174" s="15"/>
      <c r="D1174" s="15"/>
      <c r="E1174" s="15"/>
      <c r="F1174" s="55" t="s">
        <v>270</v>
      </c>
      <c r="G1174" s="15">
        <v>630</v>
      </c>
      <c r="H1174" s="15" t="s">
        <v>128</v>
      </c>
      <c r="I1174" s="52">
        <f>I1181+I1180+I1179+I1178+I1177+I1176+I1175</f>
        <v>117274</v>
      </c>
      <c r="J1174" s="52">
        <f>J1181+J1180+J1179+J1178+J1177+J1176+J1175</f>
        <v>17860</v>
      </c>
      <c r="K1174" s="52">
        <f t="shared" si="209"/>
        <v>135134</v>
      </c>
      <c r="L1174" s="126"/>
      <c r="M1174" s="52">
        <f>M1181+M1180+M1179+M1178+M1177+M1176+M1175</f>
        <v>0</v>
      </c>
      <c r="N1174" s="52">
        <f>N1181+N1180+N1179+N1178+N1177+N1176+N1175</f>
        <v>0</v>
      </c>
      <c r="O1174" s="52">
        <f t="shared" si="210"/>
        <v>0</v>
      </c>
      <c r="P1174" s="126"/>
      <c r="Q1174" s="52">
        <f t="shared" si="203"/>
        <v>117274</v>
      </c>
      <c r="R1174" s="52">
        <f t="shared" si="226"/>
        <v>17860</v>
      </c>
      <c r="S1174" s="52">
        <f t="shared" si="227"/>
        <v>135134</v>
      </c>
    </row>
    <row r="1175" spans="2:19" x14ac:dyDescent="0.2">
      <c r="B1175" s="79">
        <f t="shared" si="211"/>
        <v>428</v>
      </c>
      <c r="C1175" s="4"/>
      <c r="D1175" s="4"/>
      <c r="E1175" s="4"/>
      <c r="F1175" s="56" t="s">
        <v>270</v>
      </c>
      <c r="G1175" s="4">
        <v>631</v>
      </c>
      <c r="H1175" s="4" t="s">
        <v>134</v>
      </c>
      <c r="I1175" s="26">
        <v>337</v>
      </c>
      <c r="J1175" s="26"/>
      <c r="K1175" s="26">
        <f t="shared" si="209"/>
        <v>337</v>
      </c>
      <c r="L1175" s="80"/>
      <c r="M1175" s="26"/>
      <c r="N1175" s="26"/>
      <c r="O1175" s="26">
        <f t="shared" si="210"/>
        <v>0</v>
      </c>
      <c r="P1175" s="80"/>
      <c r="Q1175" s="26">
        <f t="shared" si="203"/>
        <v>337</v>
      </c>
      <c r="R1175" s="26">
        <f t="shared" si="226"/>
        <v>0</v>
      </c>
      <c r="S1175" s="26">
        <f t="shared" si="227"/>
        <v>337</v>
      </c>
    </row>
    <row r="1176" spans="2:19" x14ac:dyDescent="0.2">
      <c r="B1176" s="79">
        <f t="shared" si="211"/>
        <v>429</v>
      </c>
      <c r="C1176" s="4"/>
      <c r="D1176" s="4"/>
      <c r="E1176" s="4"/>
      <c r="F1176" s="56" t="s">
        <v>270</v>
      </c>
      <c r="G1176" s="4">
        <v>632</v>
      </c>
      <c r="H1176" s="4" t="s">
        <v>139</v>
      </c>
      <c r="I1176" s="26">
        <v>31697</v>
      </c>
      <c r="J1176" s="26">
        <v>12520</v>
      </c>
      <c r="K1176" s="26">
        <f t="shared" si="209"/>
        <v>44217</v>
      </c>
      <c r="L1176" s="80"/>
      <c r="M1176" s="26"/>
      <c r="N1176" s="26"/>
      <c r="O1176" s="26">
        <f t="shared" si="210"/>
        <v>0</v>
      </c>
      <c r="P1176" s="80"/>
      <c r="Q1176" s="26">
        <f t="shared" si="203"/>
        <v>31697</v>
      </c>
      <c r="R1176" s="26">
        <f t="shared" si="226"/>
        <v>12520</v>
      </c>
      <c r="S1176" s="26">
        <f t="shared" si="227"/>
        <v>44217</v>
      </c>
    </row>
    <row r="1177" spans="2:19" x14ac:dyDescent="0.2">
      <c r="B1177" s="79">
        <f t="shared" si="211"/>
        <v>430</v>
      </c>
      <c r="C1177" s="4"/>
      <c r="D1177" s="4"/>
      <c r="E1177" s="4"/>
      <c r="F1177" s="56" t="s">
        <v>270</v>
      </c>
      <c r="G1177" s="4">
        <v>633</v>
      </c>
      <c r="H1177" s="4" t="s">
        <v>132</v>
      </c>
      <c r="I1177" s="26">
        <v>28831</v>
      </c>
      <c r="J1177" s="26">
        <v>-1360</v>
      </c>
      <c r="K1177" s="26">
        <f t="shared" si="209"/>
        <v>27471</v>
      </c>
      <c r="L1177" s="80"/>
      <c r="M1177" s="26"/>
      <c r="N1177" s="26"/>
      <c r="O1177" s="26">
        <f t="shared" si="210"/>
        <v>0</v>
      </c>
      <c r="P1177" s="80"/>
      <c r="Q1177" s="26">
        <f t="shared" si="203"/>
        <v>28831</v>
      </c>
      <c r="R1177" s="26">
        <f t="shared" si="226"/>
        <v>-1360</v>
      </c>
      <c r="S1177" s="26">
        <f t="shared" si="227"/>
        <v>27471</v>
      </c>
    </row>
    <row r="1178" spans="2:19" x14ac:dyDescent="0.2">
      <c r="B1178" s="79">
        <f t="shared" si="211"/>
        <v>431</v>
      </c>
      <c r="C1178" s="4"/>
      <c r="D1178" s="4"/>
      <c r="E1178" s="4"/>
      <c r="F1178" s="56" t="s">
        <v>270</v>
      </c>
      <c r="G1178" s="4">
        <v>634</v>
      </c>
      <c r="H1178" s="4" t="s">
        <v>137</v>
      </c>
      <c r="I1178" s="26">
        <v>143</v>
      </c>
      <c r="J1178" s="26"/>
      <c r="K1178" s="26">
        <f t="shared" si="209"/>
        <v>143</v>
      </c>
      <c r="L1178" s="80"/>
      <c r="M1178" s="26"/>
      <c r="N1178" s="26"/>
      <c r="O1178" s="26">
        <f t="shared" si="210"/>
        <v>0</v>
      </c>
      <c r="P1178" s="80"/>
      <c r="Q1178" s="26">
        <f t="shared" si="203"/>
        <v>143</v>
      </c>
      <c r="R1178" s="26">
        <f t="shared" si="226"/>
        <v>0</v>
      </c>
      <c r="S1178" s="26">
        <f t="shared" si="227"/>
        <v>143</v>
      </c>
    </row>
    <row r="1179" spans="2:19" x14ac:dyDescent="0.2">
      <c r="B1179" s="79">
        <f t="shared" si="211"/>
        <v>432</v>
      </c>
      <c r="C1179" s="4"/>
      <c r="D1179" s="4"/>
      <c r="E1179" s="4"/>
      <c r="F1179" s="56" t="s">
        <v>270</v>
      </c>
      <c r="G1179" s="4">
        <v>635</v>
      </c>
      <c r="H1179" s="4" t="s">
        <v>138</v>
      </c>
      <c r="I1179" s="26">
        <v>26282</v>
      </c>
      <c r="J1179" s="26"/>
      <c r="K1179" s="26">
        <f t="shared" si="209"/>
        <v>26282</v>
      </c>
      <c r="L1179" s="80"/>
      <c r="M1179" s="26"/>
      <c r="N1179" s="26"/>
      <c r="O1179" s="26">
        <f t="shared" si="210"/>
        <v>0</v>
      </c>
      <c r="P1179" s="80"/>
      <c r="Q1179" s="26">
        <f t="shared" si="203"/>
        <v>26282</v>
      </c>
      <c r="R1179" s="26">
        <f t="shared" si="226"/>
        <v>0</v>
      </c>
      <c r="S1179" s="26">
        <f t="shared" si="227"/>
        <v>26282</v>
      </c>
    </row>
    <row r="1180" spans="2:19" x14ac:dyDescent="0.2">
      <c r="B1180" s="79">
        <f t="shared" si="211"/>
        <v>433</v>
      </c>
      <c r="C1180" s="4"/>
      <c r="D1180" s="4"/>
      <c r="E1180" s="4"/>
      <c r="F1180" s="56" t="s">
        <v>270</v>
      </c>
      <c r="G1180" s="4">
        <v>636</v>
      </c>
      <c r="H1180" s="4" t="s">
        <v>133</v>
      </c>
      <c r="I1180" s="26">
        <v>1290</v>
      </c>
      <c r="J1180" s="26">
        <v>2000</v>
      </c>
      <c r="K1180" s="26">
        <f t="shared" si="209"/>
        <v>3290</v>
      </c>
      <c r="L1180" s="80"/>
      <c r="M1180" s="26"/>
      <c r="N1180" s="26"/>
      <c r="O1180" s="26">
        <f t="shared" si="210"/>
        <v>0</v>
      </c>
      <c r="P1180" s="80"/>
      <c r="Q1180" s="26">
        <f t="shared" si="203"/>
        <v>1290</v>
      </c>
      <c r="R1180" s="26">
        <f t="shared" si="226"/>
        <v>2000</v>
      </c>
      <c r="S1180" s="26">
        <f t="shared" si="227"/>
        <v>3290</v>
      </c>
    </row>
    <row r="1181" spans="2:19" x14ac:dyDescent="0.2">
      <c r="B1181" s="79">
        <f t="shared" si="211"/>
        <v>434</v>
      </c>
      <c r="C1181" s="4"/>
      <c r="D1181" s="4"/>
      <c r="E1181" s="4"/>
      <c r="F1181" s="56" t="s">
        <v>270</v>
      </c>
      <c r="G1181" s="4">
        <v>637</v>
      </c>
      <c r="H1181" s="4" t="s">
        <v>129</v>
      </c>
      <c r="I1181" s="26">
        <f>20574+8120</f>
        <v>28694</v>
      </c>
      <c r="J1181" s="26">
        <v>4700</v>
      </c>
      <c r="K1181" s="26">
        <f t="shared" si="209"/>
        <v>33394</v>
      </c>
      <c r="L1181" s="80"/>
      <c r="M1181" s="26"/>
      <c r="N1181" s="26"/>
      <c r="O1181" s="26">
        <f t="shared" si="210"/>
        <v>0</v>
      </c>
      <c r="P1181" s="80"/>
      <c r="Q1181" s="26">
        <f t="shared" si="203"/>
        <v>28694</v>
      </c>
      <c r="R1181" s="26">
        <f t="shared" si="226"/>
        <v>4700</v>
      </c>
      <c r="S1181" s="26">
        <f t="shared" si="227"/>
        <v>33394</v>
      </c>
    </row>
    <row r="1182" spans="2:19" x14ac:dyDescent="0.2">
      <c r="B1182" s="79">
        <f t="shared" si="211"/>
        <v>435</v>
      </c>
      <c r="C1182" s="15"/>
      <c r="D1182" s="15"/>
      <c r="E1182" s="15"/>
      <c r="F1182" s="55" t="s">
        <v>270</v>
      </c>
      <c r="G1182" s="15">
        <v>640</v>
      </c>
      <c r="H1182" s="15" t="s">
        <v>135</v>
      </c>
      <c r="I1182" s="52">
        <v>11447</v>
      </c>
      <c r="J1182" s="52">
        <v>392</v>
      </c>
      <c r="K1182" s="52">
        <f t="shared" si="209"/>
        <v>11839</v>
      </c>
      <c r="L1182" s="126"/>
      <c r="M1182" s="52"/>
      <c r="N1182" s="52"/>
      <c r="O1182" s="52">
        <f t="shared" si="210"/>
        <v>0</v>
      </c>
      <c r="P1182" s="126"/>
      <c r="Q1182" s="52">
        <f t="shared" si="203"/>
        <v>11447</v>
      </c>
      <c r="R1182" s="52">
        <f t="shared" si="226"/>
        <v>392</v>
      </c>
      <c r="S1182" s="52">
        <f t="shared" si="227"/>
        <v>11839</v>
      </c>
    </row>
    <row r="1183" spans="2:19" x14ac:dyDescent="0.2">
      <c r="B1183" s="79">
        <f t="shared" si="211"/>
        <v>436</v>
      </c>
      <c r="C1183" s="15"/>
      <c r="D1183" s="15"/>
      <c r="E1183" s="15"/>
      <c r="F1183" s="55" t="s">
        <v>270</v>
      </c>
      <c r="G1183" s="15">
        <v>630</v>
      </c>
      <c r="H1183" s="15" t="s">
        <v>716</v>
      </c>
      <c r="I1183" s="52">
        <v>2600</v>
      </c>
      <c r="J1183" s="52"/>
      <c r="K1183" s="52">
        <f t="shared" si="209"/>
        <v>2600</v>
      </c>
      <c r="L1183" s="126"/>
      <c r="M1183" s="52"/>
      <c r="N1183" s="52"/>
      <c r="O1183" s="52">
        <f t="shared" si="210"/>
        <v>0</v>
      </c>
      <c r="P1183" s="126"/>
      <c r="Q1183" s="52">
        <f t="shared" si="203"/>
        <v>2600</v>
      </c>
      <c r="R1183" s="52">
        <f t="shared" si="226"/>
        <v>0</v>
      </c>
      <c r="S1183" s="52">
        <f t="shared" si="227"/>
        <v>2600</v>
      </c>
    </row>
    <row r="1184" spans="2:19" x14ac:dyDescent="0.2">
      <c r="B1184" s="79">
        <f t="shared" si="211"/>
        <v>437</v>
      </c>
      <c r="C1184" s="15"/>
      <c r="D1184" s="15"/>
      <c r="E1184" s="15"/>
      <c r="F1184" s="55" t="s">
        <v>76</v>
      </c>
      <c r="G1184" s="15">
        <v>630</v>
      </c>
      <c r="H1184" s="15" t="s">
        <v>663</v>
      </c>
      <c r="I1184" s="52">
        <v>400</v>
      </c>
      <c r="J1184" s="52">
        <v>300</v>
      </c>
      <c r="K1184" s="52">
        <f t="shared" si="209"/>
        <v>700</v>
      </c>
      <c r="L1184" s="126"/>
      <c r="M1184" s="52"/>
      <c r="N1184" s="52"/>
      <c r="O1184" s="52">
        <f t="shared" si="210"/>
        <v>0</v>
      </c>
      <c r="P1184" s="126"/>
      <c r="Q1184" s="52">
        <f t="shared" si="203"/>
        <v>400</v>
      </c>
      <c r="R1184" s="52">
        <f t="shared" si="226"/>
        <v>300</v>
      </c>
      <c r="S1184" s="52">
        <f t="shared" si="227"/>
        <v>700</v>
      </c>
    </row>
    <row r="1185" spans="2:19" x14ac:dyDescent="0.2">
      <c r="B1185" s="79">
        <f t="shared" si="211"/>
        <v>438</v>
      </c>
      <c r="C1185" s="15"/>
      <c r="D1185" s="15"/>
      <c r="E1185" s="15"/>
      <c r="F1185" s="55"/>
      <c r="G1185" s="15"/>
      <c r="H1185" s="15"/>
      <c r="I1185" s="52"/>
      <c r="J1185" s="52"/>
      <c r="K1185" s="52">
        <f t="shared" si="209"/>
        <v>0</v>
      </c>
      <c r="L1185" s="126"/>
      <c r="M1185" s="52"/>
      <c r="N1185" s="52"/>
      <c r="O1185" s="52">
        <f t="shared" si="210"/>
        <v>0</v>
      </c>
      <c r="P1185" s="126"/>
      <c r="Q1185" s="52"/>
      <c r="R1185" s="52"/>
      <c r="S1185" s="52"/>
    </row>
    <row r="1186" spans="2:19" x14ac:dyDescent="0.2">
      <c r="B1186" s="79">
        <f t="shared" si="211"/>
        <v>439</v>
      </c>
      <c r="C1186" s="15"/>
      <c r="D1186" s="15"/>
      <c r="E1186" s="15"/>
      <c r="F1186" s="55"/>
      <c r="G1186" s="15">
        <v>630</v>
      </c>
      <c r="H1186" s="15" t="s">
        <v>612</v>
      </c>
      <c r="I1186" s="52">
        <v>1167</v>
      </c>
      <c r="J1186" s="52"/>
      <c r="K1186" s="52">
        <f t="shared" si="209"/>
        <v>1167</v>
      </c>
      <c r="L1186" s="126"/>
      <c r="M1186" s="52"/>
      <c r="N1186" s="52"/>
      <c r="O1186" s="52">
        <f t="shared" si="210"/>
        <v>0</v>
      </c>
      <c r="P1186" s="126"/>
      <c r="Q1186" s="52">
        <f t="shared" ref="Q1186" si="228">M1186+I1186</f>
        <v>1167</v>
      </c>
      <c r="R1186" s="52">
        <f t="shared" ref="R1186:R1210" si="229">N1186+J1186</f>
        <v>0</v>
      </c>
      <c r="S1186" s="52">
        <f t="shared" ref="S1186:S1210" si="230">O1186+K1186</f>
        <v>1167</v>
      </c>
    </row>
    <row r="1187" spans="2:19" ht="15" x14ac:dyDescent="0.25">
      <c r="B1187" s="79">
        <f t="shared" si="211"/>
        <v>440</v>
      </c>
      <c r="C1187" s="18"/>
      <c r="D1187" s="18"/>
      <c r="E1187" s="18">
        <v>13</v>
      </c>
      <c r="F1187" s="53"/>
      <c r="G1187" s="18"/>
      <c r="H1187" s="18" t="s">
        <v>255</v>
      </c>
      <c r="I1187" s="50">
        <f>I1188+I1189+I1190+I1196+I1200+I1201+I1202+I1209+I1212+I1210</f>
        <v>406388</v>
      </c>
      <c r="J1187" s="50">
        <f>J1188+J1189+J1190+J1196+J1200+J1201+J1202+J1209+J1212+J1210</f>
        <v>2187</v>
      </c>
      <c r="K1187" s="50">
        <f t="shared" si="209"/>
        <v>408575</v>
      </c>
      <c r="L1187" s="203"/>
      <c r="M1187" s="50">
        <f>M1197+M1217+M1214</f>
        <v>167000</v>
      </c>
      <c r="N1187" s="50">
        <f>N1197+N1217+N1214</f>
        <v>0</v>
      </c>
      <c r="O1187" s="50">
        <f t="shared" si="210"/>
        <v>167000</v>
      </c>
      <c r="P1187" s="203"/>
      <c r="Q1187" s="50">
        <f t="shared" si="203"/>
        <v>573388</v>
      </c>
      <c r="R1187" s="50">
        <f t="shared" si="229"/>
        <v>2187</v>
      </c>
      <c r="S1187" s="50">
        <f t="shared" si="230"/>
        <v>575575</v>
      </c>
    </row>
    <row r="1188" spans="2:19" x14ac:dyDescent="0.2">
      <c r="B1188" s="79">
        <f t="shared" si="211"/>
        <v>441</v>
      </c>
      <c r="C1188" s="15"/>
      <c r="D1188" s="15"/>
      <c r="E1188" s="15"/>
      <c r="F1188" s="55" t="s">
        <v>126</v>
      </c>
      <c r="G1188" s="15">
        <v>610</v>
      </c>
      <c r="H1188" s="15" t="s">
        <v>136</v>
      </c>
      <c r="I1188" s="52">
        <v>90412</v>
      </c>
      <c r="J1188" s="52">
        <v>-22558</v>
      </c>
      <c r="K1188" s="52">
        <f t="shared" si="209"/>
        <v>67854</v>
      </c>
      <c r="L1188" s="126"/>
      <c r="M1188" s="52"/>
      <c r="N1188" s="52"/>
      <c r="O1188" s="52">
        <f t="shared" si="210"/>
        <v>0</v>
      </c>
      <c r="P1188" s="126"/>
      <c r="Q1188" s="52">
        <f t="shared" si="203"/>
        <v>90412</v>
      </c>
      <c r="R1188" s="52">
        <f t="shared" si="229"/>
        <v>-22558</v>
      </c>
      <c r="S1188" s="52">
        <f t="shared" si="230"/>
        <v>67854</v>
      </c>
    </row>
    <row r="1189" spans="2:19" x14ac:dyDescent="0.2">
      <c r="B1189" s="79">
        <f t="shared" si="211"/>
        <v>442</v>
      </c>
      <c r="C1189" s="15"/>
      <c r="D1189" s="15"/>
      <c r="E1189" s="15"/>
      <c r="F1189" s="55" t="s">
        <v>126</v>
      </c>
      <c r="G1189" s="15">
        <v>620</v>
      </c>
      <c r="H1189" s="15" t="s">
        <v>131</v>
      </c>
      <c r="I1189" s="52">
        <v>31593</v>
      </c>
      <c r="J1189" s="52">
        <v>-6745</v>
      </c>
      <c r="K1189" s="52">
        <f t="shared" si="209"/>
        <v>24848</v>
      </c>
      <c r="L1189" s="126"/>
      <c r="M1189" s="52"/>
      <c r="N1189" s="52"/>
      <c r="O1189" s="52">
        <f t="shared" si="210"/>
        <v>0</v>
      </c>
      <c r="P1189" s="126"/>
      <c r="Q1189" s="52">
        <f t="shared" si="203"/>
        <v>31593</v>
      </c>
      <c r="R1189" s="52">
        <f t="shared" si="229"/>
        <v>-6745</v>
      </c>
      <c r="S1189" s="52">
        <f t="shared" si="230"/>
        <v>24848</v>
      </c>
    </row>
    <row r="1190" spans="2:19" x14ac:dyDescent="0.2">
      <c r="B1190" s="79">
        <f t="shared" si="211"/>
        <v>443</v>
      </c>
      <c r="C1190" s="15"/>
      <c r="D1190" s="15"/>
      <c r="E1190" s="15"/>
      <c r="F1190" s="55" t="s">
        <v>126</v>
      </c>
      <c r="G1190" s="15">
        <v>630</v>
      </c>
      <c r="H1190" s="15" t="s">
        <v>128</v>
      </c>
      <c r="I1190" s="52">
        <f>I1195+I1194+I1193+I1192+I1191</f>
        <v>28402</v>
      </c>
      <c r="J1190" s="52">
        <f>J1195+J1194+J1193+J1192+J1191</f>
        <v>-1808</v>
      </c>
      <c r="K1190" s="52">
        <f t="shared" si="209"/>
        <v>26594</v>
      </c>
      <c r="L1190" s="126"/>
      <c r="M1190" s="52">
        <v>0</v>
      </c>
      <c r="N1190" s="52"/>
      <c r="O1190" s="52">
        <f t="shared" si="210"/>
        <v>0</v>
      </c>
      <c r="P1190" s="126"/>
      <c r="Q1190" s="52">
        <f t="shared" si="203"/>
        <v>28402</v>
      </c>
      <c r="R1190" s="52">
        <f t="shared" si="229"/>
        <v>-1808</v>
      </c>
      <c r="S1190" s="52">
        <f t="shared" si="230"/>
        <v>26594</v>
      </c>
    </row>
    <row r="1191" spans="2:19" x14ac:dyDescent="0.2">
      <c r="B1191" s="79">
        <f t="shared" si="211"/>
        <v>444</v>
      </c>
      <c r="C1191" s="4"/>
      <c r="D1191" s="4"/>
      <c r="E1191" s="4"/>
      <c r="F1191" s="56" t="s">
        <v>126</v>
      </c>
      <c r="G1191" s="4">
        <v>631</v>
      </c>
      <c r="H1191" s="4" t="s">
        <v>134</v>
      </c>
      <c r="I1191" s="26">
        <v>15</v>
      </c>
      <c r="J1191" s="26">
        <v>-15</v>
      </c>
      <c r="K1191" s="26">
        <f t="shared" si="209"/>
        <v>0</v>
      </c>
      <c r="L1191" s="80"/>
      <c r="M1191" s="26"/>
      <c r="N1191" s="26"/>
      <c r="O1191" s="26">
        <f t="shared" si="210"/>
        <v>0</v>
      </c>
      <c r="P1191" s="80"/>
      <c r="Q1191" s="26">
        <f t="shared" si="203"/>
        <v>15</v>
      </c>
      <c r="R1191" s="26">
        <f t="shared" si="229"/>
        <v>-15</v>
      </c>
      <c r="S1191" s="26">
        <f t="shared" si="230"/>
        <v>0</v>
      </c>
    </row>
    <row r="1192" spans="2:19" x14ac:dyDescent="0.2">
      <c r="B1192" s="79">
        <f t="shared" si="211"/>
        <v>445</v>
      </c>
      <c r="C1192" s="4"/>
      <c r="D1192" s="4"/>
      <c r="E1192" s="4"/>
      <c r="F1192" s="56" t="s">
        <v>126</v>
      </c>
      <c r="G1192" s="4">
        <v>632</v>
      </c>
      <c r="H1192" s="4" t="s">
        <v>139</v>
      </c>
      <c r="I1192" s="26">
        <f>19996+1000</f>
        <v>20996</v>
      </c>
      <c r="J1192" s="26">
        <v>-88</v>
      </c>
      <c r="K1192" s="26">
        <f t="shared" si="209"/>
        <v>20908</v>
      </c>
      <c r="L1192" s="80"/>
      <c r="M1192" s="26"/>
      <c r="N1192" s="26"/>
      <c r="O1192" s="26">
        <f t="shared" si="210"/>
        <v>0</v>
      </c>
      <c r="P1192" s="80"/>
      <c r="Q1192" s="26">
        <f t="shared" si="203"/>
        <v>20996</v>
      </c>
      <c r="R1192" s="26">
        <f t="shared" si="229"/>
        <v>-88</v>
      </c>
      <c r="S1192" s="26">
        <f t="shared" si="230"/>
        <v>20908</v>
      </c>
    </row>
    <row r="1193" spans="2:19" x14ac:dyDescent="0.2">
      <c r="B1193" s="79">
        <f t="shared" si="211"/>
        <v>446</v>
      </c>
      <c r="C1193" s="4"/>
      <c r="D1193" s="4"/>
      <c r="E1193" s="4"/>
      <c r="F1193" s="56" t="s">
        <v>126</v>
      </c>
      <c r="G1193" s="4">
        <v>633</v>
      </c>
      <c r="H1193" s="4" t="s">
        <v>132</v>
      </c>
      <c r="I1193" s="26">
        <v>2173</v>
      </c>
      <c r="J1193" s="26">
        <v>-839</v>
      </c>
      <c r="K1193" s="26">
        <f t="shared" si="209"/>
        <v>1334</v>
      </c>
      <c r="L1193" s="80"/>
      <c r="M1193" s="26"/>
      <c r="N1193" s="26"/>
      <c r="O1193" s="26">
        <f t="shared" si="210"/>
        <v>0</v>
      </c>
      <c r="P1193" s="80"/>
      <c r="Q1193" s="26">
        <f t="shared" si="203"/>
        <v>2173</v>
      </c>
      <c r="R1193" s="26">
        <f t="shared" si="229"/>
        <v>-839</v>
      </c>
      <c r="S1193" s="26">
        <f t="shared" si="230"/>
        <v>1334</v>
      </c>
    </row>
    <row r="1194" spans="2:19" x14ac:dyDescent="0.2">
      <c r="B1194" s="79">
        <f t="shared" si="211"/>
        <v>447</v>
      </c>
      <c r="C1194" s="4"/>
      <c r="D1194" s="4"/>
      <c r="E1194" s="4"/>
      <c r="F1194" s="56" t="s">
        <v>126</v>
      </c>
      <c r="G1194" s="4">
        <v>635</v>
      </c>
      <c r="H1194" s="4" t="s">
        <v>138</v>
      </c>
      <c r="I1194" s="26">
        <v>566</v>
      </c>
      <c r="J1194" s="26">
        <v>-566</v>
      </c>
      <c r="K1194" s="26">
        <f t="shared" si="209"/>
        <v>0</v>
      </c>
      <c r="L1194" s="80"/>
      <c r="M1194" s="26"/>
      <c r="N1194" s="26"/>
      <c r="O1194" s="26">
        <f t="shared" si="210"/>
        <v>0</v>
      </c>
      <c r="P1194" s="80"/>
      <c r="Q1194" s="26">
        <f t="shared" si="203"/>
        <v>566</v>
      </c>
      <c r="R1194" s="26">
        <f t="shared" si="229"/>
        <v>-566</v>
      </c>
      <c r="S1194" s="26">
        <f t="shared" si="230"/>
        <v>0</v>
      </c>
    </row>
    <row r="1195" spans="2:19" x14ac:dyDescent="0.2">
      <c r="B1195" s="79">
        <f t="shared" si="211"/>
        <v>448</v>
      </c>
      <c r="C1195" s="4"/>
      <c r="D1195" s="4"/>
      <c r="E1195" s="4"/>
      <c r="F1195" s="56" t="s">
        <v>126</v>
      </c>
      <c r="G1195" s="4">
        <v>637</v>
      </c>
      <c r="H1195" s="4" t="s">
        <v>129</v>
      </c>
      <c r="I1195" s="26">
        <v>4652</v>
      </c>
      <c r="J1195" s="26">
        <v>-300</v>
      </c>
      <c r="K1195" s="26">
        <f t="shared" si="209"/>
        <v>4352</v>
      </c>
      <c r="L1195" s="80"/>
      <c r="M1195" s="26"/>
      <c r="N1195" s="26"/>
      <c r="O1195" s="26">
        <f t="shared" si="210"/>
        <v>0</v>
      </c>
      <c r="P1195" s="80"/>
      <c r="Q1195" s="26">
        <f t="shared" si="203"/>
        <v>4652</v>
      </c>
      <c r="R1195" s="26">
        <f t="shared" si="229"/>
        <v>-300</v>
      </c>
      <c r="S1195" s="26">
        <f t="shared" si="230"/>
        <v>4352</v>
      </c>
    </row>
    <row r="1196" spans="2:19" x14ac:dyDescent="0.2">
      <c r="B1196" s="79">
        <f t="shared" si="211"/>
        <v>449</v>
      </c>
      <c r="C1196" s="15"/>
      <c r="D1196" s="15"/>
      <c r="E1196" s="15"/>
      <c r="F1196" s="55" t="s">
        <v>126</v>
      </c>
      <c r="G1196" s="15">
        <v>640</v>
      </c>
      <c r="H1196" s="15" t="s">
        <v>135</v>
      </c>
      <c r="I1196" s="52">
        <v>160</v>
      </c>
      <c r="J1196" s="52">
        <v>5090</v>
      </c>
      <c r="K1196" s="52">
        <f t="shared" si="209"/>
        <v>5250</v>
      </c>
      <c r="L1196" s="126"/>
      <c r="M1196" s="52"/>
      <c r="N1196" s="52"/>
      <c r="O1196" s="52">
        <f t="shared" si="210"/>
        <v>0</v>
      </c>
      <c r="P1196" s="126"/>
      <c r="Q1196" s="52">
        <f t="shared" si="203"/>
        <v>160</v>
      </c>
      <c r="R1196" s="52">
        <f t="shared" si="229"/>
        <v>5090</v>
      </c>
      <c r="S1196" s="52">
        <f t="shared" si="230"/>
        <v>5250</v>
      </c>
    </row>
    <row r="1197" spans="2:19" x14ac:dyDescent="0.2">
      <c r="B1197" s="79">
        <f t="shared" si="211"/>
        <v>450</v>
      </c>
      <c r="C1197" s="15"/>
      <c r="D1197" s="15"/>
      <c r="E1197" s="15"/>
      <c r="F1197" s="55" t="s">
        <v>126</v>
      </c>
      <c r="G1197" s="15">
        <v>710</v>
      </c>
      <c r="H1197" s="15" t="s">
        <v>184</v>
      </c>
      <c r="I1197" s="52">
        <f>I1198</f>
        <v>0</v>
      </c>
      <c r="J1197" s="52">
        <f>J1198</f>
        <v>0</v>
      </c>
      <c r="K1197" s="52">
        <f t="shared" si="209"/>
        <v>0</v>
      </c>
      <c r="L1197" s="126"/>
      <c r="M1197" s="52">
        <f>M1198</f>
        <v>47000</v>
      </c>
      <c r="N1197" s="52">
        <f>N1198</f>
        <v>0</v>
      </c>
      <c r="O1197" s="52">
        <f t="shared" si="210"/>
        <v>47000</v>
      </c>
      <c r="P1197" s="126"/>
      <c r="Q1197" s="52">
        <f t="shared" si="203"/>
        <v>47000</v>
      </c>
      <c r="R1197" s="52">
        <f t="shared" si="229"/>
        <v>0</v>
      </c>
      <c r="S1197" s="52">
        <f t="shared" si="230"/>
        <v>47000</v>
      </c>
    </row>
    <row r="1198" spans="2:19" x14ac:dyDescent="0.2">
      <c r="B1198" s="79">
        <f t="shared" si="211"/>
        <v>451</v>
      </c>
      <c r="C1198" s="15"/>
      <c r="D1198" s="15"/>
      <c r="E1198" s="15"/>
      <c r="F1198" s="89" t="s">
        <v>126</v>
      </c>
      <c r="G1198" s="90">
        <v>717</v>
      </c>
      <c r="H1198" s="90" t="s">
        <v>194</v>
      </c>
      <c r="I1198" s="91"/>
      <c r="J1198" s="91"/>
      <c r="K1198" s="91">
        <f t="shared" si="209"/>
        <v>0</v>
      </c>
      <c r="L1198" s="80"/>
      <c r="M1198" s="91">
        <f>SUM(M1199:M1200)</f>
        <v>47000</v>
      </c>
      <c r="N1198" s="91">
        <f>SUM(N1199:N1200)</f>
        <v>0</v>
      </c>
      <c r="O1198" s="91">
        <f t="shared" si="210"/>
        <v>47000</v>
      </c>
      <c r="P1198" s="80"/>
      <c r="Q1198" s="91">
        <f t="shared" si="203"/>
        <v>47000</v>
      </c>
      <c r="R1198" s="91">
        <f t="shared" si="229"/>
        <v>0</v>
      </c>
      <c r="S1198" s="91">
        <f t="shared" si="230"/>
        <v>47000</v>
      </c>
    </row>
    <row r="1199" spans="2:19" x14ac:dyDescent="0.2">
      <c r="B1199" s="79">
        <f t="shared" si="211"/>
        <v>452</v>
      </c>
      <c r="C1199" s="15"/>
      <c r="D1199" s="15"/>
      <c r="E1199" s="15"/>
      <c r="F1199" s="68"/>
      <c r="G1199" s="64"/>
      <c r="H1199" s="129" t="s">
        <v>545</v>
      </c>
      <c r="I1199" s="128"/>
      <c r="J1199" s="128"/>
      <c r="K1199" s="128">
        <f t="shared" si="209"/>
        <v>0</v>
      </c>
      <c r="L1199" s="80"/>
      <c r="M1199" s="128">
        <f>10000+47000-10000</f>
        <v>47000</v>
      </c>
      <c r="N1199" s="128"/>
      <c r="O1199" s="128">
        <f t="shared" si="210"/>
        <v>47000</v>
      </c>
      <c r="P1199" s="80"/>
      <c r="Q1199" s="128">
        <f t="shared" si="203"/>
        <v>47000</v>
      </c>
      <c r="R1199" s="128">
        <f t="shared" si="229"/>
        <v>0</v>
      </c>
      <c r="S1199" s="128">
        <f t="shared" si="230"/>
        <v>47000</v>
      </c>
    </row>
    <row r="1200" spans="2:19" x14ac:dyDescent="0.2">
      <c r="B1200" s="79">
        <f t="shared" si="211"/>
        <v>453</v>
      </c>
      <c r="C1200" s="15"/>
      <c r="D1200" s="15"/>
      <c r="E1200" s="15"/>
      <c r="F1200" s="55" t="s">
        <v>270</v>
      </c>
      <c r="G1200" s="15">
        <v>610</v>
      </c>
      <c r="H1200" s="15" t="s">
        <v>136</v>
      </c>
      <c r="I1200" s="52">
        <v>139144</v>
      </c>
      <c r="J1200" s="52">
        <v>22110</v>
      </c>
      <c r="K1200" s="52">
        <f t="shared" si="209"/>
        <v>161254</v>
      </c>
      <c r="L1200" s="126"/>
      <c r="M1200" s="52"/>
      <c r="N1200" s="52"/>
      <c r="O1200" s="52">
        <f t="shared" si="210"/>
        <v>0</v>
      </c>
      <c r="P1200" s="126"/>
      <c r="Q1200" s="52">
        <f t="shared" si="203"/>
        <v>139144</v>
      </c>
      <c r="R1200" s="52">
        <f t="shared" si="229"/>
        <v>22110</v>
      </c>
      <c r="S1200" s="52">
        <f t="shared" si="230"/>
        <v>161254</v>
      </c>
    </row>
    <row r="1201" spans="2:19" x14ac:dyDescent="0.2">
      <c r="B1201" s="79">
        <f t="shared" si="211"/>
        <v>454</v>
      </c>
      <c r="C1201" s="15"/>
      <c r="D1201" s="15"/>
      <c r="E1201" s="15"/>
      <c r="F1201" s="55" t="s">
        <v>270</v>
      </c>
      <c r="G1201" s="15">
        <v>620</v>
      </c>
      <c r="H1201" s="15" t="s">
        <v>131</v>
      </c>
      <c r="I1201" s="52">
        <v>48638</v>
      </c>
      <c r="J1201" s="52">
        <v>6588</v>
      </c>
      <c r="K1201" s="52">
        <f t="shared" si="209"/>
        <v>55226</v>
      </c>
      <c r="L1201" s="126"/>
      <c r="M1201" s="52"/>
      <c r="N1201" s="52"/>
      <c r="O1201" s="52">
        <f t="shared" si="210"/>
        <v>0</v>
      </c>
      <c r="P1201" s="126"/>
      <c r="Q1201" s="52">
        <f t="shared" si="203"/>
        <v>48638</v>
      </c>
      <c r="R1201" s="52">
        <f t="shared" si="229"/>
        <v>6588</v>
      </c>
      <c r="S1201" s="52">
        <f t="shared" si="230"/>
        <v>55226</v>
      </c>
    </row>
    <row r="1202" spans="2:19" x14ac:dyDescent="0.2">
      <c r="B1202" s="79">
        <f t="shared" si="211"/>
        <v>455</v>
      </c>
      <c r="C1202" s="15"/>
      <c r="D1202" s="15"/>
      <c r="E1202" s="15"/>
      <c r="F1202" s="55" t="s">
        <v>270</v>
      </c>
      <c r="G1202" s="15">
        <v>630</v>
      </c>
      <c r="H1202" s="15" t="s">
        <v>128</v>
      </c>
      <c r="I1202" s="52">
        <f>I1208+I1207+I1205+I1204+I1203+I1206</f>
        <v>67545</v>
      </c>
      <c r="J1202" s="52">
        <f>J1208+J1207+J1205+J1204+J1203+J1206</f>
        <v>-710</v>
      </c>
      <c r="K1202" s="52">
        <f t="shared" si="209"/>
        <v>66835</v>
      </c>
      <c r="L1202" s="126"/>
      <c r="M1202" s="52">
        <f>M1208+M1207+M1205+M1204+M1203</f>
        <v>0</v>
      </c>
      <c r="N1202" s="52">
        <f>N1208+N1207+N1205+N1204+N1203</f>
        <v>0</v>
      </c>
      <c r="O1202" s="52">
        <f t="shared" si="210"/>
        <v>0</v>
      </c>
      <c r="P1202" s="126"/>
      <c r="Q1202" s="52">
        <f t="shared" si="203"/>
        <v>67545</v>
      </c>
      <c r="R1202" s="52">
        <f t="shared" si="229"/>
        <v>-710</v>
      </c>
      <c r="S1202" s="52">
        <f t="shared" si="230"/>
        <v>66835</v>
      </c>
    </row>
    <row r="1203" spans="2:19" x14ac:dyDescent="0.2">
      <c r="B1203" s="79">
        <f t="shared" si="211"/>
        <v>456</v>
      </c>
      <c r="C1203" s="4"/>
      <c r="D1203" s="4"/>
      <c r="E1203" s="4"/>
      <c r="F1203" s="56" t="s">
        <v>270</v>
      </c>
      <c r="G1203" s="4">
        <v>631</v>
      </c>
      <c r="H1203" s="4" t="s">
        <v>134</v>
      </c>
      <c r="I1203" s="26">
        <v>15</v>
      </c>
      <c r="J1203" s="26">
        <v>-15</v>
      </c>
      <c r="K1203" s="26">
        <f t="shared" si="209"/>
        <v>0</v>
      </c>
      <c r="L1203" s="80"/>
      <c r="M1203" s="26"/>
      <c r="N1203" s="26"/>
      <c r="O1203" s="26">
        <f t="shared" si="210"/>
        <v>0</v>
      </c>
      <c r="P1203" s="80"/>
      <c r="Q1203" s="26">
        <f t="shared" si="203"/>
        <v>15</v>
      </c>
      <c r="R1203" s="26">
        <f t="shared" si="229"/>
        <v>-15</v>
      </c>
      <c r="S1203" s="26">
        <f t="shared" si="230"/>
        <v>0</v>
      </c>
    </row>
    <row r="1204" spans="2:19" x14ac:dyDescent="0.2">
      <c r="B1204" s="79">
        <f t="shared" si="211"/>
        <v>457</v>
      </c>
      <c r="C1204" s="4"/>
      <c r="D1204" s="4"/>
      <c r="E1204" s="4"/>
      <c r="F1204" s="56" t="s">
        <v>270</v>
      </c>
      <c r="G1204" s="4">
        <v>632</v>
      </c>
      <c r="H1204" s="4" t="s">
        <v>139</v>
      </c>
      <c r="I1204" s="26">
        <f>24642+1000+2000</f>
        <v>27642</v>
      </c>
      <c r="J1204" s="26">
        <v>5324</v>
      </c>
      <c r="K1204" s="26">
        <f t="shared" si="209"/>
        <v>32966</v>
      </c>
      <c r="L1204" s="80"/>
      <c r="M1204" s="26"/>
      <c r="N1204" s="26"/>
      <c r="O1204" s="26">
        <f t="shared" si="210"/>
        <v>0</v>
      </c>
      <c r="P1204" s="80"/>
      <c r="Q1204" s="26">
        <f t="shared" si="203"/>
        <v>27642</v>
      </c>
      <c r="R1204" s="26">
        <f t="shared" si="229"/>
        <v>5324</v>
      </c>
      <c r="S1204" s="26">
        <f t="shared" si="230"/>
        <v>32966</v>
      </c>
    </row>
    <row r="1205" spans="2:19" x14ac:dyDescent="0.2">
      <c r="B1205" s="79">
        <f t="shared" si="211"/>
        <v>458</v>
      </c>
      <c r="C1205" s="4"/>
      <c r="D1205" s="4"/>
      <c r="E1205" s="4"/>
      <c r="F1205" s="56" t="s">
        <v>270</v>
      </c>
      <c r="G1205" s="4">
        <v>633</v>
      </c>
      <c r="H1205" s="4" t="s">
        <v>132</v>
      </c>
      <c r="I1205" s="26">
        <f>5336+326</f>
        <v>5662</v>
      </c>
      <c r="J1205" s="26">
        <v>1997</v>
      </c>
      <c r="K1205" s="26">
        <f t="shared" si="209"/>
        <v>7659</v>
      </c>
      <c r="L1205" s="80"/>
      <c r="M1205" s="26"/>
      <c r="N1205" s="26"/>
      <c r="O1205" s="26">
        <f t="shared" si="210"/>
        <v>0</v>
      </c>
      <c r="P1205" s="80"/>
      <c r="Q1205" s="26">
        <f t="shared" si="203"/>
        <v>5662</v>
      </c>
      <c r="R1205" s="26">
        <f t="shared" si="229"/>
        <v>1997</v>
      </c>
      <c r="S1205" s="26">
        <f t="shared" si="230"/>
        <v>7659</v>
      </c>
    </row>
    <row r="1206" spans="2:19" x14ac:dyDescent="0.2">
      <c r="B1206" s="79">
        <f t="shared" si="211"/>
        <v>459</v>
      </c>
      <c r="C1206" s="4"/>
      <c r="D1206" s="4"/>
      <c r="E1206" s="4"/>
      <c r="F1206" s="56" t="s">
        <v>270</v>
      </c>
      <c r="G1206" s="4">
        <v>634</v>
      </c>
      <c r="H1206" s="4" t="s">
        <v>137</v>
      </c>
      <c r="I1206" s="26">
        <v>840</v>
      </c>
      <c r="J1206" s="26"/>
      <c r="K1206" s="26">
        <f t="shared" si="209"/>
        <v>840</v>
      </c>
      <c r="L1206" s="80"/>
      <c r="M1206" s="26"/>
      <c r="N1206" s="26"/>
      <c r="O1206" s="26">
        <f t="shared" si="210"/>
        <v>0</v>
      </c>
      <c r="P1206" s="80"/>
      <c r="Q1206" s="26">
        <f t="shared" si="203"/>
        <v>840</v>
      </c>
      <c r="R1206" s="26">
        <f t="shared" si="229"/>
        <v>0</v>
      </c>
      <c r="S1206" s="26">
        <f t="shared" si="230"/>
        <v>840</v>
      </c>
    </row>
    <row r="1207" spans="2:19" x14ac:dyDescent="0.2">
      <c r="B1207" s="79">
        <f t="shared" si="211"/>
        <v>460</v>
      </c>
      <c r="C1207" s="4"/>
      <c r="D1207" s="4"/>
      <c r="E1207" s="4"/>
      <c r="F1207" s="56" t="s">
        <v>270</v>
      </c>
      <c r="G1207" s="4">
        <v>635</v>
      </c>
      <c r="H1207" s="4" t="s">
        <v>138</v>
      </c>
      <c r="I1207" s="26">
        <v>23766</v>
      </c>
      <c r="J1207" s="26">
        <v>-10216</v>
      </c>
      <c r="K1207" s="26">
        <f t="shared" ref="K1207:K1272" si="231">I1207+J1207</f>
        <v>13550</v>
      </c>
      <c r="L1207" s="80"/>
      <c r="M1207" s="26"/>
      <c r="N1207" s="26"/>
      <c r="O1207" s="26">
        <f t="shared" ref="O1207:O1272" si="232">M1207+N1207</f>
        <v>0</v>
      </c>
      <c r="P1207" s="80"/>
      <c r="Q1207" s="26">
        <f t="shared" si="203"/>
        <v>23766</v>
      </c>
      <c r="R1207" s="26">
        <f t="shared" si="229"/>
        <v>-10216</v>
      </c>
      <c r="S1207" s="26">
        <f t="shared" si="230"/>
        <v>13550</v>
      </c>
    </row>
    <row r="1208" spans="2:19" x14ac:dyDescent="0.2">
      <c r="B1208" s="79">
        <f t="shared" ref="B1208:B1273" si="233">B1207+1</f>
        <v>461</v>
      </c>
      <c r="C1208" s="4"/>
      <c r="D1208" s="4"/>
      <c r="E1208" s="4"/>
      <c r="F1208" s="56" t="s">
        <v>270</v>
      </c>
      <c r="G1208" s="4">
        <v>637</v>
      </c>
      <c r="H1208" s="4" t="s">
        <v>129</v>
      </c>
      <c r="I1208" s="26">
        <f>6160+550+2910</f>
        <v>9620</v>
      </c>
      <c r="J1208" s="26">
        <v>2200</v>
      </c>
      <c r="K1208" s="26">
        <f t="shared" si="231"/>
        <v>11820</v>
      </c>
      <c r="L1208" s="80"/>
      <c r="M1208" s="26"/>
      <c r="N1208" s="26"/>
      <c r="O1208" s="26">
        <f t="shared" si="232"/>
        <v>0</v>
      </c>
      <c r="P1208" s="80"/>
      <c r="Q1208" s="26">
        <f t="shared" si="203"/>
        <v>9620</v>
      </c>
      <c r="R1208" s="26">
        <f t="shared" si="229"/>
        <v>2200</v>
      </c>
      <c r="S1208" s="26">
        <f t="shared" si="230"/>
        <v>11820</v>
      </c>
    </row>
    <row r="1209" spans="2:19" x14ac:dyDescent="0.2">
      <c r="B1209" s="79">
        <f t="shared" si="233"/>
        <v>462</v>
      </c>
      <c r="C1209" s="15"/>
      <c r="D1209" s="15"/>
      <c r="E1209" s="15"/>
      <c r="F1209" s="55" t="s">
        <v>270</v>
      </c>
      <c r="G1209" s="15">
        <v>640</v>
      </c>
      <c r="H1209" s="15" t="s">
        <v>135</v>
      </c>
      <c r="I1209" s="52">
        <v>240</v>
      </c>
      <c r="J1209" s="52">
        <v>-160</v>
      </c>
      <c r="K1209" s="52">
        <f t="shared" si="231"/>
        <v>80</v>
      </c>
      <c r="L1209" s="126"/>
      <c r="M1209" s="52"/>
      <c r="N1209" s="52"/>
      <c r="O1209" s="52">
        <f t="shared" si="232"/>
        <v>0</v>
      </c>
      <c r="P1209" s="126"/>
      <c r="Q1209" s="52">
        <f t="shared" si="203"/>
        <v>240</v>
      </c>
      <c r="R1209" s="52">
        <f t="shared" si="229"/>
        <v>-160</v>
      </c>
      <c r="S1209" s="52">
        <f t="shared" si="230"/>
        <v>80</v>
      </c>
    </row>
    <row r="1210" spans="2:19" x14ac:dyDescent="0.2">
      <c r="B1210" s="79">
        <f t="shared" si="233"/>
        <v>463</v>
      </c>
      <c r="C1210" s="15"/>
      <c r="D1210" s="15"/>
      <c r="E1210" s="15"/>
      <c r="F1210" s="55" t="s">
        <v>76</v>
      </c>
      <c r="G1210" s="15">
        <v>630</v>
      </c>
      <c r="H1210" s="15" t="s">
        <v>666</v>
      </c>
      <c r="I1210" s="52">
        <v>166</v>
      </c>
      <c r="J1210" s="52">
        <v>380</v>
      </c>
      <c r="K1210" s="52">
        <f t="shared" si="231"/>
        <v>546</v>
      </c>
      <c r="L1210" s="126"/>
      <c r="M1210" s="52"/>
      <c r="N1210" s="52"/>
      <c r="O1210" s="52">
        <f t="shared" si="232"/>
        <v>0</v>
      </c>
      <c r="P1210" s="126"/>
      <c r="Q1210" s="52">
        <f t="shared" si="203"/>
        <v>166</v>
      </c>
      <c r="R1210" s="52">
        <f t="shared" si="229"/>
        <v>380</v>
      </c>
      <c r="S1210" s="52">
        <f t="shared" si="230"/>
        <v>546</v>
      </c>
    </row>
    <row r="1211" spans="2:19" x14ac:dyDescent="0.2">
      <c r="B1211" s="79">
        <f t="shared" si="233"/>
        <v>464</v>
      </c>
      <c r="C1211" s="15"/>
      <c r="D1211" s="15"/>
      <c r="E1211" s="15"/>
      <c r="F1211" s="55"/>
      <c r="G1211" s="15"/>
      <c r="H1211" s="15"/>
      <c r="I1211" s="52"/>
      <c r="J1211" s="52"/>
      <c r="K1211" s="52">
        <f t="shared" si="231"/>
        <v>0</v>
      </c>
      <c r="L1211" s="126"/>
      <c r="M1211" s="52"/>
      <c r="N1211" s="52"/>
      <c r="O1211" s="52">
        <f t="shared" si="232"/>
        <v>0</v>
      </c>
      <c r="P1211" s="126"/>
      <c r="Q1211" s="52"/>
      <c r="R1211" s="52"/>
      <c r="S1211" s="52"/>
    </row>
    <row r="1212" spans="2:19" x14ac:dyDescent="0.2">
      <c r="B1212" s="79">
        <f t="shared" si="233"/>
        <v>465</v>
      </c>
      <c r="C1212" s="15"/>
      <c r="D1212" s="15"/>
      <c r="E1212" s="15"/>
      <c r="F1212" s="55"/>
      <c r="G1212" s="15">
        <v>630</v>
      </c>
      <c r="H1212" s="15" t="s">
        <v>612</v>
      </c>
      <c r="I1212" s="52">
        <v>88</v>
      </c>
      <c r="J1212" s="52"/>
      <c r="K1212" s="52">
        <f t="shared" si="231"/>
        <v>88</v>
      </c>
      <c r="L1212" s="126"/>
      <c r="M1212" s="52"/>
      <c r="N1212" s="52"/>
      <c r="O1212" s="52">
        <f t="shared" si="232"/>
        <v>0</v>
      </c>
      <c r="P1212" s="126"/>
      <c r="Q1212" s="52">
        <f t="shared" ref="Q1212" si="234">M1212+I1212</f>
        <v>88</v>
      </c>
      <c r="R1212" s="52">
        <f t="shared" ref="R1212" si="235">N1212+J1212</f>
        <v>0</v>
      </c>
      <c r="S1212" s="52">
        <f t="shared" ref="S1212" si="236">O1212+K1212</f>
        <v>88</v>
      </c>
    </row>
    <row r="1213" spans="2:19" x14ac:dyDescent="0.2">
      <c r="B1213" s="79">
        <f t="shared" si="233"/>
        <v>466</v>
      </c>
      <c r="C1213" s="15"/>
      <c r="D1213" s="15"/>
      <c r="E1213" s="15"/>
      <c r="F1213" s="55"/>
      <c r="G1213" s="172"/>
      <c r="H1213" s="173"/>
      <c r="I1213" s="52"/>
      <c r="J1213" s="52"/>
      <c r="K1213" s="52">
        <f t="shared" si="231"/>
        <v>0</v>
      </c>
      <c r="L1213" s="126"/>
      <c r="M1213" s="52"/>
      <c r="N1213" s="52"/>
      <c r="O1213" s="52">
        <f t="shared" si="232"/>
        <v>0</v>
      </c>
      <c r="P1213" s="126"/>
      <c r="Q1213" s="52"/>
      <c r="R1213" s="52"/>
      <c r="S1213" s="52"/>
    </row>
    <row r="1214" spans="2:19" x14ac:dyDescent="0.2">
      <c r="B1214" s="79">
        <f t="shared" si="233"/>
        <v>467</v>
      </c>
      <c r="C1214" s="15"/>
      <c r="D1214" s="15"/>
      <c r="E1214" s="15"/>
      <c r="F1214" s="89" t="s">
        <v>270</v>
      </c>
      <c r="G1214" s="90">
        <v>716</v>
      </c>
      <c r="H1214" s="90" t="s">
        <v>0</v>
      </c>
      <c r="I1214" s="91"/>
      <c r="J1214" s="91"/>
      <c r="K1214" s="91">
        <f t="shared" si="231"/>
        <v>0</v>
      </c>
      <c r="L1214" s="80"/>
      <c r="M1214" s="91">
        <f>M1215+M1216</f>
        <v>3098</v>
      </c>
      <c r="N1214" s="91">
        <f>N1215+N1216</f>
        <v>0</v>
      </c>
      <c r="O1214" s="91">
        <f t="shared" si="232"/>
        <v>3098</v>
      </c>
      <c r="P1214" s="80"/>
      <c r="Q1214" s="91">
        <f t="shared" ref="Q1214:Q1215" si="237">I1214+M1214</f>
        <v>3098</v>
      </c>
      <c r="R1214" s="91">
        <f t="shared" ref="R1214:R1215" si="238">J1214+N1214</f>
        <v>0</v>
      </c>
      <c r="S1214" s="91">
        <f t="shared" ref="S1214:S1215" si="239">K1214+O1214</f>
        <v>3098</v>
      </c>
    </row>
    <row r="1215" spans="2:19" x14ac:dyDescent="0.2">
      <c r="B1215" s="79">
        <f t="shared" si="233"/>
        <v>468</v>
      </c>
      <c r="C1215" s="15"/>
      <c r="D1215" s="15"/>
      <c r="E1215" s="15"/>
      <c r="F1215" s="56"/>
      <c r="G1215" s="4"/>
      <c r="H1215" s="129" t="s">
        <v>678</v>
      </c>
      <c r="I1215" s="128"/>
      <c r="J1215" s="128"/>
      <c r="K1215" s="128">
        <f t="shared" si="231"/>
        <v>0</v>
      </c>
      <c r="L1215" s="80"/>
      <c r="M1215" s="128">
        <v>2500</v>
      </c>
      <c r="N1215" s="128"/>
      <c r="O1215" s="128">
        <f t="shared" si="232"/>
        <v>2500</v>
      </c>
      <c r="P1215" s="80"/>
      <c r="Q1215" s="128">
        <f t="shared" si="237"/>
        <v>2500</v>
      </c>
      <c r="R1215" s="128">
        <f t="shared" si="238"/>
        <v>0</v>
      </c>
      <c r="S1215" s="128">
        <f t="shared" si="239"/>
        <v>2500</v>
      </c>
    </row>
    <row r="1216" spans="2:19" x14ac:dyDescent="0.2">
      <c r="B1216" s="79">
        <f t="shared" si="233"/>
        <v>469</v>
      </c>
      <c r="C1216" s="15"/>
      <c r="D1216" s="15"/>
      <c r="E1216" s="15"/>
      <c r="F1216" s="56"/>
      <c r="G1216" s="4"/>
      <c r="H1216" s="111" t="s">
        <v>743</v>
      </c>
      <c r="I1216" s="80"/>
      <c r="J1216" s="80"/>
      <c r="K1216" s="80">
        <f t="shared" si="231"/>
        <v>0</v>
      </c>
      <c r="L1216" s="80"/>
      <c r="M1216" s="80">
        <v>598</v>
      </c>
      <c r="N1216" s="80"/>
      <c r="O1216" s="80">
        <f t="shared" si="232"/>
        <v>598</v>
      </c>
      <c r="P1216" s="80"/>
      <c r="Q1216" s="80">
        <f>M1216</f>
        <v>598</v>
      </c>
      <c r="R1216" s="80">
        <f t="shared" ref="R1216:S1216" si="240">N1216</f>
        <v>0</v>
      </c>
      <c r="S1216" s="80">
        <f t="shared" si="240"/>
        <v>598</v>
      </c>
    </row>
    <row r="1217" spans="2:19" x14ac:dyDescent="0.2">
      <c r="B1217" s="79">
        <f t="shared" si="233"/>
        <v>470</v>
      </c>
      <c r="C1217" s="15"/>
      <c r="D1217" s="15"/>
      <c r="E1217" s="15"/>
      <c r="F1217" s="89" t="s">
        <v>270</v>
      </c>
      <c r="G1217" s="90">
        <v>717</v>
      </c>
      <c r="H1217" s="90" t="s">
        <v>194</v>
      </c>
      <c r="I1217" s="91"/>
      <c r="J1217" s="91"/>
      <c r="K1217" s="91">
        <f t="shared" si="231"/>
        <v>0</v>
      </c>
      <c r="L1217" s="80"/>
      <c r="M1217" s="91">
        <f>SUM(M1218:M1219)</f>
        <v>116902</v>
      </c>
      <c r="N1217" s="91">
        <f>SUM(N1218:N1219)</f>
        <v>0</v>
      </c>
      <c r="O1217" s="91">
        <f t="shared" si="232"/>
        <v>116902</v>
      </c>
      <c r="P1217" s="80"/>
      <c r="Q1217" s="91">
        <f t="shared" ref="Q1217:Q1218" si="241">M1217+I1217</f>
        <v>116902</v>
      </c>
      <c r="R1217" s="91">
        <f t="shared" ref="R1217:R1218" si="242">N1217+J1217</f>
        <v>0</v>
      </c>
      <c r="S1217" s="91">
        <f t="shared" ref="S1217:S1218" si="243">O1217+K1217</f>
        <v>116902</v>
      </c>
    </row>
    <row r="1218" spans="2:19" x14ac:dyDescent="0.2">
      <c r="B1218" s="79">
        <f t="shared" si="233"/>
        <v>471</v>
      </c>
      <c r="C1218" s="15"/>
      <c r="D1218" s="15"/>
      <c r="E1218" s="15"/>
      <c r="F1218" s="56"/>
      <c r="G1218" s="4"/>
      <c r="H1218" s="4" t="s">
        <v>671</v>
      </c>
      <c r="I1218" s="26"/>
      <c r="J1218" s="26"/>
      <c r="K1218" s="26">
        <f t="shared" si="231"/>
        <v>0</v>
      </c>
      <c r="L1218" s="80"/>
      <c r="M1218" s="26">
        <f>60000-598</f>
        <v>59402</v>
      </c>
      <c r="N1218" s="26"/>
      <c r="O1218" s="26">
        <f t="shared" si="232"/>
        <v>59402</v>
      </c>
      <c r="P1218" s="80"/>
      <c r="Q1218" s="26">
        <f t="shared" si="241"/>
        <v>59402</v>
      </c>
      <c r="R1218" s="26">
        <f t="shared" si="242"/>
        <v>0</v>
      </c>
      <c r="S1218" s="26">
        <f t="shared" si="243"/>
        <v>59402</v>
      </c>
    </row>
    <row r="1219" spans="2:19" x14ac:dyDescent="0.2">
      <c r="B1219" s="79">
        <f t="shared" si="233"/>
        <v>472</v>
      </c>
      <c r="C1219" s="15"/>
      <c r="D1219" s="61"/>
      <c r="E1219" s="172"/>
      <c r="F1219" s="175"/>
      <c r="G1219" s="176"/>
      <c r="H1219" s="129" t="s">
        <v>679</v>
      </c>
      <c r="I1219" s="128"/>
      <c r="J1219" s="128"/>
      <c r="K1219" s="128">
        <f t="shared" si="231"/>
        <v>0</v>
      </c>
      <c r="L1219" s="80"/>
      <c r="M1219" s="128">
        <v>57500</v>
      </c>
      <c r="N1219" s="128"/>
      <c r="O1219" s="128">
        <f t="shared" si="232"/>
        <v>57500</v>
      </c>
      <c r="P1219" s="80"/>
      <c r="Q1219" s="128">
        <f t="shared" ref="Q1219" si="244">I1219+M1219</f>
        <v>57500</v>
      </c>
      <c r="R1219" s="128">
        <f t="shared" ref="R1219" si="245">J1219+N1219</f>
        <v>0</v>
      </c>
      <c r="S1219" s="128">
        <f t="shared" ref="S1219" si="246">K1219+O1219</f>
        <v>57500</v>
      </c>
    </row>
    <row r="1220" spans="2:19" ht="15" x14ac:dyDescent="0.2">
      <c r="B1220" s="79">
        <f t="shared" si="233"/>
        <v>473</v>
      </c>
      <c r="C1220" s="191">
        <v>3</v>
      </c>
      <c r="D1220" s="245" t="s">
        <v>165</v>
      </c>
      <c r="E1220" s="246"/>
      <c r="F1220" s="246"/>
      <c r="G1220" s="246"/>
      <c r="H1220" s="247"/>
      <c r="I1220" s="48">
        <f>I1221+I1229+I1240+I1247+I1255+I1263+I1272+I1280+I1288+I1304+I1312+I1296</f>
        <v>2020203</v>
      </c>
      <c r="J1220" s="48">
        <f>J1221+J1229+J1240+J1247+J1255+J1263+J1272+J1280+J1288+J1304+J1312+J1296</f>
        <v>20238</v>
      </c>
      <c r="K1220" s="48">
        <f t="shared" si="231"/>
        <v>2040441</v>
      </c>
      <c r="L1220" s="201"/>
      <c r="M1220" s="48">
        <f>M1221+M1229+M1240+M1247+M1255+M1263+M1272+M1280+M1288+M1304+M1312+M1296</f>
        <v>4000</v>
      </c>
      <c r="N1220" s="48">
        <f>N1221+N1229+N1240+N1247+N1255+N1263+N1272+N1280+N1288+N1304+N1312+N1296</f>
        <v>0</v>
      </c>
      <c r="O1220" s="48">
        <f t="shared" si="232"/>
        <v>4000</v>
      </c>
      <c r="P1220" s="201"/>
      <c r="Q1220" s="48">
        <f t="shared" ref="Q1220:Q1297" si="247">M1220+I1220</f>
        <v>2024203</v>
      </c>
      <c r="R1220" s="48">
        <f t="shared" ref="R1220:R1297" si="248">N1220+J1220</f>
        <v>20238</v>
      </c>
      <c r="S1220" s="48">
        <f t="shared" ref="S1220:S1297" si="249">O1220+K1220</f>
        <v>2044441</v>
      </c>
    </row>
    <row r="1221" spans="2:19" x14ac:dyDescent="0.2">
      <c r="B1221" s="79">
        <f t="shared" si="233"/>
        <v>474</v>
      </c>
      <c r="C1221" s="15"/>
      <c r="D1221" s="15"/>
      <c r="E1221" s="15"/>
      <c r="F1221" s="55" t="s">
        <v>164</v>
      </c>
      <c r="G1221" s="15">
        <v>640</v>
      </c>
      <c r="H1221" s="15" t="s">
        <v>135</v>
      </c>
      <c r="I1221" s="52">
        <f>SUM(I1222:I1228)</f>
        <v>396065</v>
      </c>
      <c r="J1221" s="52">
        <f>SUM(J1222:J1228)</f>
        <v>0</v>
      </c>
      <c r="K1221" s="52">
        <f t="shared" si="231"/>
        <v>396065</v>
      </c>
      <c r="L1221" s="126"/>
      <c r="M1221" s="52"/>
      <c r="N1221" s="52"/>
      <c r="O1221" s="52">
        <f t="shared" si="232"/>
        <v>0</v>
      </c>
      <c r="P1221" s="126"/>
      <c r="Q1221" s="52">
        <f t="shared" si="247"/>
        <v>396065</v>
      </c>
      <c r="R1221" s="52">
        <f t="shared" si="248"/>
        <v>0</v>
      </c>
      <c r="S1221" s="52">
        <f t="shared" si="249"/>
        <v>396065</v>
      </c>
    </row>
    <row r="1222" spans="2:19" x14ac:dyDescent="0.2">
      <c r="B1222" s="79">
        <f t="shared" si="233"/>
        <v>475</v>
      </c>
      <c r="C1222" s="15"/>
      <c r="D1222" s="15"/>
      <c r="E1222" s="15"/>
      <c r="F1222" s="55"/>
      <c r="G1222" s="15"/>
      <c r="H1222" s="64" t="s">
        <v>378</v>
      </c>
      <c r="I1222" s="62">
        <v>11056</v>
      </c>
      <c r="J1222" s="62"/>
      <c r="K1222" s="62">
        <f t="shared" si="231"/>
        <v>11056</v>
      </c>
      <c r="L1222" s="80"/>
      <c r="M1222" s="62"/>
      <c r="N1222" s="62"/>
      <c r="O1222" s="62">
        <f t="shared" si="232"/>
        <v>0</v>
      </c>
      <c r="P1222" s="80"/>
      <c r="Q1222" s="62">
        <f t="shared" si="247"/>
        <v>11056</v>
      </c>
      <c r="R1222" s="62">
        <f t="shared" si="248"/>
        <v>0</v>
      </c>
      <c r="S1222" s="62">
        <f t="shared" si="249"/>
        <v>11056</v>
      </c>
    </row>
    <row r="1223" spans="2:19" x14ac:dyDescent="0.2">
      <c r="B1223" s="79">
        <f t="shared" si="233"/>
        <v>476</v>
      </c>
      <c r="C1223" s="15"/>
      <c r="D1223" s="15"/>
      <c r="E1223" s="15"/>
      <c r="F1223" s="55"/>
      <c r="G1223" s="15"/>
      <c r="H1223" s="64" t="s">
        <v>168</v>
      </c>
      <c r="I1223" s="62">
        <v>9852</v>
      </c>
      <c r="J1223" s="62"/>
      <c r="K1223" s="62">
        <f t="shared" si="231"/>
        <v>9852</v>
      </c>
      <c r="L1223" s="80"/>
      <c r="M1223" s="62"/>
      <c r="N1223" s="62"/>
      <c r="O1223" s="62">
        <f t="shared" si="232"/>
        <v>0</v>
      </c>
      <c r="P1223" s="80"/>
      <c r="Q1223" s="62">
        <f t="shared" si="247"/>
        <v>9852</v>
      </c>
      <c r="R1223" s="62">
        <f t="shared" si="248"/>
        <v>0</v>
      </c>
      <c r="S1223" s="62">
        <f t="shared" si="249"/>
        <v>9852</v>
      </c>
    </row>
    <row r="1224" spans="2:19" x14ac:dyDescent="0.2">
      <c r="B1224" s="79">
        <f t="shared" si="233"/>
        <v>477</v>
      </c>
      <c r="C1224" s="15"/>
      <c r="D1224" s="15"/>
      <c r="E1224" s="15"/>
      <c r="F1224" s="55"/>
      <c r="G1224" s="15"/>
      <c r="H1224" s="64" t="s">
        <v>379</v>
      </c>
      <c r="I1224" s="62">
        <v>16092</v>
      </c>
      <c r="J1224" s="62"/>
      <c r="K1224" s="62">
        <f t="shared" si="231"/>
        <v>16092</v>
      </c>
      <c r="L1224" s="80"/>
      <c r="M1224" s="62"/>
      <c r="N1224" s="62"/>
      <c r="O1224" s="62">
        <f t="shared" si="232"/>
        <v>0</v>
      </c>
      <c r="P1224" s="80"/>
      <c r="Q1224" s="62">
        <f t="shared" si="247"/>
        <v>16092</v>
      </c>
      <c r="R1224" s="62">
        <f t="shared" si="248"/>
        <v>0</v>
      </c>
      <c r="S1224" s="62">
        <f t="shared" si="249"/>
        <v>16092</v>
      </c>
    </row>
    <row r="1225" spans="2:19" x14ac:dyDescent="0.2">
      <c r="B1225" s="79">
        <f t="shared" si="233"/>
        <v>478</v>
      </c>
      <c r="C1225" s="15"/>
      <c r="D1225" s="15"/>
      <c r="E1225" s="15"/>
      <c r="F1225" s="55"/>
      <c r="G1225" s="15"/>
      <c r="H1225" s="64" t="s">
        <v>380</v>
      </c>
      <c r="I1225" s="62">
        <v>11990</v>
      </c>
      <c r="J1225" s="62"/>
      <c r="K1225" s="62">
        <f t="shared" si="231"/>
        <v>11990</v>
      </c>
      <c r="L1225" s="80"/>
      <c r="M1225" s="62"/>
      <c r="N1225" s="62"/>
      <c r="O1225" s="62">
        <f t="shared" si="232"/>
        <v>0</v>
      </c>
      <c r="P1225" s="80"/>
      <c r="Q1225" s="62">
        <f t="shared" si="247"/>
        <v>11990</v>
      </c>
      <c r="R1225" s="62">
        <f t="shared" si="248"/>
        <v>0</v>
      </c>
      <c r="S1225" s="62">
        <f t="shared" si="249"/>
        <v>11990</v>
      </c>
    </row>
    <row r="1226" spans="2:19" x14ac:dyDescent="0.2">
      <c r="B1226" s="79">
        <f t="shared" si="233"/>
        <v>479</v>
      </c>
      <c r="C1226" s="15"/>
      <c r="D1226" s="15"/>
      <c r="E1226" s="15"/>
      <c r="F1226" s="55"/>
      <c r="G1226" s="15"/>
      <c r="H1226" s="64" t="s">
        <v>381</v>
      </c>
      <c r="I1226" s="62">
        <v>150500</v>
      </c>
      <c r="J1226" s="62"/>
      <c r="K1226" s="62">
        <f t="shared" si="231"/>
        <v>150500</v>
      </c>
      <c r="L1226" s="80"/>
      <c r="M1226" s="62"/>
      <c r="N1226" s="62"/>
      <c r="O1226" s="62">
        <f t="shared" si="232"/>
        <v>0</v>
      </c>
      <c r="P1226" s="80"/>
      <c r="Q1226" s="62">
        <f t="shared" si="247"/>
        <v>150500</v>
      </c>
      <c r="R1226" s="62">
        <f t="shared" si="248"/>
        <v>0</v>
      </c>
      <c r="S1226" s="62">
        <f t="shared" si="249"/>
        <v>150500</v>
      </c>
    </row>
    <row r="1227" spans="2:19" x14ac:dyDescent="0.2">
      <c r="B1227" s="79">
        <f t="shared" si="233"/>
        <v>480</v>
      </c>
      <c r="C1227" s="15"/>
      <c r="D1227" s="15"/>
      <c r="E1227" s="15"/>
      <c r="F1227" s="55"/>
      <c r="G1227" s="15"/>
      <c r="H1227" s="64" t="s">
        <v>414</v>
      </c>
      <c r="I1227" s="62">
        <v>193291</v>
      </c>
      <c r="J1227" s="62"/>
      <c r="K1227" s="62">
        <f t="shared" si="231"/>
        <v>193291</v>
      </c>
      <c r="L1227" s="80"/>
      <c r="M1227" s="62"/>
      <c r="N1227" s="62"/>
      <c r="O1227" s="62">
        <f t="shared" si="232"/>
        <v>0</v>
      </c>
      <c r="P1227" s="80"/>
      <c r="Q1227" s="62">
        <f t="shared" si="247"/>
        <v>193291</v>
      </c>
      <c r="R1227" s="62">
        <f t="shared" si="248"/>
        <v>0</v>
      </c>
      <c r="S1227" s="62">
        <f t="shared" si="249"/>
        <v>193291</v>
      </c>
    </row>
    <row r="1228" spans="2:19" x14ac:dyDescent="0.2">
      <c r="B1228" s="79">
        <f t="shared" si="233"/>
        <v>481</v>
      </c>
      <c r="C1228" s="15"/>
      <c r="D1228" s="15"/>
      <c r="E1228" s="15"/>
      <c r="F1228" s="55"/>
      <c r="G1228" s="15"/>
      <c r="H1228" s="64" t="s">
        <v>293</v>
      </c>
      <c r="I1228" s="62">
        <v>3284</v>
      </c>
      <c r="J1228" s="62"/>
      <c r="K1228" s="62">
        <f t="shared" si="231"/>
        <v>3284</v>
      </c>
      <c r="L1228" s="80"/>
      <c r="M1228" s="62"/>
      <c r="N1228" s="62"/>
      <c r="O1228" s="62">
        <f t="shared" si="232"/>
        <v>0</v>
      </c>
      <c r="P1228" s="80"/>
      <c r="Q1228" s="62">
        <f t="shared" si="247"/>
        <v>3284</v>
      </c>
      <c r="R1228" s="62">
        <f t="shared" si="248"/>
        <v>0</v>
      </c>
      <c r="S1228" s="62">
        <f t="shared" si="249"/>
        <v>3284</v>
      </c>
    </row>
    <row r="1229" spans="2:19" ht="15" x14ac:dyDescent="0.25">
      <c r="B1229" s="79">
        <f t="shared" si="233"/>
        <v>482</v>
      </c>
      <c r="C1229" s="18"/>
      <c r="D1229" s="18"/>
      <c r="E1229" s="18">
        <v>1</v>
      </c>
      <c r="F1229" s="53"/>
      <c r="G1229" s="18"/>
      <c r="H1229" s="18" t="s">
        <v>314</v>
      </c>
      <c r="I1229" s="50">
        <f>I1230+I1231+I1232+I1239</f>
        <v>116925</v>
      </c>
      <c r="J1229" s="50">
        <f>J1230+J1231+J1232+J1239</f>
        <v>8021</v>
      </c>
      <c r="K1229" s="50">
        <f t="shared" si="231"/>
        <v>124946</v>
      </c>
      <c r="L1229" s="203"/>
      <c r="M1229" s="50">
        <v>0</v>
      </c>
      <c r="N1229" s="50"/>
      <c r="O1229" s="50">
        <f t="shared" si="232"/>
        <v>0</v>
      </c>
      <c r="P1229" s="203"/>
      <c r="Q1229" s="50">
        <f t="shared" si="247"/>
        <v>116925</v>
      </c>
      <c r="R1229" s="50">
        <f t="shared" si="248"/>
        <v>8021</v>
      </c>
      <c r="S1229" s="50">
        <f t="shared" si="249"/>
        <v>124946</v>
      </c>
    </row>
    <row r="1230" spans="2:19" x14ac:dyDescent="0.2">
      <c r="B1230" s="79">
        <f t="shared" si="233"/>
        <v>483</v>
      </c>
      <c r="C1230" s="15"/>
      <c r="D1230" s="15"/>
      <c r="E1230" s="15"/>
      <c r="F1230" s="55" t="s">
        <v>164</v>
      </c>
      <c r="G1230" s="15">
        <v>610</v>
      </c>
      <c r="H1230" s="15" t="s">
        <v>136</v>
      </c>
      <c r="I1230" s="52">
        <f>60321+2000</f>
        <v>62321</v>
      </c>
      <c r="J1230" s="52">
        <v>1900</v>
      </c>
      <c r="K1230" s="52">
        <f t="shared" si="231"/>
        <v>64221</v>
      </c>
      <c r="L1230" s="126"/>
      <c r="M1230" s="52"/>
      <c r="N1230" s="52"/>
      <c r="O1230" s="52">
        <f t="shared" si="232"/>
        <v>0</v>
      </c>
      <c r="P1230" s="126"/>
      <c r="Q1230" s="52">
        <f t="shared" si="247"/>
        <v>62321</v>
      </c>
      <c r="R1230" s="52">
        <f t="shared" si="248"/>
        <v>1900</v>
      </c>
      <c r="S1230" s="52">
        <f t="shared" si="249"/>
        <v>64221</v>
      </c>
    </row>
    <row r="1231" spans="2:19" x14ac:dyDescent="0.2">
      <c r="B1231" s="79">
        <f t="shared" si="233"/>
        <v>484</v>
      </c>
      <c r="C1231" s="15"/>
      <c r="D1231" s="15"/>
      <c r="E1231" s="15"/>
      <c r="F1231" s="55" t="s">
        <v>164</v>
      </c>
      <c r="G1231" s="15">
        <v>620</v>
      </c>
      <c r="H1231" s="15" t="s">
        <v>131</v>
      </c>
      <c r="I1231" s="52">
        <f>20947+1600</f>
        <v>22547</v>
      </c>
      <c r="J1231" s="52">
        <f>300+700</f>
        <v>1000</v>
      </c>
      <c r="K1231" s="52">
        <f t="shared" si="231"/>
        <v>23547</v>
      </c>
      <c r="L1231" s="126"/>
      <c r="M1231" s="52"/>
      <c r="N1231" s="52"/>
      <c r="O1231" s="52">
        <f t="shared" si="232"/>
        <v>0</v>
      </c>
      <c r="P1231" s="126"/>
      <c r="Q1231" s="52">
        <f t="shared" si="247"/>
        <v>22547</v>
      </c>
      <c r="R1231" s="52">
        <f t="shared" si="248"/>
        <v>1000</v>
      </c>
      <c r="S1231" s="52">
        <f t="shared" si="249"/>
        <v>23547</v>
      </c>
    </row>
    <row r="1232" spans="2:19" x14ac:dyDescent="0.2">
      <c r="B1232" s="79">
        <f t="shared" si="233"/>
        <v>485</v>
      </c>
      <c r="C1232" s="15"/>
      <c r="D1232" s="15"/>
      <c r="E1232" s="15"/>
      <c r="F1232" s="55" t="s">
        <v>164</v>
      </c>
      <c r="G1232" s="15">
        <v>630</v>
      </c>
      <c r="H1232" s="15" t="s">
        <v>128</v>
      </c>
      <c r="I1232" s="52">
        <f>I1238+I1237+I1235+I1234+I1233</f>
        <v>31657</v>
      </c>
      <c r="J1232" s="52">
        <f>J1238+J1237+J1235+J1234+J1233+J1236</f>
        <v>5121</v>
      </c>
      <c r="K1232" s="52">
        <f t="shared" si="231"/>
        <v>36778</v>
      </c>
      <c r="L1232" s="126"/>
      <c r="M1232" s="52">
        <f>M1238+M1237+M1235+M1234+M1233</f>
        <v>0</v>
      </c>
      <c r="N1232" s="52">
        <f>N1238+N1237+N1235+N1234+N1233</f>
        <v>0</v>
      </c>
      <c r="O1232" s="52">
        <f t="shared" si="232"/>
        <v>0</v>
      </c>
      <c r="P1232" s="126"/>
      <c r="Q1232" s="52">
        <f t="shared" si="247"/>
        <v>31657</v>
      </c>
      <c r="R1232" s="52">
        <f t="shared" si="248"/>
        <v>5121</v>
      </c>
      <c r="S1232" s="52">
        <f t="shared" si="249"/>
        <v>36778</v>
      </c>
    </row>
    <row r="1233" spans="2:19" x14ac:dyDescent="0.2">
      <c r="B1233" s="79">
        <f t="shared" si="233"/>
        <v>486</v>
      </c>
      <c r="C1233" s="4"/>
      <c r="D1233" s="4"/>
      <c r="E1233" s="4"/>
      <c r="F1233" s="56" t="s">
        <v>164</v>
      </c>
      <c r="G1233" s="4">
        <v>631</v>
      </c>
      <c r="H1233" s="4" t="s">
        <v>134</v>
      </c>
      <c r="I1233" s="26">
        <v>500</v>
      </c>
      <c r="J1233" s="26">
        <v>-300</v>
      </c>
      <c r="K1233" s="26">
        <f t="shared" si="231"/>
        <v>200</v>
      </c>
      <c r="L1233" s="80"/>
      <c r="M1233" s="26"/>
      <c r="N1233" s="26"/>
      <c r="O1233" s="26">
        <f t="shared" si="232"/>
        <v>0</v>
      </c>
      <c r="P1233" s="80"/>
      <c r="Q1233" s="26">
        <f t="shared" si="247"/>
        <v>500</v>
      </c>
      <c r="R1233" s="26">
        <f t="shared" si="248"/>
        <v>-300</v>
      </c>
      <c r="S1233" s="26">
        <f t="shared" si="249"/>
        <v>200</v>
      </c>
    </row>
    <row r="1234" spans="2:19" x14ac:dyDescent="0.2">
      <c r="B1234" s="79">
        <f t="shared" si="233"/>
        <v>487</v>
      </c>
      <c r="C1234" s="4"/>
      <c r="D1234" s="4"/>
      <c r="E1234" s="4"/>
      <c r="F1234" s="56" t="s">
        <v>164</v>
      </c>
      <c r="G1234" s="4">
        <v>632</v>
      </c>
      <c r="H1234" s="4" t="s">
        <v>139</v>
      </c>
      <c r="I1234" s="26">
        <v>6300</v>
      </c>
      <c r="J1234" s="26">
        <v>300</v>
      </c>
      <c r="K1234" s="26">
        <f t="shared" si="231"/>
        <v>6600</v>
      </c>
      <c r="L1234" s="80"/>
      <c r="M1234" s="26"/>
      <c r="N1234" s="26"/>
      <c r="O1234" s="26">
        <f t="shared" si="232"/>
        <v>0</v>
      </c>
      <c r="P1234" s="80"/>
      <c r="Q1234" s="26">
        <f t="shared" si="247"/>
        <v>6300</v>
      </c>
      <c r="R1234" s="26">
        <f t="shared" si="248"/>
        <v>300</v>
      </c>
      <c r="S1234" s="26">
        <f t="shared" si="249"/>
        <v>6600</v>
      </c>
    </row>
    <row r="1235" spans="2:19" x14ac:dyDescent="0.2">
      <c r="B1235" s="79">
        <f t="shared" si="233"/>
        <v>488</v>
      </c>
      <c r="C1235" s="4"/>
      <c r="D1235" s="4"/>
      <c r="E1235" s="4"/>
      <c r="F1235" s="56" t="s">
        <v>164</v>
      </c>
      <c r="G1235" s="4">
        <v>633</v>
      </c>
      <c r="H1235" s="4" t="s">
        <v>132</v>
      </c>
      <c r="I1235" s="26">
        <v>5243</v>
      </c>
      <c r="J1235" s="26">
        <f>2194-400</f>
        <v>1794</v>
      </c>
      <c r="K1235" s="26">
        <f t="shared" si="231"/>
        <v>7037</v>
      </c>
      <c r="L1235" s="80"/>
      <c r="M1235" s="26"/>
      <c r="N1235" s="26"/>
      <c r="O1235" s="26">
        <f t="shared" si="232"/>
        <v>0</v>
      </c>
      <c r="P1235" s="80"/>
      <c r="Q1235" s="26">
        <f t="shared" si="247"/>
        <v>5243</v>
      </c>
      <c r="R1235" s="26">
        <f t="shared" si="248"/>
        <v>1794</v>
      </c>
      <c r="S1235" s="26">
        <f t="shared" si="249"/>
        <v>7037</v>
      </c>
    </row>
    <row r="1236" spans="2:19" x14ac:dyDescent="0.2">
      <c r="B1236" s="79">
        <f t="shared" si="233"/>
        <v>489</v>
      </c>
      <c r="C1236" s="4"/>
      <c r="D1236" s="4"/>
      <c r="E1236" s="4"/>
      <c r="F1236" s="56" t="s">
        <v>164</v>
      </c>
      <c r="G1236" s="4">
        <v>634</v>
      </c>
      <c r="H1236" s="4" t="s">
        <v>137</v>
      </c>
      <c r="I1236" s="26">
        <v>0</v>
      </c>
      <c r="J1236" s="26">
        <v>200</v>
      </c>
      <c r="K1236" s="26">
        <f t="shared" si="231"/>
        <v>200</v>
      </c>
      <c r="L1236" s="80"/>
      <c r="M1236" s="26"/>
      <c r="N1236" s="26"/>
      <c r="O1236" s="26"/>
      <c r="P1236" s="80"/>
      <c r="Q1236" s="26">
        <f t="shared" si="247"/>
        <v>0</v>
      </c>
      <c r="R1236" s="26">
        <f t="shared" si="248"/>
        <v>200</v>
      </c>
      <c r="S1236" s="26">
        <f t="shared" si="249"/>
        <v>200</v>
      </c>
    </row>
    <row r="1237" spans="2:19" x14ac:dyDescent="0.2">
      <c r="B1237" s="79">
        <f t="shared" si="233"/>
        <v>490</v>
      </c>
      <c r="C1237" s="4"/>
      <c r="D1237" s="4"/>
      <c r="E1237" s="4"/>
      <c r="F1237" s="56" t="s">
        <v>164</v>
      </c>
      <c r="G1237" s="4">
        <v>635</v>
      </c>
      <c r="H1237" s="4" t="s">
        <v>138</v>
      </c>
      <c r="I1237" s="26">
        <f>435+3500</f>
        <v>3935</v>
      </c>
      <c r="J1237" s="26"/>
      <c r="K1237" s="26">
        <f t="shared" si="231"/>
        <v>3935</v>
      </c>
      <c r="L1237" s="80"/>
      <c r="M1237" s="26"/>
      <c r="N1237" s="26"/>
      <c r="O1237" s="26">
        <f t="shared" si="232"/>
        <v>0</v>
      </c>
      <c r="P1237" s="80"/>
      <c r="Q1237" s="26">
        <f t="shared" si="247"/>
        <v>3935</v>
      </c>
      <c r="R1237" s="26">
        <f t="shared" si="248"/>
        <v>0</v>
      </c>
      <c r="S1237" s="26">
        <f t="shared" si="249"/>
        <v>3935</v>
      </c>
    </row>
    <row r="1238" spans="2:19" x14ac:dyDescent="0.2">
      <c r="B1238" s="79">
        <f t="shared" si="233"/>
        <v>491</v>
      </c>
      <c r="C1238" s="4"/>
      <c r="D1238" s="4"/>
      <c r="E1238" s="4"/>
      <c r="F1238" s="56" t="s">
        <v>164</v>
      </c>
      <c r="G1238" s="4">
        <v>637</v>
      </c>
      <c r="H1238" s="4" t="s">
        <v>129</v>
      </c>
      <c r="I1238" s="26">
        <f>10279+2500+2900</f>
        <v>15679</v>
      </c>
      <c r="J1238" s="26">
        <f>2100+1027</f>
        <v>3127</v>
      </c>
      <c r="K1238" s="26">
        <f t="shared" si="231"/>
        <v>18806</v>
      </c>
      <c r="L1238" s="80"/>
      <c r="M1238" s="26"/>
      <c r="N1238" s="26"/>
      <c r="O1238" s="26">
        <f t="shared" si="232"/>
        <v>0</v>
      </c>
      <c r="P1238" s="80"/>
      <c r="Q1238" s="26">
        <f t="shared" si="247"/>
        <v>15679</v>
      </c>
      <c r="R1238" s="26">
        <f t="shared" si="248"/>
        <v>3127</v>
      </c>
      <c r="S1238" s="26">
        <f t="shared" si="249"/>
        <v>18806</v>
      </c>
    </row>
    <row r="1239" spans="2:19" x14ac:dyDescent="0.2">
      <c r="B1239" s="79">
        <f t="shared" si="233"/>
        <v>492</v>
      </c>
      <c r="C1239" s="15"/>
      <c r="D1239" s="15"/>
      <c r="E1239" s="15"/>
      <c r="F1239" s="55" t="s">
        <v>164</v>
      </c>
      <c r="G1239" s="15">
        <v>640</v>
      </c>
      <c r="H1239" s="15" t="s">
        <v>135</v>
      </c>
      <c r="I1239" s="52">
        <v>400</v>
      </c>
      <c r="J1239" s="52"/>
      <c r="K1239" s="52">
        <f t="shared" si="231"/>
        <v>400</v>
      </c>
      <c r="L1239" s="126"/>
      <c r="M1239" s="52"/>
      <c r="N1239" s="52"/>
      <c r="O1239" s="52">
        <f t="shared" si="232"/>
        <v>0</v>
      </c>
      <c r="P1239" s="126"/>
      <c r="Q1239" s="52">
        <f t="shared" si="247"/>
        <v>400</v>
      </c>
      <c r="R1239" s="52">
        <f t="shared" si="248"/>
        <v>0</v>
      </c>
      <c r="S1239" s="52">
        <f t="shared" si="249"/>
        <v>400</v>
      </c>
    </row>
    <row r="1240" spans="2:19" ht="15" x14ac:dyDescent="0.25">
      <c r="B1240" s="79">
        <f t="shared" si="233"/>
        <v>493</v>
      </c>
      <c r="C1240" s="18"/>
      <c r="D1240" s="18"/>
      <c r="E1240" s="18">
        <v>4</v>
      </c>
      <c r="F1240" s="53"/>
      <c r="G1240" s="18"/>
      <c r="H1240" s="18" t="s">
        <v>85</v>
      </c>
      <c r="I1240" s="50">
        <f>I1241+I1242+I1243</f>
        <v>12963</v>
      </c>
      <c r="J1240" s="50">
        <f>J1241+J1242+J1243</f>
        <v>0</v>
      </c>
      <c r="K1240" s="50">
        <f t="shared" si="231"/>
        <v>12963</v>
      </c>
      <c r="L1240" s="203"/>
      <c r="M1240" s="50">
        <f>M1241+M1242+M1243</f>
        <v>0</v>
      </c>
      <c r="N1240" s="50">
        <f>N1241+N1242+N1243</f>
        <v>0</v>
      </c>
      <c r="O1240" s="50">
        <f t="shared" si="232"/>
        <v>0</v>
      </c>
      <c r="P1240" s="203"/>
      <c r="Q1240" s="50">
        <f t="shared" si="247"/>
        <v>12963</v>
      </c>
      <c r="R1240" s="50">
        <f t="shared" si="248"/>
        <v>0</v>
      </c>
      <c r="S1240" s="50">
        <f t="shared" si="249"/>
        <v>12963</v>
      </c>
    </row>
    <row r="1241" spans="2:19" x14ac:dyDescent="0.2">
      <c r="B1241" s="79">
        <f t="shared" si="233"/>
        <v>494</v>
      </c>
      <c r="C1241" s="15"/>
      <c r="D1241" s="15"/>
      <c r="E1241" s="15"/>
      <c r="F1241" s="55" t="s">
        <v>164</v>
      </c>
      <c r="G1241" s="15">
        <v>610</v>
      </c>
      <c r="H1241" s="15" t="s">
        <v>136</v>
      </c>
      <c r="I1241" s="52">
        <v>8671</v>
      </c>
      <c r="J1241" s="52"/>
      <c r="K1241" s="52">
        <f t="shared" si="231"/>
        <v>8671</v>
      </c>
      <c r="L1241" s="126"/>
      <c r="M1241" s="52"/>
      <c r="N1241" s="52"/>
      <c r="O1241" s="52">
        <f t="shared" si="232"/>
        <v>0</v>
      </c>
      <c r="P1241" s="126"/>
      <c r="Q1241" s="52">
        <f t="shared" si="247"/>
        <v>8671</v>
      </c>
      <c r="R1241" s="52">
        <f t="shared" si="248"/>
        <v>0</v>
      </c>
      <c r="S1241" s="52">
        <f t="shared" si="249"/>
        <v>8671</v>
      </c>
    </row>
    <row r="1242" spans="2:19" x14ac:dyDescent="0.2">
      <c r="B1242" s="79">
        <f t="shared" si="233"/>
        <v>495</v>
      </c>
      <c r="C1242" s="15"/>
      <c r="D1242" s="15"/>
      <c r="E1242" s="15"/>
      <c r="F1242" s="55" t="s">
        <v>164</v>
      </c>
      <c r="G1242" s="15">
        <v>620</v>
      </c>
      <c r="H1242" s="15" t="s">
        <v>131</v>
      </c>
      <c r="I1242" s="52">
        <v>3222</v>
      </c>
      <c r="J1242" s="52"/>
      <c r="K1242" s="52">
        <f t="shared" si="231"/>
        <v>3222</v>
      </c>
      <c r="L1242" s="126"/>
      <c r="M1242" s="52"/>
      <c r="N1242" s="52"/>
      <c r="O1242" s="52">
        <f t="shared" si="232"/>
        <v>0</v>
      </c>
      <c r="P1242" s="126"/>
      <c r="Q1242" s="52">
        <f t="shared" si="247"/>
        <v>3222</v>
      </c>
      <c r="R1242" s="52">
        <f t="shared" si="248"/>
        <v>0</v>
      </c>
      <c r="S1242" s="52">
        <f t="shared" si="249"/>
        <v>3222</v>
      </c>
    </row>
    <row r="1243" spans="2:19" x14ac:dyDescent="0.2">
      <c r="B1243" s="79">
        <f t="shared" si="233"/>
        <v>496</v>
      </c>
      <c r="C1243" s="15"/>
      <c r="D1243" s="15"/>
      <c r="E1243" s="15"/>
      <c r="F1243" s="55" t="s">
        <v>164</v>
      </c>
      <c r="G1243" s="15">
        <v>630</v>
      </c>
      <c r="H1243" s="15" t="s">
        <v>128</v>
      </c>
      <c r="I1243" s="52">
        <f>I1246+I1245+I1244</f>
        <v>1070</v>
      </c>
      <c r="J1243" s="52">
        <f>J1246+J1245+J1244</f>
        <v>0</v>
      </c>
      <c r="K1243" s="52">
        <f t="shared" si="231"/>
        <v>1070</v>
      </c>
      <c r="L1243" s="126"/>
      <c r="M1243" s="52">
        <f>M1246+M1245+M1244</f>
        <v>0</v>
      </c>
      <c r="N1243" s="52">
        <f>N1246+N1245+N1244</f>
        <v>0</v>
      </c>
      <c r="O1243" s="52">
        <f t="shared" si="232"/>
        <v>0</v>
      </c>
      <c r="P1243" s="126"/>
      <c r="Q1243" s="52">
        <f t="shared" si="247"/>
        <v>1070</v>
      </c>
      <c r="R1243" s="52">
        <f t="shared" si="248"/>
        <v>0</v>
      </c>
      <c r="S1243" s="52">
        <f t="shared" si="249"/>
        <v>1070</v>
      </c>
    </row>
    <row r="1244" spans="2:19" x14ac:dyDescent="0.2">
      <c r="B1244" s="79">
        <f t="shared" si="233"/>
        <v>497</v>
      </c>
      <c r="C1244" s="4"/>
      <c r="D1244" s="4"/>
      <c r="E1244" s="4"/>
      <c r="F1244" s="56" t="s">
        <v>164</v>
      </c>
      <c r="G1244" s="4">
        <v>632</v>
      </c>
      <c r="H1244" s="4" t="s">
        <v>139</v>
      </c>
      <c r="I1244" s="26">
        <v>550</v>
      </c>
      <c r="J1244" s="26"/>
      <c r="K1244" s="26">
        <f t="shared" si="231"/>
        <v>550</v>
      </c>
      <c r="L1244" s="80"/>
      <c r="M1244" s="26"/>
      <c r="N1244" s="26"/>
      <c r="O1244" s="26">
        <f t="shared" si="232"/>
        <v>0</v>
      </c>
      <c r="P1244" s="80"/>
      <c r="Q1244" s="26">
        <f t="shared" si="247"/>
        <v>550</v>
      </c>
      <c r="R1244" s="26">
        <f t="shared" si="248"/>
        <v>0</v>
      </c>
      <c r="S1244" s="26">
        <f t="shared" si="249"/>
        <v>550</v>
      </c>
    </row>
    <row r="1245" spans="2:19" x14ac:dyDescent="0.2">
      <c r="B1245" s="79">
        <f t="shared" si="233"/>
        <v>498</v>
      </c>
      <c r="C1245" s="4"/>
      <c r="D1245" s="4"/>
      <c r="E1245" s="4"/>
      <c r="F1245" s="56" t="s">
        <v>164</v>
      </c>
      <c r="G1245" s="4">
        <v>633</v>
      </c>
      <c r="H1245" s="4" t="s">
        <v>132</v>
      </c>
      <c r="I1245" s="26">
        <v>400</v>
      </c>
      <c r="J1245" s="26"/>
      <c r="K1245" s="26">
        <f t="shared" si="231"/>
        <v>400</v>
      </c>
      <c r="L1245" s="80"/>
      <c r="M1245" s="26"/>
      <c r="N1245" s="26"/>
      <c r="O1245" s="26">
        <f t="shared" si="232"/>
        <v>0</v>
      </c>
      <c r="P1245" s="80"/>
      <c r="Q1245" s="26">
        <f t="shared" si="247"/>
        <v>400</v>
      </c>
      <c r="R1245" s="26">
        <f t="shared" si="248"/>
        <v>0</v>
      </c>
      <c r="S1245" s="26">
        <f t="shared" si="249"/>
        <v>400</v>
      </c>
    </row>
    <row r="1246" spans="2:19" x14ac:dyDescent="0.2">
      <c r="B1246" s="79">
        <f t="shared" si="233"/>
        <v>499</v>
      </c>
      <c r="C1246" s="4"/>
      <c r="D1246" s="4"/>
      <c r="E1246" s="4"/>
      <c r="F1246" s="56" t="s">
        <v>164</v>
      </c>
      <c r="G1246" s="4">
        <v>637</v>
      </c>
      <c r="H1246" s="4" t="s">
        <v>129</v>
      </c>
      <c r="I1246" s="26">
        <v>120</v>
      </c>
      <c r="J1246" s="26"/>
      <c r="K1246" s="26">
        <f t="shared" si="231"/>
        <v>120</v>
      </c>
      <c r="L1246" s="80"/>
      <c r="M1246" s="26"/>
      <c r="N1246" s="26"/>
      <c r="O1246" s="26">
        <f t="shared" si="232"/>
        <v>0</v>
      </c>
      <c r="P1246" s="80"/>
      <c r="Q1246" s="26">
        <f t="shared" si="247"/>
        <v>120</v>
      </c>
      <c r="R1246" s="26">
        <f t="shared" si="248"/>
        <v>0</v>
      </c>
      <c r="S1246" s="26">
        <f t="shared" si="249"/>
        <v>120</v>
      </c>
    </row>
    <row r="1247" spans="2:19" ht="15" x14ac:dyDescent="0.25">
      <c r="B1247" s="79">
        <f t="shared" si="233"/>
        <v>500</v>
      </c>
      <c r="C1247" s="18"/>
      <c r="D1247" s="18"/>
      <c r="E1247" s="18">
        <v>6</v>
      </c>
      <c r="F1247" s="53"/>
      <c r="G1247" s="18"/>
      <c r="H1247" s="18" t="s">
        <v>82</v>
      </c>
      <c r="I1247" s="50">
        <f>I1248+I1249+I1250+I1254</f>
        <v>81022</v>
      </c>
      <c r="J1247" s="50">
        <f>J1248+J1249+J1250+J1254</f>
        <v>0</v>
      </c>
      <c r="K1247" s="50">
        <f t="shared" si="231"/>
        <v>81022</v>
      </c>
      <c r="L1247" s="203"/>
      <c r="M1247" s="50">
        <f>M1248+M1249+M1250+M1254</f>
        <v>0</v>
      </c>
      <c r="N1247" s="50">
        <f>N1248+N1249+N1250+N1254</f>
        <v>0</v>
      </c>
      <c r="O1247" s="50">
        <f t="shared" si="232"/>
        <v>0</v>
      </c>
      <c r="P1247" s="203"/>
      <c r="Q1247" s="50">
        <f t="shared" si="247"/>
        <v>81022</v>
      </c>
      <c r="R1247" s="50">
        <f t="shared" si="248"/>
        <v>0</v>
      </c>
      <c r="S1247" s="50">
        <f t="shared" si="249"/>
        <v>81022</v>
      </c>
    </row>
    <row r="1248" spans="2:19" x14ac:dyDescent="0.2">
      <c r="B1248" s="79">
        <f t="shared" si="233"/>
        <v>501</v>
      </c>
      <c r="C1248" s="15"/>
      <c r="D1248" s="15"/>
      <c r="E1248" s="15"/>
      <c r="F1248" s="55" t="s">
        <v>164</v>
      </c>
      <c r="G1248" s="15">
        <v>610</v>
      </c>
      <c r="H1248" s="15" t="s">
        <v>136</v>
      </c>
      <c r="I1248" s="52">
        <f>51446+1533</f>
        <v>52979</v>
      </c>
      <c r="J1248" s="52">
        <v>1211</v>
      </c>
      <c r="K1248" s="52">
        <f t="shared" si="231"/>
        <v>54190</v>
      </c>
      <c r="L1248" s="126"/>
      <c r="M1248" s="52"/>
      <c r="N1248" s="52"/>
      <c r="O1248" s="52">
        <f t="shared" si="232"/>
        <v>0</v>
      </c>
      <c r="P1248" s="126"/>
      <c r="Q1248" s="52">
        <f t="shared" si="247"/>
        <v>52979</v>
      </c>
      <c r="R1248" s="52">
        <f t="shared" si="248"/>
        <v>1211</v>
      </c>
      <c r="S1248" s="52">
        <f t="shared" si="249"/>
        <v>54190</v>
      </c>
    </row>
    <row r="1249" spans="2:19" x14ac:dyDescent="0.2">
      <c r="B1249" s="79">
        <f t="shared" si="233"/>
        <v>502</v>
      </c>
      <c r="C1249" s="15"/>
      <c r="D1249" s="15"/>
      <c r="E1249" s="15"/>
      <c r="F1249" s="55" t="s">
        <v>164</v>
      </c>
      <c r="G1249" s="15">
        <v>620</v>
      </c>
      <c r="H1249" s="15" t="s">
        <v>131</v>
      </c>
      <c r="I1249" s="52">
        <f>19089+167</f>
        <v>19256</v>
      </c>
      <c r="J1249" s="52">
        <v>389</v>
      </c>
      <c r="K1249" s="52">
        <f t="shared" si="231"/>
        <v>19645</v>
      </c>
      <c r="L1249" s="126"/>
      <c r="M1249" s="52"/>
      <c r="N1249" s="52"/>
      <c r="O1249" s="52">
        <f t="shared" si="232"/>
        <v>0</v>
      </c>
      <c r="P1249" s="126"/>
      <c r="Q1249" s="52">
        <f t="shared" si="247"/>
        <v>19256</v>
      </c>
      <c r="R1249" s="52">
        <f t="shared" si="248"/>
        <v>389</v>
      </c>
      <c r="S1249" s="52">
        <f t="shared" si="249"/>
        <v>19645</v>
      </c>
    </row>
    <row r="1250" spans="2:19" x14ac:dyDescent="0.2">
      <c r="B1250" s="79">
        <f t="shared" si="233"/>
        <v>503</v>
      </c>
      <c r="C1250" s="15"/>
      <c r="D1250" s="15"/>
      <c r="E1250" s="15"/>
      <c r="F1250" s="55" t="s">
        <v>164</v>
      </c>
      <c r="G1250" s="15">
        <v>630</v>
      </c>
      <c r="H1250" s="15" t="s">
        <v>128</v>
      </c>
      <c r="I1250" s="52">
        <f>I1253+I1252+I1251</f>
        <v>8466</v>
      </c>
      <c r="J1250" s="52">
        <f>J1253+J1252+J1251</f>
        <v>-1500</v>
      </c>
      <c r="K1250" s="52">
        <f t="shared" si="231"/>
        <v>6966</v>
      </c>
      <c r="L1250" s="126"/>
      <c r="M1250" s="52">
        <f>M1253+M1252+M1251</f>
        <v>0</v>
      </c>
      <c r="N1250" s="52">
        <f>N1253+N1252+N1251</f>
        <v>0</v>
      </c>
      <c r="O1250" s="52">
        <f t="shared" si="232"/>
        <v>0</v>
      </c>
      <c r="P1250" s="126"/>
      <c r="Q1250" s="52">
        <f t="shared" si="247"/>
        <v>8466</v>
      </c>
      <c r="R1250" s="52">
        <f t="shared" si="248"/>
        <v>-1500</v>
      </c>
      <c r="S1250" s="52">
        <f t="shared" si="249"/>
        <v>6966</v>
      </c>
    </row>
    <row r="1251" spans="2:19" x14ac:dyDescent="0.2">
      <c r="B1251" s="79">
        <f t="shared" si="233"/>
        <v>504</v>
      </c>
      <c r="C1251" s="4"/>
      <c r="D1251" s="4"/>
      <c r="E1251" s="4"/>
      <c r="F1251" s="56" t="s">
        <v>164</v>
      </c>
      <c r="G1251" s="4">
        <v>632</v>
      </c>
      <c r="H1251" s="4" t="s">
        <v>139</v>
      </c>
      <c r="I1251" s="26">
        <v>6324</v>
      </c>
      <c r="J1251" s="26">
        <v>-1500</v>
      </c>
      <c r="K1251" s="26">
        <f t="shared" si="231"/>
        <v>4824</v>
      </c>
      <c r="L1251" s="80"/>
      <c r="M1251" s="26"/>
      <c r="N1251" s="26"/>
      <c r="O1251" s="26">
        <f t="shared" si="232"/>
        <v>0</v>
      </c>
      <c r="P1251" s="80"/>
      <c r="Q1251" s="26">
        <f t="shared" si="247"/>
        <v>6324</v>
      </c>
      <c r="R1251" s="26">
        <f t="shared" si="248"/>
        <v>-1500</v>
      </c>
      <c r="S1251" s="26">
        <f t="shared" si="249"/>
        <v>4824</v>
      </c>
    </row>
    <row r="1252" spans="2:19" x14ac:dyDescent="0.2">
      <c r="B1252" s="79">
        <f t="shared" si="233"/>
        <v>505</v>
      </c>
      <c r="C1252" s="4"/>
      <c r="D1252" s="4"/>
      <c r="E1252" s="4"/>
      <c r="F1252" s="56" t="s">
        <v>164</v>
      </c>
      <c r="G1252" s="4">
        <v>633</v>
      </c>
      <c r="H1252" s="4" t="s">
        <v>132</v>
      </c>
      <c r="I1252" s="26">
        <v>969</v>
      </c>
      <c r="J1252" s="26"/>
      <c r="K1252" s="26">
        <f t="shared" si="231"/>
        <v>969</v>
      </c>
      <c r="L1252" s="80"/>
      <c r="M1252" s="26"/>
      <c r="N1252" s="26"/>
      <c r="O1252" s="26">
        <f t="shared" si="232"/>
        <v>0</v>
      </c>
      <c r="P1252" s="80"/>
      <c r="Q1252" s="26">
        <f t="shared" si="247"/>
        <v>969</v>
      </c>
      <c r="R1252" s="26">
        <f t="shared" si="248"/>
        <v>0</v>
      </c>
      <c r="S1252" s="26">
        <f t="shared" si="249"/>
        <v>969</v>
      </c>
    </row>
    <row r="1253" spans="2:19" x14ac:dyDescent="0.2">
      <c r="B1253" s="79">
        <f t="shared" si="233"/>
        <v>506</v>
      </c>
      <c r="C1253" s="4"/>
      <c r="D1253" s="4"/>
      <c r="E1253" s="4"/>
      <c r="F1253" s="56" t="s">
        <v>164</v>
      </c>
      <c r="G1253" s="4">
        <v>637</v>
      </c>
      <c r="H1253" s="4" t="s">
        <v>129</v>
      </c>
      <c r="I1253" s="26">
        <v>1173</v>
      </c>
      <c r="J1253" s="26"/>
      <c r="K1253" s="26">
        <f t="shared" si="231"/>
        <v>1173</v>
      </c>
      <c r="L1253" s="80"/>
      <c r="M1253" s="26"/>
      <c r="N1253" s="26"/>
      <c r="O1253" s="26">
        <f t="shared" si="232"/>
        <v>0</v>
      </c>
      <c r="P1253" s="80"/>
      <c r="Q1253" s="26">
        <f t="shared" si="247"/>
        <v>1173</v>
      </c>
      <c r="R1253" s="26">
        <f t="shared" si="248"/>
        <v>0</v>
      </c>
      <c r="S1253" s="26">
        <f t="shared" si="249"/>
        <v>1173</v>
      </c>
    </row>
    <row r="1254" spans="2:19" x14ac:dyDescent="0.2">
      <c r="B1254" s="79">
        <f t="shared" si="233"/>
        <v>507</v>
      </c>
      <c r="C1254" s="15"/>
      <c r="D1254" s="15"/>
      <c r="E1254" s="15"/>
      <c r="F1254" s="55" t="s">
        <v>164</v>
      </c>
      <c r="G1254" s="15">
        <v>640</v>
      </c>
      <c r="H1254" s="15" t="s">
        <v>135</v>
      </c>
      <c r="I1254" s="52">
        <v>321</v>
      </c>
      <c r="J1254" s="52">
        <v>-100</v>
      </c>
      <c r="K1254" s="52">
        <f t="shared" si="231"/>
        <v>221</v>
      </c>
      <c r="L1254" s="126"/>
      <c r="M1254" s="52"/>
      <c r="N1254" s="52"/>
      <c r="O1254" s="52">
        <f t="shared" si="232"/>
        <v>0</v>
      </c>
      <c r="P1254" s="126"/>
      <c r="Q1254" s="52">
        <f t="shared" si="247"/>
        <v>321</v>
      </c>
      <c r="R1254" s="52">
        <f t="shared" si="248"/>
        <v>-100</v>
      </c>
      <c r="S1254" s="52">
        <f t="shared" si="249"/>
        <v>221</v>
      </c>
    </row>
    <row r="1255" spans="2:19" ht="15" x14ac:dyDescent="0.25">
      <c r="B1255" s="79">
        <f t="shared" si="233"/>
        <v>508</v>
      </c>
      <c r="C1255" s="18"/>
      <c r="D1255" s="18"/>
      <c r="E1255" s="18">
        <v>7</v>
      </c>
      <c r="F1255" s="53"/>
      <c r="G1255" s="18"/>
      <c r="H1255" s="18" t="s">
        <v>317</v>
      </c>
      <c r="I1255" s="50">
        <f>I1256+I1257+I1258+I1262</f>
        <v>100965</v>
      </c>
      <c r="J1255" s="50">
        <f>J1256+J1257+J1258+J1262</f>
        <v>3300</v>
      </c>
      <c r="K1255" s="50">
        <f t="shared" si="231"/>
        <v>104265</v>
      </c>
      <c r="L1255" s="203"/>
      <c r="M1255" s="50">
        <f>M1256+M1257+M1258+M1262</f>
        <v>0</v>
      </c>
      <c r="N1255" s="50">
        <f>N1256+N1257+N1258+N1262</f>
        <v>0</v>
      </c>
      <c r="O1255" s="50">
        <f t="shared" si="232"/>
        <v>0</v>
      </c>
      <c r="P1255" s="203"/>
      <c r="Q1255" s="50">
        <f t="shared" si="247"/>
        <v>100965</v>
      </c>
      <c r="R1255" s="50">
        <f t="shared" si="248"/>
        <v>3300</v>
      </c>
      <c r="S1255" s="50">
        <f t="shared" si="249"/>
        <v>104265</v>
      </c>
    </row>
    <row r="1256" spans="2:19" x14ac:dyDescent="0.2">
      <c r="B1256" s="79">
        <f t="shared" si="233"/>
        <v>509</v>
      </c>
      <c r="C1256" s="15"/>
      <c r="D1256" s="15"/>
      <c r="E1256" s="15"/>
      <c r="F1256" s="55" t="s">
        <v>164</v>
      </c>
      <c r="G1256" s="15">
        <v>610</v>
      </c>
      <c r="H1256" s="15" t="s">
        <v>136</v>
      </c>
      <c r="I1256" s="52">
        <v>68905</v>
      </c>
      <c r="J1256" s="52"/>
      <c r="K1256" s="52">
        <f t="shared" si="231"/>
        <v>68905</v>
      </c>
      <c r="L1256" s="126"/>
      <c r="M1256" s="52"/>
      <c r="N1256" s="52"/>
      <c r="O1256" s="52">
        <f t="shared" si="232"/>
        <v>0</v>
      </c>
      <c r="P1256" s="126"/>
      <c r="Q1256" s="52">
        <f t="shared" si="247"/>
        <v>68905</v>
      </c>
      <c r="R1256" s="52">
        <f t="shared" si="248"/>
        <v>0</v>
      </c>
      <c r="S1256" s="52">
        <f t="shared" si="249"/>
        <v>68905</v>
      </c>
    </row>
    <row r="1257" spans="2:19" x14ac:dyDescent="0.2">
      <c r="B1257" s="79">
        <f t="shared" si="233"/>
        <v>510</v>
      </c>
      <c r="C1257" s="15"/>
      <c r="D1257" s="15"/>
      <c r="E1257" s="15"/>
      <c r="F1257" s="55" t="s">
        <v>164</v>
      </c>
      <c r="G1257" s="15">
        <v>620</v>
      </c>
      <c r="H1257" s="15" t="s">
        <v>131</v>
      </c>
      <c r="I1257" s="52">
        <v>24250</v>
      </c>
      <c r="J1257" s="52"/>
      <c r="K1257" s="52">
        <f t="shared" si="231"/>
        <v>24250</v>
      </c>
      <c r="L1257" s="126"/>
      <c r="M1257" s="52"/>
      <c r="N1257" s="52"/>
      <c r="O1257" s="52">
        <f t="shared" si="232"/>
        <v>0</v>
      </c>
      <c r="P1257" s="126"/>
      <c r="Q1257" s="52">
        <f t="shared" si="247"/>
        <v>24250</v>
      </c>
      <c r="R1257" s="52">
        <f t="shared" si="248"/>
        <v>0</v>
      </c>
      <c r="S1257" s="52">
        <f t="shared" si="249"/>
        <v>24250</v>
      </c>
    </row>
    <row r="1258" spans="2:19" x14ac:dyDescent="0.2">
      <c r="B1258" s="79">
        <f t="shared" si="233"/>
        <v>511</v>
      </c>
      <c r="C1258" s="15"/>
      <c r="D1258" s="15"/>
      <c r="E1258" s="15"/>
      <c r="F1258" s="55" t="s">
        <v>164</v>
      </c>
      <c r="G1258" s="15">
        <v>630</v>
      </c>
      <c r="H1258" s="15" t="s">
        <v>128</v>
      </c>
      <c r="I1258" s="52">
        <f>I1261+I1260+I1259</f>
        <v>5540</v>
      </c>
      <c r="J1258" s="52">
        <f>J1261+J1260+J1259</f>
        <v>4800</v>
      </c>
      <c r="K1258" s="52">
        <f t="shared" si="231"/>
        <v>10340</v>
      </c>
      <c r="L1258" s="126"/>
      <c r="M1258" s="52">
        <f>M1261+M1260+M1259</f>
        <v>0</v>
      </c>
      <c r="N1258" s="52">
        <f>N1261+N1260+N1259</f>
        <v>0</v>
      </c>
      <c r="O1258" s="52">
        <f t="shared" si="232"/>
        <v>0</v>
      </c>
      <c r="P1258" s="126"/>
      <c r="Q1258" s="52">
        <f t="shared" si="247"/>
        <v>5540</v>
      </c>
      <c r="R1258" s="52">
        <f t="shared" si="248"/>
        <v>4800</v>
      </c>
      <c r="S1258" s="52">
        <f t="shared" si="249"/>
        <v>10340</v>
      </c>
    </row>
    <row r="1259" spans="2:19" x14ac:dyDescent="0.2">
      <c r="B1259" s="79">
        <f t="shared" si="233"/>
        <v>512</v>
      </c>
      <c r="C1259" s="4"/>
      <c r="D1259" s="4"/>
      <c r="E1259" s="4"/>
      <c r="F1259" s="56" t="s">
        <v>164</v>
      </c>
      <c r="G1259" s="4">
        <v>632</v>
      </c>
      <c r="H1259" s="4" t="s">
        <v>139</v>
      </c>
      <c r="I1259" s="26">
        <v>1000</v>
      </c>
      <c r="J1259" s="26">
        <v>6700</v>
      </c>
      <c r="K1259" s="26">
        <f t="shared" si="231"/>
        <v>7700</v>
      </c>
      <c r="L1259" s="80"/>
      <c r="M1259" s="26"/>
      <c r="N1259" s="26"/>
      <c r="O1259" s="26">
        <f t="shared" si="232"/>
        <v>0</v>
      </c>
      <c r="P1259" s="80"/>
      <c r="Q1259" s="26">
        <f t="shared" si="247"/>
        <v>1000</v>
      </c>
      <c r="R1259" s="26">
        <f t="shared" si="248"/>
        <v>6700</v>
      </c>
      <c r="S1259" s="26">
        <f t="shared" si="249"/>
        <v>7700</v>
      </c>
    </row>
    <row r="1260" spans="2:19" x14ac:dyDescent="0.2">
      <c r="B1260" s="79">
        <f t="shared" si="233"/>
        <v>513</v>
      </c>
      <c r="C1260" s="4"/>
      <c r="D1260" s="4"/>
      <c r="E1260" s="4"/>
      <c r="F1260" s="56" t="s">
        <v>164</v>
      </c>
      <c r="G1260" s="4">
        <v>633</v>
      </c>
      <c r="H1260" s="4" t="s">
        <v>132</v>
      </c>
      <c r="I1260" s="26">
        <v>2040</v>
      </c>
      <c r="J1260" s="26">
        <v>-700</v>
      </c>
      <c r="K1260" s="26">
        <f t="shared" si="231"/>
        <v>1340</v>
      </c>
      <c r="L1260" s="80"/>
      <c r="M1260" s="26"/>
      <c r="N1260" s="26"/>
      <c r="O1260" s="26">
        <f t="shared" si="232"/>
        <v>0</v>
      </c>
      <c r="P1260" s="80"/>
      <c r="Q1260" s="26">
        <f t="shared" si="247"/>
        <v>2040</v>
      </c>
      <c r="R1260" s="26">
        <f t="shared" si="248"/>
        <v>-700</v>
      </c>
      <c r="S1260" s="26">
        <f t="shared" si="249"/>
        <v>1340</v>
      </c>
    </row>
    <row r="1261" spans="2:19" x14ac:dyDescent="0.2">
      <c r="B1261" s="79">
        <f t="shared" si="233"/>
        <v>514</v>
      </c>
      <c r="C1261" s="4"/>
      <c r="D1261" s="4"/>
      <c r="E1261" s="4"/>
      <c r="F1261" s="56" t="s">
        <v>164</v>
      </c>
      <c r="G1261" s="4">
        <v>637</v>
      </c>
      <c r="H1261" s="4" t="s">
        <v>129</v>
      </c>
      <c r="I1261" s="26">
        <v>2500</v>
      </c>
      <c r="J1261" s="26">
        <v>-1200</v>
      </c>
      <c r="K1261" s="26">
        <f t="shared" si="231"/>
        <v>1300</v>
      </c>
      <c r="L1261" s="80"/>
      <c r="M1261" s="26"/>
      <c r="N1261" s="26"/>
      <c r="O1261" s="26">
        <f t="shared" si="232"/>
        <v>0</v>
      </c>
      <c r="P1261" s="80"/>
      <c r="Q1261" s="26">
        <f t="shared" si="247"/>
        <v>2500</v>
      </c>
      <c r="R1261" s="26">
        <f t="shared" si="248"/>
        <v>-1200</v>
      </c>
      <c r="S1261" s="26">
        <f t="shared" si="249"/>
        <v>1300</v>
      </c>
    </row>
    <row r="1262" spans="2:19" x14ac:dyDescent="0.2">
      <c r="B1262" s="79">
        <f t="shared" si="233"/>
        <v>515</v>
      </c>
      <c r="C1262" s="15"/>
      <c r="D1262" s="15"/>
      <c r="E1262" s="15"/>
      <c r="F1262" s="55" t="s">
        <v>164</v>
      </c>
      <c r="G1262" s="15">
        <v>640</v>
      </c>
      <c r="H1262" s="15" t="s">
        <v>135</v>
      </c>
      <c r="I1262" s="52">
        <v>2270</v>
      </c>
      <c r="J1262" s="52">
        <v>-1500</v>
      </c>
      <c r="K1262" s="52">
        <f t="shared" si="231"/>
        <v>770</v>
      </c>
      <c r="L1262" s="126"/>
      <c r="M1262" s="52"/>
      <c r="N1262" s="52"/>
      <c r="O1262" s="52">
        <f t="shared" si="232"/>
        <v>0</v>
      </c>
      <c r="P1262" s="126"/>
      <c r="Q1262" s="52">
        <f t="shared" si="247"/>
        <v>2270</v>
      </c>
      <c r="R1262" s="52">
        <f t="shared" si="248"/>
        <v>-1500</v>
      </c>
      <c r="S1262" s="52">
        <f t="shared" si="249"/>
        <v>770</v>
      </c>
    </row>
    <row r="1263" spans="2:19" ht="15" x14ac:dyDescent="0.25">
      <c r="B1263" s="79">
        <f t="shared" si="233"/>
        <v>516</v>
      </c>
      <c r="C1263" s="18"/>
      <c r="D1263" s="18"/>
      <c r="E1263" s="18">
        <v>8</v>
      </c>
      <c r="F1263" s="53"/>
      <c r="G1263" s="18"/>
      <c r="H1263" s="18" t="s">
        <v>315</v>
      </c>
      <c r="I1263" s="50">
        <f>I1264+I1265+I1266+I1271</f>
        <v>156295</v>
      </c>
      <c r="J1263" s="50">
        <f>J1264+J1265+J1266+J1271</f>
        <v>1500</v>
      </c>
      <c r="K1263" s="50">
        <f t="shared" si="231"/>
        <v>157795</v>
      </c>
      <c r="L1263" s="203"/>
      <c r="M1263" s="50">
        <f>M1264+M1265+M1266+M1271</f>
        <v>0</v>
      </c>
      <c r="N1263" s="50">
        <f>N1264+N1265+N1266+N1271</f>
        <v>0</v>
      </c>
      <c r="O1263" s="50">
        <f t="shared" si="232"/>
        <v>0</v>
      </c>
      <c r="P1263" s="203"/>
      <c r="Q1263" s="50">
        <f t="shared" si="247"/>
        <v>156295</v>
      </c>
      <c r="R1263" s="50">
        <f t="shared" si="248"/>
        <v>1500</v>
      </c>
      <c r="S1263" s="50">
        <f t="shared" si="249"/>
        <v>157795</v>
      </c>
    </row>
    <row r="1264" spans="2:19" x14ac:dyDescent="0.2">
      <c r="B1264" s="79">
        <f t="shared" si="233"/>
        <v>517</v>
      </c>
      <c r="C1264" s="15"/>
      <c r="D1264" s="15"/>
      <c r="E1264" s="15"/>
      <c r="F1264" s="55" t="s">
        <v>164</v>
      </c>
      <c r="G1264" s="15">
        <v>610</v>
      </c>
      <c r="H1264" s="15" t="s">
        <v>136</v>
      </c>
      <c r="I1264" s="52">
        <f>106283+900</f>
        <v>107183</v>
      </c>
      <c r="J1264" s="52">
        <v>270</v>
      </c>
      <c r="K1264" s="52">
        <f t="shared" si="231"/>
        <v>107453</v>
      </c>
      <c r="L1264" s="126"/>
      <c r="M1264" s="52"/>
      <c r="N1264" s="52"/>
      <c r="O1264" s="52">
        <f t="shared" si="232"/>
        <v>0</v>
      </c>
      <c r="P1264" s="126"/>
      <c r="Q1264" s="52">
        <f t="shared" si="247"/>
        <v>107183</v>
      </c>
      <c r="R1264" s="52">
        <f t="shared" si="248"/>
        <v>270</v>
      </c>
      <c r="S1264" s="52">
        <f t="shared" si="249"/>
        <v>107453</v>
      </c>
    </row>
    <row r="1265" spans="2:19" x14ac:dyDescent="0.2">
      <c r="B1265" s="79">
        <f t="shared" si="233"/>
        <v>518</v>
      </c>
      <c r="C1265" s="15"/>
      <c r="D1265" s="15"/>
      <c r="E1265" s="15"/>
      <c r="F1265" s="55" t="s">
        <v>164</v>
      </c>
      <c r="G1265" s="15">
        <v>620</v>
      </c>
      <c r="H1265" s="15" t="s">
        <v>131</v>
      </c>
      <c r="I1265" s="52">
        <f>37424+300</f>
        <v>37724</v>
      </c>
      <c r="J1265" s="52">
        <v>230</v>
      </c>
      <c r="K1265" s="52">
        <f t="shared" si="231"/>
        <v>37954</v>
      </c>
      <c r="L1265" s="126"/>
      <c r="M1265" s="52"/>
      <c r="N1265" s="52"/>
      <c r="O1265" s="52">
        <f t="shared" si="232"/>
        <v>0</v>
      </c>
      <c r="P1265" s="126"/>
      <c r="Q1265" s="52">
        <f t="shared" si="247"/>
        <v>37724</v>
      </c>
      <c r="R1265" s="52">
        <f t="shared" si="248"/>
        <v>230</v>
      </c>
      <c r="S1265" s="52">
        <f t="shared" si="249"/>
        <v>37954</v>
      </c>
    </row>
    <row r="1266" spans="2:19" x14ac:dyDescent="0.2">
      <c r="B1266" s="79">
        <f t="shared" si="233"/>
        <v>519</v>
      </c>
      <c r="C1266" s="15"/>
      <c r="D1266" s="15"/>
      <c r="E1266" s="15"/>
      <c r="F1266" s="55" t="s">
        <v>164</v>
      </c>
      <c r="G1266" s="15">
        <v>630</v>
      </c>
      <c r="H1266" s="15" t="s">
        <v>128</v>
      </c>
      <c r="I1266" s="52">
        <f>I1270+I1268+I1267</f>
        <v>10532</v>
      </c>
      <c r="J1266" s="52">
        <f>J1270+J1268+J1267+J1269</f>
        <v>1500</v>
      </c>
      <c r="K1266" s="52">
        <f t="shared" si="231"/>
        <v>12032</v>
      </c>
      <c r="L1266" s="126"/>
      <c r="M1266" s="52">
        <f>M1270+M1268+M1267</f>
        <v>0</v>
      </c>
      <c r="N1266" s="52">
        <f>N1270+N1268+N1267</f>
        <v>0</v>
      </c>
      <c r="O1266" s="52">
        <f t="shared" si="232"/>
        <v>0</v>
      </c>
      <c r="P1266" s="126"/>
      <c r="Q1266" s="52">
        <f t="shared" si="247"/>
        <v>10532</v>
      </c>
      <c r="R1266" s="52">
        <f t="shared" si="248"/>
        <v>1500</v>
      </c>
      <c r="S1266" s="52">
        <f t="shared" si="249"/>
        <v>12032</v>
      </c>
    </row>
    <row r="1267" spans="2:19" x14ac:dyDescent="0.2">
      <c r="B1267" s="79">
        <f t="shared" si="233"/>
        <v>520</v>
      </c>
      <c r="C1267" s="4"/>
      <c r="D1267" s="4"/>
      <c r="E1267" s="4"/>
      <c r="F1267" s="56" t="s">
        <v>164</v>
      </c>
      <c r="G1267" s="4">
        <v>632</v>
      </c>
      <c r="H1267" s="4" t="s">
        <v>139</v>
      </c>
      <c r="I1267" s="26">
        <v>6630</v>
      </c>
      <c r="J1267" s="26"/>
      <c r="K1267" s="26">
        <f t="shared" si="231"/>
        <v>6630</v>
      </c>
      <c r="L1267" s="80"/>
      <c r="M1267" s="26"/>
      <c r="N1267" s="26"/>
      <c r="O1267" s="26">
        <f t="shared" si="232"/>
        <v>0</v>
      </c>
      <c r="P1267" s="80"/>
      <c r="Q1267" s="26">
        <f t="shared" si="247"/>
        <v>6630</v>
      </c>
      <c r="R1267" s="26">
        <f t="shared" si="248"/>
        <v>0</v>
      </c>
      <c r="S1267" s="26">
        <f t="shared" si="249"/>
        <v>6630</v>
      </c>
    </row>
    <row r="1268" spans="2:19" x14ac:dyDescent="0.2">
      <c r="B1268" s="79">
        <f t="shared" si="233"/>
        <v>521</v>
      </c>
      <c r="C1268" s="4"/>
      <c r="D1268" s="4"/>
      <c r="E1268" s="4"/>
      <c r="F1268" s="56" t="s">
        <v>164</v>
      </c>
      <c r="G1268" s="4">
        <v>633</v>
      </c>
      <c r="H1268" s="4" t="s">
        <v>132</v>
      </c>
      <c r="I1268" s="26">
        <v>408</v>
      </c>
      <c r="J1268" s="26"/>
      <c r="K1268" s="26">
        <f t="shared" si="231"/>
        <v>408</v>
      </c>
      <c r="L1268" s="80"/>
      <c r="M1268" s="26"/>
      <c r="N1268" s="26"/>
      <c r="O1268" s="26">
        <f t="shared" si="232"/>
        <v>0</v>
      </c>
      <c r="P1268" s="80"/>
      <c r="Q1268" s="26">
        <f t="shared" si="247"/>
        <v>408</v>
      </c>
      <c r="R1268" s="26">
        <f t="shared" si="248"/>
        <v>0</v>
      </c>
      <c r="S1268" s="26">
        <f t="shared" si="249"/>
        <v>408</v>
      </c>
    </row>
    <row r="1269" spans="2:19" x14ac:dyDescent="0.2">
      <c r="B1269" s="79">
        <f t="shared" si="233"/>
        <v>522</v>
      </c>
      <c r="C1269" s="4"/>
      <c r="D1269" s="4"/>
      <c r="E1269" s="4"/>
      <c r="F1269" s="56" t="s">
        <v>164</v>
      </c>
      <c r="G1269" s="4">
        <v>635</v>
      </c>
      <c r="H1269" s="4" t="s">
        <v>138</v>
      </c>
      <c r="I1269" s="26">
        <v>0</v>
      </c>
      <c r="J1269" s="26">
        <v>1500</v>
      </c>
      <c r="K1269" s="26">
        <f t="shared" si="231"/>
        <v>1500</v>
      </c>
      <c r="L1269" s="80"/>
      <c r="M1269" s="26"/>
      <c r="N1269" s="26"/>
      <c r="O1269" s="26">
        <f t="shared" si="232"/>
        <v>0</v>
      </c>
      <c r="P1269" s="80"/>
      <c r="Q1269" s="26">
        <f t="shared" ref="Q1269" si="250">M1269+I1269</f>
        <v>0</v>
      </c>
      <c r="R1269" s="26">
        <f t="shared" ref="R1269" si="251">N1269+J1269</f>
        <v>1500</v>
      </c>
      <c r="S1269" s="26">
        <f t="shared" ref="S1269" si="252">O1269+K1269</f>
        <v>1500</v>
      </c>
    </row>
    <row r="1270" spans="2:19" x14ac:dyDescent="0.2">
      <c r="B1270" s="79">
        <f t="shared" si="233"/>
        <v>523</v>
      </c>
      <c r="C1270" s="4"/>
      <c r="D1270" s="4"/>
      <c r="E1270" s="4"/>
      <c r="F1270" s="56" t="s">
        <v>164</v>
      </c>
      <c r="G1270" s="4">
        <v>637</v>
      </c>
      <c r="H1270" s="4" t="s">
        <v>129</v>
      </c>
      <c r="I1270" s="26">
        <v>3494</v>
      </c>
      <c r="J1270" s="26"/>
      <c r="K1270" s="26">
        <f t="shared" si="231"/>
        <v>3494</v>
      </c>
      <c r="L1270" s="80"/>
      <c r="M1270" s="26"/>
      <c r="N1270" s="26"/>
      <c r="O1270" s="26">
        <f t="shared" si="232"/>
        <v>0</v>
      </c>
      <c r="P1270" s="80"/>
      <c r="Q1270" s="26">
        <f t="shared" si="247"/>
        <v>3494</v>
      </c>
      <c r="R1270" s="26">
        <f t="shared" si="248"/>
        <v>0</v>
      </c>
      <c r="S1270" s="26">
        <f t="shared" si="249"/>
        <v>3494</v>
      </c>
    </row>
    <row r="1271" spans="2:19" x14ac:dyDescent="0.2">
      <c r="B1271" s="79">
        <f t="shared" si="233"/>
        <v>524</v>
      </c>
      <c r="C1271" s="15"/>
      <c r="D1271" s="15"/>
      <c r="E1271" s="15"/>
      <c r="F1271" s="55" t="s">
        <v>164</v>
      </c>
      <c r="G1271" s="15">
        <v>640</v>
      </c>
      <c r="H1271" s="15" t="s">
        <v>135</v>
      </c>
      <c r="I1271" s="52">
        <v>856</v>
      </c>
      <c r="J1271" s="52">
        <v>-500</v>
      </c>
      <c r="K1271" s="52">
        <f t="shared" si="231"/>
        <v>356</v>
      </c>
      <c r="L1271" s="126"/>
      <c r="M1271" s="52"/>
      <c r="N1271" s="52"/>
      <c r="O1271" s="52">
        <f t="shared" si="232"/>
        <v>0</v>
      </c>
      <c r="P1271" s="126"/>
      <c r="Q1271" s="52">
        <f t="shared" si="247"/>
        <v>856</v>
      </c>
      <c r="R1271" s="52">
        <f t="shared" si="248"/>
        <v>-500</v>
      </c>
      <c r="S1271" s="52">
        <f t="shared" si="249"/>
        <v>356</v>
      </c>
    </row>
    <row r="1272" spans="2:19" ht="15" x14ac:dyDescent="0.25">
      <c r="B1272" s="79">
        <f t="shared" si="233"/>
        <v>525</v>
      </c>
      <c r="C1272" s="18"/>
      <c r="D1272" s="18"/>
      <c r="E1272" s="18">
        <v>9</v>
      </c>
      <c r="F1272" s="53"/>
      <c r="G1272" s="18"/>
      <c r="H1272" s="18" t="s">
        <v>274</v>
      </c>
      <c r="I1272" s="50">
        <f>I1273+I1274+I1275</f>
        <v>49405</v>
      </c>
      <c r="J1272" s="50">
        <f>J1273+J1274+J1275+J1279</f>
        <v>1401</v>
      </c>
      <c r="K1272" s="50">
        <f t="shared" si="231"/>
        <v>50806</v>
      </c>
      <c r="L1272" s="203"/>
      <c r="M1272" s="50">
        <f>M1273+M1274+M1275</f>
        <v>0</v>
      </c>
      <c r="N1272" s="50">
        <f>N1273+N1274+N1275</f>
        <v>0</v>
      </c>
      <c r="O1272" s="50">
        <f t="shared" si="232"/>
        <v>0</v>
      </c>
      <c r="P1272" s="203"/>
      <c r="Q1272" s="50">
        <f t="shared" si="247"/>
        <v>49405</v>
      </c>
      <c r="R1272" s="50">
        <f t="shared" si="248"/>
        <v>1401</v>
      </c>
      <c r="S1272" s="50">
        <f t="shared" si="249"/>
        <v>50806</v>
      </c>
    </row>
    <row r="1273" spans="2:19" x14ac:dyDescent="0.2">
      <c r="B1273" s="79">
        <f t="shared" si="233"/>
        <v>526</v>
      </c>
      <c r="C1273" s="15"/>
      <c r="D1273" s="15"/>
      <c r="E1273" s="15"/>
      <c r="F1273" s="55" t="s">
        <v>164</v>
      </c>
      <c r="G1273" s="15">
        <v>610</v>
      </c>
      <c r="H1273" s="15" t="s">
        <v>136</v>
      </c>
      <c r="I1273" s="52">
        <v>34654</v>
      </c>
      <c r="J1273" s="52">
        <v>-448</v>
      </c>
      <c r="K1273" s="52">
        <f t="shared" ref="K1273:K1337" si="253">I1273+J1273</f>
        <v>34206</v>
      </c>
      <c r="L1273" s="126"/>
      <c r="M1273" s="52"/>
      <c r="N1273" s="52"/>
      <c r="O1273" s="52">
        <f t="shared" ref="O1273:O1337" si="254">M1273+N1273</f>
        <v>0</v>
      </c>
      <c r="P1273" s="126"/>
      <c r="Q1273" s="52">
        <f t="shared" si="247"/>
        <v>34654</v>
      </c>
      <c r="R1273" s="52">
        <f t="shared" si="248"/>
        <v>-448</v>
      </c>
      <c r="S1273" s="52">
        <f t="shared" si="249"/>
        <v>34206</v>
      </c>
    </row>
    <row r="1274" spans="2:19" x14ac:dyDescent="0.2">
      <c r="B1274" s="79">
        <f t="shared" ref="B1274:B1287" si="255">B1273+1</f>
        <v>527</v>
      </c>
      <c r="C1274" s="15"/>
      <c r="D1274" s="15"/>
      <c r="E1274" s="15"/>
      <c r="F1274" s="55" t="s">
        <v>164</v>
      </c>
      <c r="G1274" s="15">
        <v>620</v>
      </c>
      <c r="H1274" s="15" t="s">
        <v>131</v>
      </c>
      <c r="I1274" s="52">
        <v>12111</v>
      </c>
      <c r="J1274" s="52">
        <v>238</v>
      </c>
      <c r="K1274" s="52">
        <f t="shared" si="253"/>
        <v>12349</v>
      </c>
      <c r="L1274" s="126"/>
      <c r="M1274" s="52"/>
      <c r="N1274" s="52"/>
      <c r="O1274" s="52">
        <f t="shared" si="254"/>
        <v>0</v>
      </c>
      <c r="P1274" s="126"/>
      <c r="Q1274" s="52">
        <f t="shared" si="247"/>
        <v>12111</v>
      </c>
      <c r="R1274" s="52">
        <f t="shared" si="248"/>
        <v>238</v>
      </c>
      <c r="S1274" s="52">
        <f t="shared" si="249"/>
        <v>12349</v>
      </c>
    </row>
    <row r="1275" spans="2:19" x14ac:dyDescent="0.2">
      <c r="B1275" s="79">
        <f t="shared" si="255"/>
        <v>528</v>
      </c>
      <c r="C1275" s="15"/>
      <c r="D1275" s="15"/>
      <c r="E1275" s="15"/>
      <c r="F1275" s="55" t="s">
        <v>164</v>
      </c>
      <c r="G1275" s="15">
        <v>630</v>
      </c>
      <c r="H1275" s="15" t="s">
        <v>128</v>
      </c>
      <c r="I1275" s="52">
        <f>I1278+I1277+I1276</f>
        <v>2640</v>
      </c>
      <c r="J1275" s="52">
        <f>J1278+J1277+J1276</f>
        <v>1401</v>
      </c>
      <c r="K1275" s="52">
        <f t="shared" si="253"/>
        <v>4041</v>
      </c>
      <c r="L1275" s="126"/>
      <c r="M1275" s="52">
        <f>M1278+M1277+M1276</f>
        <v>0</v>
      </c>
      <c r="N1275" s="52">
        <f>N1278+N1277+N1276</f>
        <v>0</v>
      </c>
      <c r="O1275" s="52">
        <f t="shared" si="254"/>
        <v>0</v>
      </c>
      <c r="P1275" s="126"/>
      <c r="Q1275" s="52">
        <f t="shared" si="247"/>
        <v>2640</v>
      </c>
      <c r="R1275" s="52">
        <f t="shared" si="248"/>
        <v>1401</v>
      </c>
      <c r="S1275" s="52">
        <f t="shared" si="249"/>
        <v>4041</v>
      </c>
    </row>
    <row r="1276" spans="2:19" x14ac:dyDescent="0.2">
      <c r="B1276" s="79">
        <f t="shared" si="255"/>
        <v>529</v>
      </c>
      <c r="C1276" s="4"/>
      <c r="D1276" s="4"/>
      <c r="E1276" s="4"/>
      <c r="F1276" s="56" t="s">
        <v>164</v>
      </c>
      <c r="G1276" s="4">
        <v>632</v>
      </c>
      <c r="H1276" s="4" t="s">
        <v>139</v>
      </c>
      <c r="I1276" s="26">
        <v>1700</v>
      </c>
      <c r="J1276" s="26">
        <v>20</v>
      </c>
      <c r="K1276" s="26">
        <f t="shared" si="253"/>
        <v>1720</v>
      </c>
      <c r="L1276" s="80"/>
      <c r="M1276" s="26"/>
      <c r="N1276" s="26"/>
      <c r="O1276" s="26">
        <f t="shared" si="254"/>
        <v>0</v>
      </c>
      <c r="P1276" s="80"/>
      <c r="Q1276" s="26">
        <f t="shared" si="247"/>
        <v>1700</v>
      </c>
      <c r="R1276" s="26">
        <f t="shared" si="248"/>
        <v>20</v>
      </c>
      <c r="S1276" s="26">
        <f t="shared" si="249"/>
        <v>1720</v>
      </c>
    </row>
    <row r="1277" spans="2:19" x14ac:dyDescent="0.2">
      <c r="B1277" s="79">
        <f t="shared" si="255"/>
        <v>530</v>
      </c>
      <c r="C1277" s="4"/>
      <c r="D1277" s="4"/>
      <c r="E1277" s="4"/>
      <c r="F1277" s="56" t="s">
        <v>164</v>
      </c>
      <c r="G1277" s="4">
        <v>633</v>
      </c>
      <c r="H1277" s="4" t="s">
        <v>132</v>
      </c>
      <c r="I1277" s="26">
        <v>100</v>
      </c>
      <c r="J1277" s="26">
        <v>1255</v>
      </c>
      <c r="K1277" s="26">
        <f t="shared" si="253"/>
        <v>1355</v>
      </c>
      <c r="L1277" s="80"/>
      <c r="M1277" s="26"/>
      <c r="N1277" s="26"/>
      <c r="O1277" s="26">
        <f t="shared" si="254"/>
        <v>0</v>
      </c>
      <c r="P1277" s="80"/>
      <c r="Q1277" s="26">
        <f t="shared" si="247"/>
        <v>100</v>
      </c>
      <c r="R1277" s="26">
        <f t="shared" si="248"/>
        <v>1255</v>
      </c>
      <c r="S1277" s="26">
        <f t="shared" si="249"/>
        <v>1355</v>
      </c>
    </row>
    <row r="1278" spans="2:19" x14ac:dyDescent="0.2">
      <c r="B1278" s="79">
        <f t="shared" si="255"/>
        <v>531</v>
      </c>
      <c r="C1278" s="4"/>
      <c r="D1278" s="4"/>
      <c r="E1278" s="4"/>
      <c r="F1278" s="56" t="s">
        <v>164</v>
      </c>
      <c r="G1278" s="4">
        <v>637</v>
      </c>
      <c r="H1278" s="4" t="s">
        <v>129</v>
      </c>
      <c r="I1278" s="26">
        <v>840</v>
      </c>
      <c r="J1278" s="26">
        <v>126</v>
      </c>
      <c r="K1278" s="26">
        <f t="shared" si="253"/>
        <v>966</v>
      </c>
      <c r="L1278" s="80"/>
      <c r="M1278" s="26"/>
      <c r="N1278" s="26"/>
      <c r="O1278" s="26">
        <f t="shared" si="254"/>
        <v>0</v>
      </c>
      <c r="P1278" s="80"/>
      <c r="Q1278" s="26">
        <f t="shared" si="247"/>
        <v>840</v>
      </c>
      <c r="R1278" s="26">
        <f t="shared" si="248"/>
        <v>126</v>
      </c>
      <c r="S1278" s="26">
        <f t="shared" si="249"/>
        <v>966</v>
      </c>
    </row>
    <row r="1279" spans="2:19" x14ac:dyDescent="0.2">
      <c r="B1279" s="79">
        <f t="shared" si="255"/>
        <v>532</v>
      </c>
      <c r="C1279" s="4"/>
      <c r="D1279" s="4"/>
      <c r="E1279" s="4"/>
      <c r="F1279" s="55" t="s">
        <v>164</v>
      </c>
      <c r="G1279" s="15">
        <v>640</v>
      </c>
      <c r="H1279" s="15" t="s">
        <v>135</v>
      </c>
      <c r="I1279" s="52">
        <v>0</v>
      </c>
      <c r="J1279" s="52">
        <v>210</v>
      </c>
      <c r="K1279" s="52">
        <f t="shared" si="253"/>
        <v>210</v>
      </c>
      <c r="L1279" s="126"/>
      <c r="M1279" s="52"/>
      <c r="N1279" s="52"/>
      <c r="O1279" s="52">
        <f t="shared" si="254"/>
        <v>0</v>
      </c>
      <c r="P1279" s="126"/>
      <c r="Q1279" s="52">
        <f t="shared" ref="Q1279" si="256">M1279+I1279</f>
        <v>0</v>
      </c>
      <c r="R1279" s="52">
        <f t="shared" ref="R1279" si="257">N1279+J1279</f>
        <v>210</v>
      </c>
      <c r="S1279" s="52">
        <f t="shared" ref="S1279" si="258">O1279+K1279</f>
        <v>210</v>
      </c>
    </row>
    <row r="1280" spans="2:19" ht="15" x14ac:dyDescent="0.25">
      <c r="B1280" s="79">
        <f t="shared" si="255"/>
        <v>533</v>
      </c>
      <c r="C1280" s="18"/>
      <c r="D1280" s="18"/>
      <c r="E1280" s="18">
        <v>10</v>
      </c>
      <c r="F1280" s="53"/>
      <c r="G1280" s="18"/>
      <c r="H1280" s="18" t="s">
        <v>256</v>
      </c>
      <c r="I1280" s="50">
        <f>I1281+I1282+I1283+I1287</f>
        <v>41172</v>
      </c>
      <c r="J1280" s="50">
        <f>J1281+J1282+J1283+J1287</f>
        <v>1351</v>
      </c>
      <c r="K1280" s="50">
        <f t="shared" si="253"/>
        <v>42523</v>
      </c>
      <c r="L1280" s="203"/>
      <c r="M1280" s="50">
        <f>M1281+M1282+M1283+M1287</f>
        <v>0</v>
      </c>
      <c r="N1280" s="50">
        <f>N1281+N1282+N1283+N1287</f>
        <v>0</v>
      </c>
      <c r="O1280" s="50">
        <f t="shared" si="254"/>
        <v>0</v>
      </c>
      <c r="P1280" s="203"/>
      <c r="Q1280" s="50">
        <f t="shared" si="247"/>
        <v>41172</v>
      </c>
      <c r="R1280" s="50">
        <f t="shared" si="248"/>
        <v>1351</v>
      </c>
      <c r="S1280" s="50">
        <f t="shared" si="249"/>
        <v>42523</v>
      </c>
    </row>
    <row r="1281" spans="2:19" x14ac:dyDescent="0.2">
      <c r="B1281" s="79">
        <f t="shared" si="255"/>
        <v>534</v>
      </c>
      <c r="C1281" s="15"/>
      <c r="D1281" s="15"/>
      <c r="E1281" s="15"/>
      <c r="F1281" s="55" t="s">
        <v>164</v>
      </c>
      <c r="G1281" s="15">
        <v>610</v>
      </c>
      <c r="H1281" s="15" t="s">
        <v>136</v>
      </c>
      <c r="I1281" s="52">
        <f>25358+2070</f>
        <v>27428</v>
      </c>
      <c r="J1281" s="52">
        <v>319</v>
      </c>
      <c r="K1281" s="52">
        <f t="shared" si="253"/>
        <v>27747</v>
      </c>
      <c r="L1281" s="126"/>
      <c r="M1281" s="52"/>
      <c r="N1281" s="52"/>
      <c r="O1281" s="52">
        <f t="shared" si="254"/>
        <v>0</v>
      </c>
      <c r="P1281" s="126"/>
      <c r="Q1281" s="52">
        <f t="shared" si="247"/>
        <v>27428</v>
      </c>
      <c r="R1281" s="52">
        <f t="shared" si="248"/>
        <v>319</v>
      </c>
      <c r="S1281" s="52">
        <f t="shared" si="249"/>
        <v>27747</v>
      </c>
    </row>
    <row r="1282" spans="2:19" x14ac:dyDescent="0.2">
      <c r="B1282" s="79">
        <f t="shared" si="255"/>
        <v>535</v>
      </c>
      <c r="C1282" s="15"/>
      <c r="D1282" s="15"/>
      <c r="E1282" s="15"/>
      <c r="F1282" s="55" t="s">
        <v>164</v>
      </c>
      <c r="G1282" s="15">
        <v>620</v>
      </c>
      <c r="H1282" s="15" t="s">
        <v>131</v>
      </c>
      <c r="I1282" s="52">
        <f>8859+725</f>
        <v>9584</v>
      </c>
      <c r="J1282" s="52">
        <v>-169</v>
      </c>
      <c r="K1282" s="52">
        <f t="shared" si="253"/>
        <v>9415</v>
      </c>
      <c r="L1282" s="126"/>
      <c r="M1282" s="52"/>
      <c r="N1282" s="52"/>
      <c r="O1282" s="52">
        <f t="shared" si="254"/>
        <v>0</v>
      </c>
      <c r="P1282" s="126"/>
      <c r="Q1282" s="52">
        <f t="shared" si="247"/>
        <v>9584</v>
      </c>
      <c r="R1282" s="52">
        <f t="shared" si="248"/>
        <v>-169</v>
      </c>
      <c r="S1282" s="52">
        <f t="shared" si="249"/>
        <v>9415</v>
      </c>
    </row>
    <row r="1283" spans="2:19" x14ac:dyDescent="0.2">
      <c r="B1283" s="79">
        <f t="shared" si="255"/>
        <v>536</v>
      </c>
      <c r="C1283" s="15"/>
      <c r="D1283" s="15"/>
      <c r="E1283" s="15"/>
      <c r="F1283" s="55" t="s">
        <v>164</v>
      </c>
      <c r="G1283" s="15">
        <v>630</v>
      </c>
      <c r="H1283" s="15" t="s">
        <v>128</v>
      </c>
      <c r="I1283" s="52">
        <f>I1286+I1285+I1284</f>
        <v>4010</v>
      </c>
      <c r="J1283" s="52">
        <f>J1286+J1285+J1284</f>
        <v>1351</v>
      </c>
      <c r="K1283" s="52">
        <f t="shared" si="253"/>
        <v>5361</v>
      </c>
      <c r="L1283" s="126"/>
      <c r="M1283" s="52">
        <f>M1286+M1285+M1284</f>
        <v>0</v>
      </c>
      <c r="N1283" s="52">
        <f>N1286+N1285+N1284</f>
        <v>0</v>
      </c>
      <c r="O1283" s="52">
        <f t="shared" si="254"/>
        <v>0</v>
      </c>
      <c r="P1283" s="126"/>
      <c r="Q1283" s="52">
        <f t="shared" si="247"/>
        <v>4010</v>
      </c>
      <c r="R1283" s="52">
        <f t="shared" si="248"/>
        <v>1351</v>
      </c>
      <c r="S1283" s="52">
        <f t="shared" si="249"/>
        <v>5361</v>
      </c>
    </row>
    <row r="1284" spans="2:19" x14ac:dyDescent="0.2">
      <c r="B1284" s="79">
        <f t="shared" si="255"/>
        <v>537</v>
      </c>
      <c r="C1284" s="4"/>
      <c r="D1284" s="4"/>
      <c r="E1284" s="4"/>
      <c r="F1284" s="56" t="s">
        <v>164</v>
      </c>
      <c r="G1284" s="4">
        <v>632</v>
      </c>
      <c r="H1284" s="4" t="s">
        <v>139</v>
      </c>
      <c r="I1284" s="26">
        <v>1560</v>
      </c>
      <c r="J1284" s="26"/>
      <c r="K1284" s="26">
        <f t="shared" si="253"/>
        <v>1560</v>
      </c>
      <c r="L1284" s="80"/>
      <c r="M1284" s="26"/>
      <c r="N1284" s="26"/>
      <c r="O1284" s="26">
        <f t="shared" si="254"/>
        <v>0</v>
      </c>
      <c r="P1284" s="80"/>
      <c r="Q1284" s="26">
        <f t="shared" si="247"/>
        <v>1560</v>
      </c>
      <c r="R1284" s="26">
        <f t="shared" si="248"/>
        <v>0</v>
      </c>
      <c r="S1284" s="26">
        <f t="shared" si="249"/>
        <v>1560</v>
      </c>
    </row>
    <row r="1285" spans="2:19" x14ac:dyDescent="0.2">
      <c r="B1285" s="79">
        <f t="shared" si="255"/>
        <v>538</v>
      </c>
      <c r="C1285" s="4"/>
      <c r="D1285" s="4"/>
      <c r="E1285" s="4"/>
      <c r="F1285" s="56" t="s">
        <v>164</v>
      </c>
      <c r="G1285" s="4">
        <v>633</v>
      </c>
      <c r="H1285" s="4" t="s">
        <v>132</v>
      </c>
      <c r="I1285" s="26">
        <v>760</v>
      </c>
      <c r="J1285" s="26">
        <v>1071</v>
      </c>
      <c r="K1285" s="26">
        <f t="shared" si="253"/>
        <v>1831</v>
      </c>
      <c r="L1285" s="80"/>
      <c r="M1285" s="26"/>
      <c r="N1285" s="26"/>
      <c r="O1285" s="26">
        <f t="shared" si="254"/>
        <v>0</v>
      </c>
      <c r="P1285" s="80"/>
      <c r="Q1285" s="26">
        <f t="shared" si="247"/>
        <v>760</v>
      </c>
      <c r="R1285" s="26">
        <f t="shared" si="248"/>
        <v>1071</v>
      </c>
      <c r="S1285" s="26">
        <f t="shared" si="249"/>
        <v>1831</v>
      </c>
    </row>
    <row r="1286" spans="2:19" x14ac:dyDescent="0.2">
      <c r="B1286" s="79">
        <f t="shared" si="255"/>
        <v>539</v>
      </c>
      <c r="C1286" s="4"/>
      <c r="D1286" s="4"/>
      <c r="E1286" s="4"/>
      <c r="F1286" s="56" t="s">
        <v>164</v>
      </c>
      <c r="G1286" s="4">
        <v>637</v>
      </c>
      <c r="H1286" s="4" t="s">
        <v>129</v>
      </c>
      <c r="I1286" s="26">
        <v>1690</v>
      </c>
      <c r="J1286" s="26">
        <v>280</v>
      </c>
      <c r="K1286" s="26">
        <f t="shared" si="253"/>
        <v>1970</v>
      </c>
      <c r="L1286" s="80"/>
      <c r="M1286" s="26"/>
      <c r="N1286" s="26"/>
      <c r="O1286" s="26">
        <f t="shared" si="254"/>
        <v>0</v>
      </c>
      <c r="P1286" s="80"/>
      <c r="Q1286" s="26">
        <f t="shared" si="247"/>
        <v>1690</v>
      </c>
      <c r="R1286" s="26">
        <f t="shared" si="248"/>
        <v>280</v>
      </c>
      <c r="S1286" s="26">
        <f t="shared" si="249"/>
        <v>1970</v>
      </c>
    </row>
    <row r="1287" spans="2:19" x14ac:dyDescent="0.2">
      <c r="B1287" s="79">
        <f t="shared" si="255"/>
        <v>540</v>
      </c>
      <c r="C1287" s="15"/>
      <c r="D1287" s="15"/>
      <c r="E1287" s="15"/>
      <c r="F1287" s="55" t="s">
        <v>164</v>
      </c>
      <c r="G1287" s="15">
        <v>640</v>
      </c>
      <c r="H1287" s="15" t="s">
        <v>135</v>
      </c>
      <c r="I1287" s="52">
        <v>150</v>
      </c>
      <c r="J1287" s="52">
        <v>-150</v>
      </c>
      <c r="K1287" s="52">
        <f t="shared" si="253"/>
        <v>0</v>
      </c>
      <c r="L1287" s="126"/>
      <c r="M1287" s="52"/>
      <c r="N1287" s="52"/>
      <c r="O1287" s="52">
        <f t="shared" si="254"/>
        <v>0</v>
      </c>
      <c r="P1287" s="126"/>
      <c r="Q1287" s="52">
        <f t="shared" si="247"/>
        <v>150</v>
      </c>
      <c r="R1287" s="52">
        <f t="shared" si="248"/>
        <v>-150</v>
      </c>
      <c r="S1287" s="52">
        <f t="shared" si="249"/>
        <v>0</v>
      </c>
    </row>
    <row r="1288" spans="2:19" ht="15" x14ac:dyDescent="0.25">
      <c r="B1288" s="79">
        <f t="shared" ref="B1288:B1338" si="259">B1287+1</f>
        <v>541</v>
      </c>
      <c r="C1288" s="18"/>
      <c r="D1288" s="18"/>
      <c r="E1288" s="18">
        <v>11</v>
      </c>
      <c r="F1288" s="53"/>
      <c r="G1288" s="18"/>
      <c r="H1288" s="18" t="s">
        <v>273</v>
      </c>
      <c r="I1288" s="50">
        <f>I1289+I1290+I1291+I1295</f>
        <v>101110</v>
      </c>
      <c r="J1288" s="50">
        <f>J1289+J1290+J1291+J1295</f>
        <v>1755</v>
      </c>
      <c r="K1288" s="50">
        <f t="shared" si="253"/>
        <v>102865</v>
      </c>
      <c r="L1288" s="203"/>
      <c r="M1288" s="50">
        <f>M1289+M1290+M1291+M1295</f>
        <v>0</v>
      </c>
      <c r="N1288" s="50">
        <f>N1289+N1290+N1291+N1295</f>
        <v>0</v>
      </c>
      <c r="O1288" s="50">
        <f t="shared" si="254"/>
        <v>0</v>
      </c>
      <c r="P1288" s="203"/>
      <c r="Q1288" s="50">
        <f t="shared" si="247"/>
        <v>101110</v>
      </c>
      <c r="R1288" s="50">
        <f t="shared" si="248"/>
        <v>1755</v>
      </c>
      <c r="S1288" s="50">
        <f t="shared" si="249"/>
        <v>102865</v>
      </c>
    </row>
    <row r="1289" spans="2:19" x14ac:dyDescent="0.2">
      <c r="B1289" s="79">
        <f t="shared" si="259"/>
        <v>542</v>
      </c>
      <c r="C1289" s="15"/>
      <c r="D1289" s="15"/>
      <c r="E1289" s="15"/>
      <c r="F1289" s="55" t="s">
        <v>164</v>
      </c>
      <c r="G1289" s="15">
        <v>610</v>
      </c>
      <c r="H1289" s="15" t="s">
        <v>136</v>
      </c>
      <c r="I1289" s="52">
        <f>73300-7000</f>
        <v>66300</v>
      </c>
      <c r="J1289" s="52">
        <v>500</v>
      </c>
      <c r="K1289" s="52">
        <f t="shared" si="253"/>
        <v>66800</v>
      </c>
      <c r="L1289" s="126"/>
      <c r="M1289" s="52"/>
      <c r="N1289" s="52"/>
      <c r="O1289" s="52">
        <f t="shared" si="254"/>
        <v>0</v>
      </c>
      <c r="P1289" s="126"/>
      <c r="Q1289" s="52">
        <f t="shared" si="247"/>
        <v>66300</v>
      </c>
      <c r="R1289" s="52">
        <f t="shared" si="248"/>
        <v>500</v>
      </c>
      <c r="S1289" s="52">
        <f t="shared" si="249"/>
        <v>66800</v>
      </c>
    </row>
    <row r="1290" spans="2:19" x14ac:dyDescent="0.2">
      <c r="B1290" s="79">
        <f t="shared" si="259"/>
        <v>543</v>
      </c>
      <c r="C1290" s="15"/>
      <c r="D1290" s="15"/>
      <c r="E1290" s="15"/>
      <c r="F1290" s="55" t="s">
        <v>164</v>
      </c>
      <c r="G1290" s="15">
        <v>620</v>
      </c>
      <c r="H1290" s="15" t="s">
        <v>131</v>
      </c>
      <c r="I1290" s="52">
        <f>25633-2000</f>
        <v>23633</v>
      </c>
      <c r="J1290" s="52">
        <v>-500</v>
      </c>
      <c r="K1290" s="52">
        <f t="shared" si="253"/>
        <v>23133</v>
      </c>
      <c r="L1290" s="126"/>
      <c r="M1290" s="52"/>
      <c r="N1290" s="52"/>
      <c r="O1290" s="52">
        <f t="shared" si="254"/>
        <v>0</v>
      </c>
      <c r="P1290" s="126"/>
      <c r="Q1290" s="52">
        <f t="shared" si="247"/>
        <v>23633</v>
      </c>
      <c r="R1290" s="52">
        <f t="shared" si="248"/>
        <v>-500</v>
      </c>
      <c r="S1290" s="52">
        <f t="shared" si="249"/>
        <v>23133</v>
      </c>
    </row>
    <row r="1291" spans="2:19" x14ac:dyDescent="0.2">
      <c r="B1291" s="79">
        <f t="shared" si="259"/>
        <v>544</v>
      </c>
      <c r="C1291" s="15"/>
      <c r="D1291" s="15"/>
      <c r="E1291" s="15"/>
      <c r="F1291" s="55" t="s">
        <v>164</v>
      </c>
      <c r="G1291" s="15">
        <v>630</v>
      </c>
      <c r="H1291" s="15" t="s">
        <v>128</v>
      </c>
      <c r="I1291" s="52">
        <f>I1294+I1293+I1292</f>
        <v>9506</v>
      </c>
      <c r="J1291" s="52">
        <f>J1294+J1293+J1292</f>
        <v>2748</v>
      </c>
      <c r="K1291" s="52">
        <f t="shared" si="253"/>
        <v>12254</v>
      </c>
      <c r="L1291" s="126"/>
      <c r="M1291" s="52">
        <f>M1294+M1293+M1292</f>
        <v>0</v>
      </c>
      <c r="N1291" s="52">
        <f>N1294+N1293+N1292</f>
        <v>0</v>
      </c>
      <c r="O1291" s="52">
        <f t="shared" si="254"/>
        <v>0</v>
      </c>
      <c r="P1291" s="126"/>
      <c r="Q1291" s="52">
        <f t="shared" si="247"/>
        <v>9506</v>
      </c>
      <c r="R1291" s="52">
        <f t="shared" si="248"/>
        <v>2748</v>
      </c>
      <c r="S1291" s="52">
        <f t="shared" si="249"/>
        <v>12254</v>
      </c>
    </row>
    <row r="1292" spans="2:19" x14ac:dyDescent="0.2">
      <c r="B1292" s="79">
        <f t="shared" si="259"/>
        <v>545</v>
      </c>
      <c r="C1292" s="4"/>
      <c r="D1292" s="4"/>
      <c r="E1292" s="4"/>
      <c r="F1292" s="56" t="s">
        <v>164</v>
      </c>
      <c r="G1292" s="4">
        <v>632</v>
      </c>
      <c r="H1292" s="4" t="s">
        <v>139</v>
      </c>
      <c r="I1292" s="26">
        <v>3631</v>
      </c>
      <c r="J1292" s="26">
        <v>1622</v>
      </c>
      <c r="K1292" s="26">
        <f t="shared" si="253"/>
        <v>5253</v>
      </c>
      <c r="L1292" s="80"/>
      <c r="M1292" s="26"/>
      <c r="N1292" s="26"/>
      <c r="O1292" s="26">
        <f t="shared" si="254"/>
        <v>0</v>
      </c>
      <c r="P1292" s="80"/>
      <c r="Q1292" s="26">
        <f t="shared" si="247"/>
        <v>3631</v>
      </c>
      <c r="R1292" s="26">
        <f t="shared" si="248"/>
        <v>1622</v>
      </c>
      <c r="S1292" s="26">
        <f t="shared" si="249"/>
        <v>5253</v>
      </c>
    </row>
    <row r="1293" spans="2:19" x14ac:dyDescent="0.2">
      <c r="B1293" s="79">
        <f t="shared" si="259"/>
        <v>546</v>
      </c>
      <c r="C1293" s="4"/>
      <c r="D1293" s="4"/>
      <c r="E1293" s="4"/>
      <c r="F1293" s="56" t="s">
        <v>164</v>
      </c>
      <c r="G1293" s="4">
        <v>633</v>
      </c>
      <c r="H1293" s="4" t="s">
        <v>132</v>
      </c>
      <c r="I1293" s="26">
        <f>3978-1000</f>
        <v>2978</v>
      </c>
      <c r="J1293" s="26">
        <v>1486</v>
      </c>
      <c r="K1293" s="26">
        <f t="shared" si="253"/>
        <v>4464</v>
      </c>
      <c r="L1293" s="80"/>
      <c r="M1293" s="26"/>
      <c r="N1293" s="26"/>
      <c r="O1293" s="26">
        <f t="shared" si="254"/>
        <v>0</v>
      </c>
      <c r="P1293" s="80"/>
      <c r="Q1293" s="26">
        <f t="shared" si="247"/>
        <v>2978</v>
      </c>
      <c r="R1293" s="26">
        <f t="shared" si="248"/>
        <v>1486</v>
      </c>
      <c r="S1293" s="26">
        <f t="shared" si="249"/>
        <v>4464</v>
      </c>
    </row>
    <row r="1294" spans="2:19" x14ac:dyDescent="0.2">
      <c r="B1294" s="79">
        <f t="shared" si="259"/>
        <v>547</v>
      </c>
      <c r="C1294" s="4"/>
      <c r="D1294" s="4"/>
      <c r="E1294" s="4"/>
      <c r="F1294" s="56" t="s">
        <v>164</v>
      </c>
      <c r="G1294" s="4">
        <v>637</v>
      </c>
      <c r="H1294" s="4" t="s">
        <v>129</v>
      </c>
      <c r="I1294" s="26">
        <v>2897</v>
      </c>
      <c r="J1294" s="26">
        <v>-360</v>
      </c>
      <c r="K1294" s="26">
        <f t="shared" si="253"/>
        <v>2537</v>
      </c>
      <c r="L1294" s="80"/>
      <c r="M1294" s="26"/>
      <c r="N1294" s="26"/>
      <c r="O1294" s="26">
        <f t="shared" si="254"/>
        <v>0</v>
      </c>
      <c r="P1294" s="80"/>
      <c r="Q1294" s="26">
        <f t="shared" si="247"/>
        <v>2897</v>
      </c>
      <c r="R1294" s="26">
        <f t="shared" si="248"/>
        <v>-360</v>
      </c>
      <c r="S1294" s="26">
        <f t="shared" si="249"/>
        <v>2537</v>
      </c>
    </row>
    <row r="1295" spans="2:19" x14ac:dyDescent="0.2">
      <c r="B1295" s="79">
        <f t="shared" si="259"/>
        <v>548</v>
      </c>
      <c r="C1295" s="15"/>
      <c r="D1295" s="15"/>
      <c r="E1295" s="15"/>
      <c r="F1295" s="55" t="s">
        <v>164</v>
      </c>
      <c r="G1295" s="15">
        <v>640</v>
      </c>
      <c r="H1295" s="15" t="s">
        <v>135</v>
      </c>
      <c r="I1295" s="52">
        <v>1671</v>
      </c>
      <c r="J1295" s="52">
        <v>-993</v>
      </c>
      <c r="K1295" s="52">
        <f t="shared" si="253"/>
        <v>678</v>
      </c>
      <c r="L1295" s="126"/>
      <c r="M1295" s="52"/>
      <c r="N1295" s="52"/>
      <c r="O1295" s="52">
        <f t="shared" si="254"/>
        <v>0</v>
      </c>
      <c r="P1295" s="126"/>
      <c r="Q1295" s="52">
        <f t="shared" si="247"/>
        <v>1671</v>
      </c>
      <c r="R1295" s="52">
        <f t="shared" si="248"/>
        <v>-993</v>
      </c>
      <c r="S1295" s="52">
        <f t="shared" si="249"/>
        <v>678</v>
      </c>
    </row>
    <row r="1296" spans="2:19" ht="15" x14ac:dyDescent="0.25">
      <c r="B1296" s="79">
        <f t="shared" si="259"/>
        <v>549</v>
      </c>
      <c r="C1296" s="18"/>
      <c r="D1296" s="18"/>
      <c r="E1296" s="18">
        <v>12</v>
      </c>
      <c r="F1296" s="53"/>
      <c r="G1296" s="18"/>
      <c r="H1296" s="18" t="s">
        <v>272</v>
      </c>
      <c r="I1296" s="50">
        <f>I1297+I1298+I1299+I1303</f>
        <v>79618</v>
      </c>
      <c r="J1296" s="50">
        <f>J1297+J1298+J1299+J1303</f>
        <v>0</v>
      </c>
      <c r="K1296" s="50">
        <f t="shared" si="253"/>
        <v>79618</v>
      </c>
      <c r="L1296" s="203"/>
      <c r="M1296" s="50">
        <f>M1297+M1298+M1299+M1303</f>
        <v>0</v>
      </c>
      <c r="N1296" s="50">
        <f>N1297+N1298+N1299+N1303</f>
        <v>0</v>
      </c>
      <c r="O1296" s="50">
        <f t="shared" si="254"/>
        <v>0</v>
      </c>
      <c r="P1296" s="203"/>
      <c r="Q1296" s="50">
        <f t="shared" si="247"/>
        <v>79618</v>
      </c>
      <c r="R1296" s="50">
        <f t="shared" si="248"/>
        <v>0</v>
      </c>
      <c r="S1296" s="50">
        <f t="shared" si="249"/>
        <v>79618</v>
      </c>
    </row>
    <row r="1297" spans="2:19" x14ac:dyDescent="0.2">
      <c r="B1297" s="79">
        <f t="shared" si="259"/>
        <v>550</v>
      </c>
      <c r="C1297" s="15"/>
      <c r="D1297" s="15"/>
      <c r="E1297" s="15"/>
      <c r="F1297" s="55" t="s">
        <v>164</v>
      </c>
      <c r="G1297" s="15">
        <v>610</v>
      </c>
      <c r="H1297" s="15" t="s">
        <v>136</v>
      </c>
      <c r="I1297" s="52">
        <f>45536+9552</f>
        <v>55088</v>
      </c>
      <c r="J1297" s="52"/>
      <c r="K1297" s="52">
        <f t="shared" si="253"/>
        <v>55088</v>
      </c>
      <c r="L1297" s="126"/>
      <c r="M1297" s="52"/>
      <c r="N1297" s="52"/>
      <c r="O1297" s="52">
        <f t="shared" si="254"/>
        <v>0</v>
      </c>
      <c r="P1297" s="126"/>
      <c r="Q1297" s="52">
        <f t="shared" si="247"/>
        <v>55088</v>
      </c>
      <c r="R1297" s="52">
        <f t="shared" si="248"/>
        <v>0</v>
      </c>
      <c r="S1297" s="52">
        <f t="shared" si="249"/>
        <v>55088</v>
      </c>
    </row>
    <row r="1298" spans="2:19" x14ac:dyDescent="0.2">
      <c r="B1298" s="79">
        <f t="shared" si="259"/>
        <v>551</v>
      </c>
      <c r="C1298" s="15"/>
      <c r="D1298" s="15"/>
      <c r="E1298" s="15"/>
      <c r="F1298" s="55" t="s">
        <v>164</v>
      </c>
      <c r="G1298" s="15">
        <v>620</v>
      </c>
      <c r="H1298" s="15" t="s">
        <v>131</v>
      </c>
      <c r="I1298" s="52">
        <f>14556+4724</f>
        <v>19280</v>
      </c>
      <c r="J1298" s="52"/>
      <c r="K1298" s="52">
        <f t="shared" si="253"/>
        <v>19280</v>
      </c>
      <c r="L1298" s="126"/>
      <c r="M1298" s="52"/>
      <c r="N1298" s="52"/>
      <c r="O1298" s="52">
        <f t="shared" si="254"/>
        <v>0</v>
      </c>
      <c r="P1298" s="126"/>
      <c r="Q1298" s="52">
        <f t="shared" ref="Q1298:Q1366" si="260">M1298+I1298</f>
        <v>19280</v>
      </c>
      <c r="R1298" s="52">
        <f t="shared" ref="R1298:R1329" si="261">N1298+J1298</f>
        <v>0</v>
      </c>
      <c r="S1298" s="52">
        <f t="shared" ref="S1298:S1329" si="262">O1298+K1298</f>
        <v>19280</v>
      </c>
    </row>
    <row r="1299" spans="2:19" x14ac:dyDescent="0.2">
      <c r="B1299" s="79">
        <f t="shared" si="259"/>
        <v>552</v>
      </c>
      <c r="C1299" s="15"/>
      <c r="D1299" s="15"/>
      <c r="E1299" s="15"/>
      <c r="F1299" s="55" t="s">
        <v>164</v>
      </c>
      <c r="G1299" s="15">
        <v>630</v>
      </c>
      <c r="H1299" s="15" t="s">
        <v>128</v>
      </c>
      <c r="I1299" s="52">
        <f>I1302+I1301+I1300</f>
        <v>2040</v>
      </c>
      <c r="J1299" s="52">
        <f>J1302+J1301+J1300</f>
        <v>0</v>
      </c>
      <c r="K1299" s="52">
        <f t="shared" si="253"/>
        <v>2040</v>
      </c>
      <c r="L1299" s="126"/>
      <c r="M1299" s="52">
        <f>M1302+M1301+M1300</f>
        <v>0</v>
      </c>
      <c r="N1299" s="52">
        <f>N1302+N1301+N1300</f>
        <v>0</v>
      </c>
      <c r="O1299" s="52">
        <f t="shared" si="254"/>
        <v>0</v>
      </c>
      <c r="P1299" s="126"/>
      <c r="Q1299" s="52">
        <f t="shared" si="260"/>
        <v>2040</v>
      </c>
      <c r="R1299" s="52">
        <f t="shared" si="261"/>
        <v>0</v>
      </c>
      <c r="S1299" s="52">
        <f t="shared" si="262"/>
        <v>2040</v>
      </c>
    </row>
    <row r="1300" spans="2:19" x14ac:dyDescent="0.2">
      <c r="B1300" s="79">
        <f t="shared" si="259"/>
        <v>553</v>
      </c>
      <c r="C1300" s="4"/>
      <c r="D1300" s="4"/>
      <c r="E1300" s="4"/>
      <c r="F1300" s="56" t="s">
        <v>164</v>
      </c>
      <c r="G1300" s="4">
        <v>632</v>
      </c>
      <c r="H1300" s="4" t="s">
        <v>139</v>
      </c>
      <c r="I1300" s="26">
        <v>306</v>
      </c>
      <c r="J1300" s="26"/>
      <c r="K1300" s="26">
        <f t="shared" si="253"/>
        <v>306</v>
      </c>
      <c r="L1300" s="80"/>
      <c r="M1300" s="26"/>
      <c r="N1300" s="26"/>
      <c r="O1300" s="26">
        <f t="shared" si="254"/>
        <v>0</v>
      </c>
      <c r="P1300" s="80"/>
      <c r="Q1300" s="26">
        <f t="shared" si="260"/>
        <v>306</v>
      </c>
      <c r="R1300" s="26">
        <f t="shared" si="261"/>
        <v>0</v>
      </c>
      <c r="S1300" s="26">
        <f t="shared" si="262"/>
        <v>306</v>
      </c>
    </row>
    <row r="1301" spans="2:19" x14ac:dyDescent="0.2">
      <c r="B1301" s="79">
        <f t="shared" si="259"/>
        <v>554</v>
      </c>
      <c r="C1301" s="4"/>
      <c r="D1301" s="4"/>
      <c r="E1301" s="4"/>
      <c r="F1301" s="56" t="s">
        <v>164</v>
      </c>
      <c r="G1301" s="4">
        <v>633</v>
      </c>
      <c r="H1301" s="4" t="s">
        <v>132</v>
      </c>
      <c r="I1301" s="26">
        <v>1224</v>
      </c>
      <c r="J1301" s="26"/>
      <c r="K1301" s="26">
        <f t="shared" si="253"/>
        <v>1224</v>
      </c>
      <c r="L1301" s="80"/>
      <c r="M1301" s="26"/>
      <c r="N1301" s="26"/>
      <c r="O1301" s="26">
        <f t="shared" si="254"/>
        <v>0</v>
      </c>
      <c r="P1301" s="80"/>
      <c r="Q1301" s="26">
        <f t="shared" si="260"/>
        <v>1224</v>
      </c>
      <c r="R1301" s="26">
        <f t="shared" si="261"/>
        <v>0</v>
      </c>
      <c r="S1301" s="26">
        <f t="shared" si="262"/>
        <v>1224</v>
      </c>
    </row>
    <row r="1302" spans="2:19" x14ac:dyDescent="0.2">
      <c r="B1302" s="79">
        <f t="shared" si="259"/>
        <v>555</v>
      </c>
      <c r="C1302" s="4"/>
      <c r="D1302" s="4"/>
      <c r="E1302" s="4"/>
      <c r="F1302" s="56" t="s">
        <v>164</v>
      </c>
      <c r="G1302" s="4">
        <v>637</v>
      </c>
      <c r="H1302" s="4" t="s">
        <v>129</v>
      </c>
      <c r="I1302" s="26">
        <v>510</v>
      </c>
      <c r="J1302" s="26"/>
      <c r="K1302" s="26">
        <f t="shared" si="253"/>
        <v>510</v>
      </c>
      <c r="L1302" s="80"/>
      <c r="M1302" s="26"/>
      <c r="N1302" s="26"/>
      <c r="O1302" s="26">
        <f t="shared" si="254"/>
        <v>0</v>
      </c>
      <c r="P1302" s="80"/>
      <c r="Q1302" s="26">
        <f t="shared" si="260"/>
        <v>510</v>
      </c>
      <c r="R1302" s="26">
        <f t="shared" si="261"/>
        <v>0</v>
      </c>
      <c r="S1302" s="26">
        <f t="shared" si="262"/>
        <v>510</v>
      </c>
    </row>
    <row r="1303" spans="2:19" x14ac:dyDescent="0.2">
      <c r="B1303" s="79">
        <f t="shared" si="259"/>
        <v>556</v>
      </c>
      <c r="C1303" s="15"/>
      <c r="D1303" s="15"/>
      <c r="E1303" s="15"/>
      <c r="F1303" s="55" t="s">
        <v>164</v>
      </c>
      <c r="G1303" s="15">
        <v>640</v>
      </c>
      <c r="H1303" s="15" t="s">
        <v>135</v>
      </c>
      <c r="I1303" s="52">
        <v>3210</v>
      </c>
      <c r="J1303" s="52"/>
      <c r="K1303" s="52">
        <f t="shared" si="253"/>
        <v>3210</v>
      </c>
      <c r="L1303" s="126"/>
      <c r="M1303" s="52"/>
      <c r="N1303" s="52"/>
      <c r="O1303" s="52">
        <f t="shared" si="254"/>
        <v>0</v>
      </c>
      <c r="P1303" s="126"/>
      <c r="Q1303" s="52">
        <f t="shared" si="260"/>
        <v>3210</v>
      </c>
      <c r="R1303" s="52">
        <f t="shared" si="261"/>
        <v>0</v>
      </c>
      <c r="S1303" s="52">
        <f t="shared" si="262"/>
        <v>3210</v>
      </c>
    </row>
    <row r="1304" spans="2:19" ht="15" x14ac:dyDescent="0.25">
      <c r="B1304" s="79">
        <f t="shared" si="259"/>
        <v>557</v>
      </c>
      <c r="C1304" s="18"/>
      <c r="D1304" s="18"/>
      <c r="E1304" s="18">
        <v>13</v>
      </c>
      <c r="F1304" s="53"/>
      <c r="G1304" s="18"/>
      <c r="H1304" s="18" t="s">
        <v>255</v>
      </c>
      <c r="I1304" s="50">
        <f>I1305+I1306+I1307+I1311</f>
        <v>37867</v>
      </c>
      <c r="J1304" s="50">
        <f>J1305+J1306+J1307+J1311</f>
        <v>0</v>
      </c>
      <c r="K1304" s="50">
        <f t="shared" si="253"/>
        <v>37867</v>
      </c>
      <c r="L1304" s="203"/>
      <c r="M1304" s="50">
        <f>M1305+M1306+M1307+M1311</f>
        <v>0</v>
      </c>
      <c r="N1304" s="50">
        <f>N1305+N1306+N1307+N1311</f>
        <v>0</v>
      </c>
      <c r="O1304" s="50">
        <f t="shared" si="254"/>
        <v>0</v>
      </c>
      <c r="P1304" s="203"/>
      <c r="Q1304" s="50">
        <f t="shared" si="260"/>
        <v>37867</v>
      </c>
      <c r="R1304" s="50">
        <f t="shared" si="261"/>
        <v>0</v>
      </c>
      <c r="S1304" s="50">
        <f t="shared" si="262"/>
        <v>37867</v>
      </c>
    </row>
    <row r="1305" spans="2:19" x14ac:dyDescent="0.2">
      <c r="B1305" s="79">
        <f t="shared" si="259"/>
        <v>558</v>
      </c>
      <c r="C1305" s="15"/>
      <c r="D1305" s="15"/>
      <c r="E1305" s="15"/>
      <c r="F1305" s="55" t="s">
        <v>164</v>
      </c>
      <c r="G1305" s="15">
        <v>610</v>
      </c>
      <c r="H1305" s="15" t="s">
        <v>136</v>
      </c>
      <c r="I1305" s="52">
        <v>23880</v>
      </c>
      <c r="J1305" s="52"/>
      <c r="K1305" s="52">
        <f t="shared" si="253"/>
        <v>23880</v>
      </c>
      <c r="L1305" s="126"/>
      <c r="M1305" s="52"/>
      <c r="N1305" s="52"/>
      <c r="O1305" s="52">
        <f t="shared" si="254"/>
        <v>0</v>
      </c>
      <c r="P1305" s="126"/>
      <c r="Q1305" s="52">
        <f t="shared" si="260"/>
        <v>23880</v>
      </c>
      <c r="R1305" s="52">
        <f t="shared" si="261"/>
        <v>0</v>
      </c>
      <c r="S1305" s="52">
        <f t="shared" si="262"/>
        <v>23880</v>
      </c>
    </row>
    <row r="1306" spans="2:19" x14ac:dyDescent="0.2">
      <c r="B1306" s="79">
        <f t="shared" si="259"/>
        <v>559</v>
      </c>
      <c r="C1306" s="15"/>
      <c r="D1306" s="15"/>
      <c r="E1306" s="15"/>
      <c r="F1306" s="55" t="s">
        <v>164</v>
      </c>
      <c r="G1306" s="15">
        <v>620</v>
      </c>
      <c r="H1306" s="15" t="s">
        <v>131</v>
      </c>
      <c r="I1306" s="52">
        <v>8348</v>
      </c>
      <c r="J1306" s="52"/>
      <c r="K1306" s="52">
        <f t="shared" si="253"/>
        <v>8348</v>
      </c>
      <c r="L1306" s="126"/>
      <c r="M1306" s="52"/>
      <c r="N1306" s="52"/>
      <c r="O1306" s="52">
        <f t="shared" si="254"/>
        <v>0</v>
      </c>
      <c r="P1306" s="126"/>
      <c r="Q1306" s="52">
        <f t="shared" si="260"/>
        <v>8348</v>
      </c>
      <c r="R1306" s="52">
        <f t="shared" si="261"/>
        <v>0</v>
      </c>
      <c r="S1306" s="52">
        <f t="shared" si="262"/>
        <v>8348</v>
      </c>
    </row>
    <row r="1307" spans="2:19" x14ac:dyDescent="0.2">
      <c r="B1307" s="79">
        <f t="shared" si="259"/>
        <v>560</v>
      </c>
      <c r="C1307" s="15"/>
      <c r="D1307" s="15"/>
      <c r="E1307" s="15"/>
      <c r="F1307" s="55" t="s">
        <v>164</v>
      </c>
      <c r="G1307" s="15">
        <v>630</v>
      </c>
      <c r="H1307" s="15" t="s">
        <v>128</v>
      </c>
      <c r="I1307" s="52">
        <f>I1310+I1309+I1308</f>
        <v>5589</v>
      </c>
      <c r="J1307" s="52">
        <f>J1310+J1309+J1308</f>
        <v>50</v>
      </c>
      <c r="K1307" s="52">
        <f t="shared" si="253"/>
        <v>5639</v>
      </c>
      <c r="L1307" s="126"/>
      <c r="M1307" s="52">
        <f>M1310+M1309+M1308</f>
        <v>0</v>
      </c>
      <c r="N1307" s="52">
        <f>N1310+N1309+N1308</f>
        <v>0</v>
      </c>
      <c r="O1307" s="52">
        <f t="shared" si="254"/>
        <v>0</v>
      </c>
      <c r="P1307" s="126"/>
      <c r="Q1307" s="52">
        <f t="shared" si="260"/>
        <v>5589</v>
      </c>
      <c r="R1307" s="52">
        <f t="shared" si="261"/>
        <v>50</v>
      </c>
      <c r="S1307" s="52">
        <f t="shared" si="262"/>
        <v>5639</v>
      </c>
    </row>
    <row r="1308" spans="2:19" x14ac:dyDescent="0.2">
      <c r="B1308" s="79">
        <f t="shared" si="259"/>
        <v>561</v>
      </c>
      <c r="C1308" s="4"/>
      <c r="D1308" s="4"/>
      <c r="E1308" s="4"/>
      <c r="F1308" s="56" t="s">
        <v>164</v>
      </c>
      <c r="G1308" s="4">
        <v>632</v>
      </c>
      <c r="H1308" s="4" t="s">
        <v>139</v>
      </c>
      <c r="I1308" s="26">
        <v>4865</v>
      </c>
      <c r="J1308" s="26">
        <v>-65</v>
      </c>
      <c r="K1308" s="26">
        <f t="shared" si="253"/>
        <v>4800</v>
      </c>
      <c r="L1308" s="80"/>
      <c r="M1308" s="26"/>
      <c r="N1308" s="26"/>
      <c r="O1308" s="26">
        <f t="shared" si="254"/>
        <v>0</v>
      </c>
      <c r="P1308" s="80"/>
      <c r="Q1308" s="26">
        <f t="shared" si="260"/>
        <v>4865</v>
      </c>
      <c r="R1308" s="26">
        <f t="shared" si="261"/>
        <v>-65</v>
      </c>
      <c r="S1308" s="26">
        <f t="shared" si="262"/>
        <v>4800</v>
      </c>
    </row>
    <row r="1309" spans="2:19" x14ac:dyDescent="0.2">
      <c r="B1309" s="79">
        <f t="shared" si="259"/>
        <v>562</v>
      </c>
      <c r="C1309" s="4"/>
      <c r="D1309" s="4"/>
      <c r="E1309" s="4"/>
      <c r="F1309" s="56" t="s">
        <v>164</v>
      </c>
      <c r="G1309" s="4">
        <v>633</v>
      </c>
      <c r="H1309" s="4" t="s">
        <v>132</v>
      </c>
      <c r="I1309" s="26">
        <v>122</v>
      </c>
      <c r="J1309" s="26">
        <v>65</v>
      </c>
      <c r="K1309" s="26">
        <f t="shared" si="253"/>
        <v>187</v>
      </c>
      <c r="L1309" s="80"/>
      <c r="M1309" s="26"/>
      <c r="N1309" s="26"/>
      <c r="O1309" s="26">
        <f t="shared" si="254"/>
        <v>0</v>
      </c>
      <c r="P1309" s="80"/>
      <c r="Q1309" s="26">
        <f t="shared" si="260"/>
        <v>122</v>
      </c>
      <c r="R1309" s="26">
        <f t="shared" si="261"/>
        <v>65</v>
      </c>
      <c r="S1309" s="26">
        <f t="shared" si="262"/>
        <v>187</v>
      </c>
    </row>
    <row r="1310" spans="2:19" x14ac:dyDescent="0.2">
      <c r="B1310" s="79">
        <f t="shared" si="259"/>
        <v>563</v>
      </c>
      <c r="C1310" s="4"/>
      <c r="D1310" s="4"/>
      <c r="E1310" s="4"/>
      <c r="F1310" s="56" t="s">
        <v>164</v>
      </c>
      <c r="G1310" s="4">
        <v>637</v>
      </c>
      <c r="H1310" s="4" t="s">
        <v>129</v>
      </c>
      <c r="I1310" s="26">
        <v>602</v>
      </c>
      <c r="J1310" s="26">
        <v>50</v>
      </c>
      <c r="K1310" s="26">
        <f t="shared" si="253"/>
        <v>652</v>
      </c>
      <c r="L1310" s="80"/>
      <c r="M1310" s="26"/>
      <c r="N1310" s="26"/>
      <c r="O1310" s="26">
        <f t="shared" si="254"/>
        <v>0</v>
      </c>
      <c r="P1310" s="80"/>
      <c r="Q1310" s="26">
        <f t="shared" si="260"/>
        <v>602</v>
      </c>
      <c r="R1310" s="26">
        <f t="shared" si="261"/>
        <v>50</v>
      </c>
      <c r="S1310" s="26">
        <f t="shared" si="262"/>
        <v>652</v>
      </c>
    </row>
    <row r="1311" spans="2:19" x14ac:dyDescent="0.2">
      <c r="B1311" s="79">
        <f t="shared" si="259"/>
        <v>564</v>
      </c>
      <c r="C1311" s="15"/>
      <c r="D1311" s="15"/>
      <c r="E1311" s="15"/>
      <c r="F1311" s="55" t="s">
        <v>164</v>
      </c>
      <c r="G1311" s="15">
        <v>640</v>
      </c>
      <c r="H1311" s="15" t="s">
        <v>135</v>
      </c>
      <c r="I1311" s="52">
        <v>50</v>
      </c>
      <c r="J1311" s="52">
        <v>-50</v>
      </c>
      <c r="K1311" s="52">
        <f t="shared" si="253"/>
        <v>0</v>
      </c>
      <c r="L1311" s="126"/>
      <c r="M1311" s="52"/>
      <c r="N1311" s="52"/>
      <c r="O1311" s="52">
        <f t="shared" si="254"/>
        <v>0</v>
      </c>
      <c r="P1311" s="126"/>
      <c r="Q1311" s="52">
        <f t="shared" si="260"/>
        <v>50</v>
      </c>
      <c r="R1311" s="52">
        <f t="shared" si="261"/>
        <v>-50</v>
      </c>
      <c r="S1311" s="52">
        <f t="shared" si="262"/>
        <v>0</v>
      </c>
    </row>
    <row r="1312" spans="2:19" ht="15" x14ac:dyDescent="0.25">
      <c r="B1312" s="79">
        <f t="shared" si="259"/>
        <v>565</v>
      </c>
      <c r="C1312" s="18"/>
      <c r="D1312" s="18"/>
      <c r="E1312" s="18">
        <v>14</v>
      </c>
      <c r="F1312" s="53"/>
      <c r="G1312" s="18"/>
      <c r="H1312" s="18" t="s">
        <v>265</v>
      </c>
      <c r="I1312" s="50">
        <f>I1313+I1314+I1315+I1322</f>
        <v>846796</v>
      </c>
      <c r="J1312" s="50">
        <f>J1313+J1314+J1315+J1322</f>
        <v>2910</v>
      </c>
      <c r="K1312" s="50">
        <f t="shared" si="253"/>
        <v>849706</v>
      </c>
      <c r="L1312" s="203"/>
      <c r="M1312" s="50">
        <f>M1323</f>
        <v>4000</v>
      </c>
      <c r="N1312" s="50">
        <f>N1323</f>
        <v>0</v>
      </c>
      <c r="O1312" s="50">
        <f t="shared" si="254"/>
        <v>4000</v>
      </c>
      <c r="P1312" s="203"/>
      <c r="Q1312" s="50">
        <f t="shared" si="260"/>
        <v>850796</v>
      </c>
      <c r="R1312" s="50">
        <f t="shared" si="261"/>
        <v>2910</v>
      </c>
      <c r="S1312" s="50">
        <f t="shared" si="262"/>
        <v>853706</v>
      </c>
    </row>
    <row r="1313" spans="2:19" x14ac:dyDescent="0.2">
      <c r="B1313" s="79">
        <f t="shared" si="259"/>
        <v>566</v>
      </c>
      <c r="C1313" s="15"/>
      <c r="D1313" s="15"/>
      <c r="E1313" s="15"/>
      <c r="F1313" s="55" t="s">
        <v>164</v>
      </c>
      <c r="G1313" s="15">
        <v>610</v>
      </c>
      <c r="H1313" s="15" t="s">
        <v>136</v>
      </c>
      <c r="I1313" s="52">
        <v>547819</v>
      </c>
      <c r="J1313" s="52">
        <v>16000</v>
      </c>
      <c r="K1313" s="52">
        <f t="shared" si="253"/>
        <v>563819</v>
      </c>
      <c r="L1313" s="126"/>
      <c r="M1313" s="52"/>
      <c r="N1313" s="52"/>
      <c r="O1313" s="52">
        <f t="shared" si="254"/>
        <v>0</v>
      </c>
      <c r="P1313" s="126"/>
      <c r="Q1313" s="52">
        <f t="shared" si="260"/>
        <v>547819</v>
      </c>
      <c r="R1313" s="52">
        <f t="shared" si="261"/>
        <v>16000</v>
      </c>
      <c r="S1313" s="52">
        <f t="shared" si="262"/>
        <v>563819</v>
      </c>
    </row>
    <row r="1314" spans="2:19" x14ac:dyDescent="0.2">
      <c r="B1314" s="79">
        <f t="shared" si="259"/>
        <v>567</v>
      </c>
      <c r="C1314" s="15"/>
      <c r="D1314" s="15"/>
      <c r="E1314" s="15"/>
      <c r="F1314" s="55" t="s">
        <v>164</v>
      </c>
      <c r="G1314" s="15">
        <v>620</v>
      </c>
      <c r="H1314" s="15" t="s">
        <v>131</v>
      </c>
      <c r="I1314" s="52">
        <v>191327</v>
      </c>
      <c r="J1314" s="52">
        <v>5194</v>
      </c>
      <c r="K1314" s="52">
        <f t="shared" si="253"/>
        <v>196521</v>
      </c>
      <c r="L1314" s="126"/>
      <c r="M1314" s="52"/>
      <c r="N1314" s="52"/>
      <c r="O1314" s="52">
        <f t="shared" si="254"/>
        <v>0</v>
      </c>
      <c r="P1314" s="126"/>
      <c r="Q1314" s="52">
        <f t="shared" si="260"/>
        <v>191327</v>
      </c>
      <c r="R1314" s="52">
        <f t="shared" si="261"/>
        <v>5194</v>
      </c>
      <c r="S1314" s="52">
        <f t="shared" si="262"/>
        <v>196521</v>
      </c>
    </row>
    <row r="1315" spans="2:19" x14ac:dyDescent="0.2">
      <c r="B1315" s="79">
        <f t="shared" si="259"/>
        <v>568</v>
      </c>
      <c r="C1315" s="15"/>
      <c r="D1315" s="15"/>
      <c r="E1315" s="15"/>
      <c r="F1315" s="55" t="s">
        <v>164</v>
      </c>
      <c r="G1315" s="15">
        <v>630</v>
      </c>
      <c r="H1315" s="15" t="s">
        <v>128</v>
      </c>
      <c r="I1315" s="52">
        <f>I1321+I1320+I1319+I1318+I1317+I1316</f>
        <v>97370</v>
      </c>
      <c r="J1315" s="52">
        <f>J1321+J1320+J1319+J1318+J1317+J1316</f>
        <v>-12823</v>
      </c>
      <c r="K1315" s="52">
        <f t="shared" si="253"/>
        <v>84547</v>
      </c>
      <c r="L1315" s="126"/>
      <c r="M1315" s="52">
        <f>M1321+M1320+M1319+M1318+M1317+M1316</f>
        <v>0</v>
      </c>
      <c r="N1315" s="52">
        <f>N1321+N1320+N1319+N1318+N1317+N1316</f>
        <v>0</v>
      </c>
      <c r="O1315" s="52">
        <f t="shared" si="254"/>
        <v>0</v>
      </c>
      <c r="P1315" s="126"/>
      <c r="Q1315" s="52">
        <f t="shared" si="260"/>
        <v>97370</v>
      </c>
      <c r="R1315" s="52">
        <f t="shared" si="261"/>
        <v>-12823</v>
      </c>
      <c r="S1315" s="52">
        <f t="shared" si="262"/>
        <v>84547</v>
      </c>
    </row>
    <row r="1316" spans="2:19" x14ac:dyDescent="0.2">
      <c r="B1316" s="79">
        <f t="shared" si="259"/>
        <v>569</v>
      </c>
      <c r="C1316" s="4"/>
      <c r="D1316" s="4"/>
      <c r="E1316" s="4"/>
      <c r="F1316" s="56" t="s">
        <v>164</v>
      </c>
      <c r="G1316" s="4">
        <v>631</v>
      </c>
      <c r="H1316" s="4" t="s">
        <v>134</v>
      </c>
      <c r="I1316" s="26">
        <v>408</v>
      </c>
      <c r="J1316" s="26">
        <v>-108</v>
      </c>
      <c r="K1316" s="26">
        <f t="shared" si="253"/>
        <v>300</v>
      </c>
      <c r="L1316" s="80"/>
      <c r="M1316" s="26"/>
      <c r="N1316" s="26"/>
      <c r="O1316" s="26">
        <f t="shared" si="254"/>
        <v>0</v>
      </c>
      <c r="P1316" s="80"/>
      <c r="Q1316" s="26">
        <f t="shared" si="260"/>
        <v>408</v>
      </c>
      <c r="R1316" s="26">
        <f t="shared" si="261"/>
        <v>-108</v>
      </c>
      <c r="S1316" s="26">
        <f t="shared" si="262"/>
        <v>300</v>
      </c>
    </row>
    <row r="1317" spans="2:19" x14ac:dyDescent="0.2">
      <c r="B1317" s="79">
        <f t="shared" si="259"/>
        <v>570</v>
      </c>
      <c r="C1317" s="4"/>
      <c r="D1317" s="4"/>
      <c r="E1317" s="4"/>
      <c r="F1317" s="56" t="s">
        <v>164</v>
      </c>
      <c r="G1317" s="4">
        <v>632</v>
      </c>
      <c r="H1317" s="4" t="s">
        <v>139</v>
      </c>
      <c r="I1317" s="26">
        <v>40066</v>
      </c>
      <c r="J1317" s="26">
        <v>-16466</v>
      </c>
      <c r="K1317" s="26">
        <f t="shared" si="253"/>
        <v>23600</v>
      </c>
      <c r="L1317" s="80"/>
      <c r="M1317" s="26"/>
      <c r="N1317" s="26"/>
      <c r="O1317" s="26">
        <f t="shared" si="254"/>
        <v>0</v>
      </c>
      <c r="P1317" s="80"/>
      <c r="Q1317" s="26">
        <f t="shared" si="260"/>
        <v>40066</v>
      </c>
      <c r="R1317" s="26">
        <f t="shared" si="261"/>
        <v>-16466</v>
      </c>
      <c r="S1317" s="26">
        <f t="shared" si="262"/>
        <v>23600</v>
      </c>
    </row>
    <row r="1318" spans="2:19" x14ac:dyDescent="0.2">
      <c r="B1318" s="79">
        <f t="shared" si="259"/>
        <v>571</v>
      </c>
      <c r="C1318" s="4"/>
      <c r="D1318" s="4"/>
      <c r="E1318" s="4"/>
      <c r="F1318" s="56" t="s">
        <v>164</v>
      </c>
      <c r="G1318" s="4">
        <v>633</v>
      </c>
      <c r="H1318" s="4" t="s">
        <v>132</v>
      </c>
      <c r="I1318" s="26">
        <v>16035</v>
      </c>
      <c r="J1318" s="26">
        <v>-535</v>
      </c>
      <c r="K1318" s="26">
        <f t="shared" si="253"/>
        <v>15500</v>
      </c>
      <c r="L1318" s="80"/>
      <c r="M1318" s="26"/>
      <c r="N1318" s="26"/>
      <c r="O1318" s="26">
        <f t="shared" si="254"/>
        <v>0</v>
      </c>
      <c r="P1318" s="80"/>
      <c r="Q1318" s="26">
        <f t="shared" si="260"/>
        <v>16035</v>
      </c>
      <c r="R1318" s="26">
        <f t="shared" si="261"/>
        <v>-535</v>
      </c>
      <c r="S1318" s="26">
        <f t="shared" si="262"/>
        <v>15500</v>
      </c>
    </row>
    <row r="1319" spans="2:19" x14ac:dyDescent="0.2">
      <c r="B1319" s="79">
        <f t="shared" si="259"/>
        <v>572</v>
      </c>
      <c r="C1319" s="4"/>
      <c r="D1319" s="4"/>
      <c r="E1319" s="4"/>
      <c r="F1319" s="56" t="s">
        <v>164</v>
      </c>
      <c r="G1319" s="4">
        <v>635</v>
      </c>
      <c r="H1319" s="4" t="s">
        <v>138</v>
      </c>
      <c r="I1319" s="26">
        <v>4733</v>
      </c>
      <c r="J1319" s="26">
        <v>-2033</v>
      </c>
      <c r="K1319" s="26">
        <f t="shared" si="253"/>
        <v>2700</v>
      </c>
      <c r="L1319" s="80"/>
      <c r="M1319" s="26"/>
      <c r="N1319" s="26"/>
      <c r="O1319" s="26">
        <f t="shared" si="254"/>
        <v>0</v>
      </c>
      <c r="P1319" s="80"/>
      <c r="Q1319" s="26">
        <f t="shared" si="260"/>
        <v>4733</v>
      </c>
      <c r="R1319" s="26">
        <f t="shared" si="261"/>
        <v>-2033</v>
      </c>
      <c r="S1319" s="26">
        <f t="shared" si="262"/>
        <v>2700</v>
      </c>
    </row>
    <row r="1320" spans="2:19" x14ac:dyDescent="0.2">
      <c r="B1320" s="79">
        <f t="shared" si="259"/>
        <v>573</v>
      </c>
      <c r="C1320" s="4"/>
      <c r="D1320" s="4"/>
      <c r="E1320" s="4"/>
      <c r="F1320" s="56" t="s">
        <v>164</v>
      </c>
      <c r="G1320" s="4">
        <v>636</v>
      </c>
      <c r="H1320" s="4" t="s">
        <v>133</v>
      </c>
      <c r="I1320" s="26">
        <v>102</v>
      </c>
      <c r="J1320" s="26">
        <v>-35</v>
      </c>
      <c r="K1320" s="26">
        <f t="shared" si="253"/>
        <v>67</v>
      </c>
      <c r="L1320" s="80"/>
      <c r="M1320" s="26"/>
      <c r="N1320" s="26"/>
      <c r="O1320" s="26">
        <f t="shared" si="254"/>
        <v>0</v>
      </c>
      <c r="P1320" s="80"/>
      <c r="Q1320" s="26">
        <f t="shared" si="260"/>
        <v>102</v>
      </c>
      <c r="R1320" s="26">
        <f t="shared" si="261"/>
        <v>-35</v>
      </c>
      <c r="S1320" s="26">
        <f t="shared" si="262"/>
        <v>67</v>
      </c>
    </row>
    <row r="1321" spans="2:19" x14ac:dyDescent="0.2">
      <c r="B1321" s="79">
        <f t="shared" si="259"/>
        <v>574</v>
      </c>
      <c r="C1321" s="4"/>
      <c r="D1321" s="4"/>
      <c r="E1321" s="4"/>
      <c r="F1321" s="56" t="s">
        <v>164</v>
      </c>
      <c r="G1321" s="4">
        <v>637</v>
      </c>
      <c r="H1321" s="4" t="s">
        <v>129</v>
      </c>
      <c r="I1321" s="26">
        <v>36026</v>
      </c>
      <c r="J1321" s="26">
        <v>6354</v>
      </c>
      <c r="K1321" s="26">
        <f t="shared" si="253"/>
        <v>42380</v>
      </c>
      <c r="L1321" s="80"/>
      <c r="M1321" s="26"/>
      <c r="N1321" s="26"/>
      <c r="O1321" s="26">
        <f t="shared" si="254"/>
        <v>0</v>
      </c>
      <c r="P1321" s="80"/>
      <c r="Q1321" s="26">
        <f t="shared" si="260"/>
        <v>36026</v>
      </c>
      <c r="R1321" s="26">
        <f t="shared" si="261"/>
        <v>6354</v>
      </c>
      <c r="S1321" s="26">
        <f t="shared" si="262"/>
        <v>42380</v>
      </c>
    </row>
    <row r="1322" spans="2:19" x14ac:dyDescent="0.2">
      <c r="B1322" s="79">
        <f t="shared" si="259"/>
        <v>575</v>
      </c>
      <c r="C1322" s="15"/>
      <c r="D1322" s="15"/>
      <c r="E1322" s="15"/>
      <c r="F1322" s="55" t="s">
        <v>164</v>
      </c>
      <c r="G1322" s="15">
        <v>640</v>
      </c>
      <c r="H1322" s="15" t="s">
        <v>135</v>
      </c>
      <c r="I1322" s="52">
        <f>6630+3650</f>
        <v>10280</v>
      </c>
      <c r="J1322" s="52">
        <v>-5461</v>
      </c>
      <c r="K1322" s="52">
        <f t="shared" si="253"/>
        <v>4819</v>
      </c>
      <c r="L1322" s="126"/>
      <c r="M1322" s="52"/>
      <c r="N1322" s="52"/>
      <c r="O1322" s="52">
        <f t="shared" si="254"/>
        <v>0</v>
      </c>
      <c r="P1322" s="126"/>
      <c r="Q1322" s="52">
        <f t="shared" si="260"/>
        <v>10280</v>
      </c>
      <c r="R1322" s="52">
        <f t="shared" si="261"/>
        <v>-5461</v>
      </c>
      <c r="S1322" s="52">
        <f t="shared" si="262"/>
        <v>4819</v>
      </c>
    </row>
    <row r="1323" spans="2:19" x14ac:dyDescent="0.2">
      <c r="B1323" s="79">
        <f t="shared" si="259"/>
        <v>576</v>
      </c>
      <c r="C1323" s="15"/>
      <c r="D1323" s="15"/>
      <c r="E1323" s="15"/>
      <c r="F1323" s="89" t="s">
        <v>164</v>
      </c>
      <c r="G1323" s="90">
        <v>717</v>
      </c>
      <c r="H1323" s="90" t="s">
        <v>194</v>
      </c>
      <c r="I1323" s="91"/>
      <c r="J1323" s="91"/>
      <c r="K1323" s="91">
        <f t="shared" si="253"/>
        <v>0</v>
      </c>
      <c r="L1323" s="80"/>
      <c r="M1323" s="91">
        <f>M1324</f>
        <v>4000</v>
      </c>
      <c r="N1323" s="91">
        <f>N1324</f>
        <v>0</v>
      </c>
      <c r="O1323" s="91">
        <f t="shared" si="254"/>
        <v>4000</v>
      </c>
      <c r="P1323" s="80"/>
      <c r="Q1323" s="91">
        <f t="shared" si="260"/>
        <v>4000</v>
      </c>
      <c r="R1323" s="91">
        <f t="shared" si="261"/>
        <v>0</v>
      </c>
      <c r="S1323" s="91">
        <f t="shared" si="262"/>
        <v>4000</v>
      </c>
    </row>
    <row r="1324" spans="2:19" x14ac:dyDescent="0.2">
      <c r="B1324" s="79">
        <f t="shared" si="259"/>
        <v>577</v>
      </c>
      <c r="C1324" s="15"/>
      <c r="D1324" s="15"/>
      <c r="E1324" s="15"/>
      <c r="F1324" s="68" t="s">
        <v>164</v>
      </c>
      <c r="G1324" s="64">
        <v>717</v>
      </c>
      <c r="H1324" s="64" t="s">
        <v>651</v>
      </c>
      <c r="I1324" s="62"/>
      <c r="J1324" s="62"/>
      <c r="K1324" s="62">
        <f t="shared" si="253"/>
        <v>0</v>
      </c>
      <c r="L1324" s="80"/>
      <c r="M1324" s="62">
        <v>4000</v>
      </c>
      <c r="N1324" s="62"/>
      <c r="O1324" s="62">
        <f t="shared" si="254"/>
        <v>4000</v>
      </c>
      <c r="P1324" s="80"/>
      <c r="Q1324" s="62">
        <f t="shared" si="260"/>
        <v>4000</v>
      </c>
      <c r="R1324" s="62">
        <f t="shared" si="261"/>
        <v>0</v>
      </c>
      <c r="S1324" s="62">
        <f t="shared" si="262"/>
        <v>4000</v>
      </c>
    </row>
    <row r="1325" spans="2:19" ht="15" x14ac:dyDescent="0.2">
      <c r="B1325" s="79">
        <f t="shared" si="259"/>
        <v>578</v>
      </c>
      <c r="C1325" s="191">
        <v>4</v>
      </c>
      <c r="D1325" s="245" t="s">
        <v>167</v>
      </c>
      <c r="E1325" s="246"/>
      <c r="F1325" s="246"/>
      <c r="G1325" s="246"/>
      <c r="H1325" s="247"/>
      <c r="I1325" s="48">
        <f>I1326+I1333+I1440+I1457+I1479+I1496+I1513+I1534+I1558+I1474</f>
        <v>1179106</v>
      </c>
      <c r="J1325" s="48">
        <f>J1326+J1333+J1440+J1457+J1479+J1496+J1513+J1534+J1558+J1474</f>
        <v>24745</v>
      </c>
      <c r="K1325" s="48">
        <f t="shared" si="253"/>
        <v>1203851</v>
      </c>
      <c r="L1325" s="201"/>
      <c r="M1325" s="48">
        <f>M1326+M1333+M1440+M1457+M1479+M1496+M1513+M1534+M1558+M1474</f>
        <v>60000</v>
      </c>
      <c r="N1325" s="48">
        <f>N1326+N1333+N1440+N1457+N1479+N1496+N1513+N1534+N1558+N1474</f>
        <v>0</v>
      </c>
      <c r="O1325" s="48">
        <f t="shared" si="254"/>
        <v>60000</v>
      </c>
      <c r="P1325" s="201"/>
      <c r="Q1325" s="48">
        <f t="shared" si="260"/>
        <v>1239106</v>
      </c>
      <c r="R1325" s="48">
        <f t="shared" si="261"/>
        <v>24745</v>
      </c>
      <c r="S1325" s="48">
        <f t="shared" si="262"/>
        <v>1263851</v>
      </c>
    </row>
    <row r="1326" spans="2:19" x14ac:dyDescent="0.2">
      <c r="B1326" s="79">
        <f t="shared" si="259"/>
        <v>579</v>
      </c>
      <c r="C1326" s="15"/>
      <c r="D1326" s="15"/>
      <c r="E1326" s="15"/>
      <c r="F1326" s="55" t="s">
        <v>166</v>
      </c>
      <c r="G1326" s="15">
        <v>640</v>
      </c>
      <c r="H1326" s="15" t="s">
        <v>135</v>
      </c>
      <c r="I1326" s="52">
        <f>SUM(I1327:I1332)</f>
        <v>59480</v>
      </c>
      <c r="J1326" s="52">
        <f>SUM(J1327:J1332)</f>
        <v>0</v>
      </c>
      <c r="K1326" s="52">
        <f t="shared" si="253"/>
        <v>59480</v>
      </c>
      <c r="L1326" s="126"/>
      <c r="M1326" s="52"/>
      <c r="N1326" s="52"/>
      <c r="O1326" s="52">
        <f t="shared" si="254"/>
        <v>0</v>
      </c>
      <c r="P1326" s="126"/>
      <c r="Q1326" s="52">
        <f t="shared" si="260"/>
        <v>59480</v>
      </c>
      <c r="R1326" s="52">
        <f t="shared" si="261"/>
        <v>0</v>
      </c>
      <c r="S1326" s="52">
        <f t="shared" si="262"/>
        <v>59480</v>
      </c>
    </row>
    <row r="1327" spans="2:19" x14ac:dyDescent="0.2">
      <c r="B1327" s="79">
        <f t="shared" si="259"/>
        <v>580</v>
      </c>
      <c r="C1327" s="15"/>
      <c r="D1327" s="15"/>
      <c r="E1327" s="15"/>
      <c r="F1327" s="55"/>
      <c r="G1327" s="15"/>
      <c r="H1327" s="64" t="s">
        <v>382</v>
      </c>
      <c r="I1327" s="62">
        <v>24921</v>
      </c>
      <c r="J1327" s="62"/>
      <c r="K1327" s="62">
        <f t="shared" si="253"/>
        <v>24921</v>
      </c>
      <c r="L1327" s="80"/>
      <c r="M1327" s="62"/>
      <c r="N1327" s="62"/>
      <c r="O1327" s="62">
        <f t="shared" si="254"/>
        <v>0</v>
      </c>
      <c r="P1327" s="80"/>
      <c r="Q1327" s="62">
        <f t="shared" si="260"/>
        <v>24921</v>
      </c>
      <c r="R1327" s="62">
        <f t="shared" si="261"/>
        <v>0</v>
      </c>
      <c r="S1327" s="62">
        <f t="shared" si="262"/>
        <v>24921</v>
      </c>
    </row>
    <row r="1328" spans="2:19" x14ac:dyDescent="0.2">
      <c r="B1328" s="79">
        <f t="shared" si="259"/>
        <v>581</v>
      </c>
      <c r="C1328" s="15"/>
      <c r="D1328" s="15"/>
      <c r="E1328" s="15"/>
      <c r="F1328" s="55"/>
      <c r="G1328" s="15"/>
      <c r="H1328" s="64" t="s">
        <v>383</v>
      </c>
      <c r="I1328" s="62">
        <v>20239</v>
      </c>
      <c r="J1328" s="62"/>
      <c r="K1328" s="62">
        <f t="shared" si="253"/>
        <v>20239</v>
      </c>
      <c r="L1328" s="80"/>
      <c r="M1328" s="62"/>
      <c r="N1328" s="62"/>
      <c r="O1328" s="62">
        <f t="shared" si="254"/>
        <v>0</v>
      </c>
      <c r="P1328" s="80"/>
      <c r="Q1328" s="62">
        <f t="shared" si="260"/>
        <v>20239</v>
      </c>
      <c r="R1328" s="62">
        <f t="shared" si="261"/>
        <v>0</v>
      </c>
      <c r="S1328" s="62">
        <f t="shared" si="262"/>
        <v>20239</v>
      </c>
    </row>
    <row r="1329" spans="2:19" x14ac:dyDescent="0.2">
      <c r="B1329" s="79">
        <f t="shared" si="259"/>
        <v>582</v>
      </c>
      <c r="C1329" s="15"/>
      <c r="D1329" s="15"/>
      <c r="E1329" s="15"/>
      <c r="F1329" s="55"/>
      <c r="G1329" s="15"/>
      <c r="H1329" s="64" t="s">
        <v>384</v>
      </c>
      <c r="I1329" s="62">
        <f>6334-6334</f>
        <v>0</v>
      </c>
      <c r="J1329" s="62"/>
      <c r="K1329" s="62">
        <f t="shared" si="253"/>
        <v>0</v>
      </c>
      <c r="L1329" s="80"/>
      <c r="M1329" s="62"/>
      <c r="N1329" s="62"/>
      <c r="O1329" s="62">
        <f t="shared" si="254"/>
        <v>0</v>
      </c>
      <c r="P1329" s="80"/>
      <c r="Q1329" s="62">
        <f t="shared" si="260"/>
        <v>0</v>
      </c>
      <c r="R1329" s="62">
        <f t="shared" si="261"/>
        <v>0</v>
      </c>
      <c r="S1329" s="62">
        <f t="shared" si="262"/>
        <v>0</v>
      </c>
    </row>
    <row r="1330" spans="2:19" x14ac:dyDescent="0.2">
      <c r="B1330" s="79">
        <f t="shared" si="259"/>
        <v>583</v>
      </c>
      <c r="C1330" s="15"/>
      <c r="D1330" s="15"/>
      <c r="E1330" s="15"/>
      <c r="F1330" s="55"/>
      <c r="G1330" s="15"/>
      <c r="H1330" s="64" t="s">
        <v>550</v>
      </c>
      <c r="I1330" s="62">
        <v>6334</v>
      </c>
      <c r="J1330" s="62"/>
      <c r="K1330" s="62">
        <f t="shared" si="253"/>
        <v>6334</v>
      </c>
      <c r="L1330" s="80"/>
      <c r="M1330" s="62"/>
      <c r="N1330" s="62"/>
      <c r="O1330" s="62">
        <f t="shared" si="254"/>
        <v>0</v>
      </c>
      <c r="P1330" s="80"/>
      <c r="Q1330" s="62"/>
      <c r="R1330" s="62"/>
      <c r="S1330" s="62"/>
    </row>
    <row r="1331" spans="2:19" x14ac:dyDescent="0.2">
      <c r="B1331" s="79">
        <f t="shared" si="259"/>
        <v>584</v>
      </c>
      <c r="C1331" s="15"/>
      <c r="D1331" s="15"/>
      <c r="E1331" s="15"/>
      <c r="F1331" s="55"/>
      <c r="G1331" s="15"/>
      <c r="H1331" s="64" t="s">
        <v>248</v>
      </c>
      <c r="I1331" s="62">
        <v>6609</v>
      </c>
      <c r="J1331" s="62"/>
      <c r="K1331" s="62">
        <f t="shared" si="253"/>
        <v>6609</v>
      </c>
      <c r="L1331" s="80"/>
      <c r="M1331" s="62"/>
      <c r="N1331" s="62"/>
      <c r="O1331" s="62">
        <f t="shared" si="254"/>
        <v>0</v>
      </c>
      <c r="P1331" s="80"/>
      <c r="Q1331" s="62">
        <f t="shared" si="260"/>
        <v>6609</v>
      </c>
      <c r="R1331" s="62">
        <f t="shared" ref="R1331:R1401" si="263">N1331+J1331</f>
        <v>0</v>
      </c>
      <c r="S1331" s="62">
        <f t="shared" ref="S1331:S1401" si="264">O1331+K1331</f>
        <v>6609</v>
      </c>
    </row>
    <row r="1332" spans="2:19" x14ac:dyDescent="0.2">
      <c r="B1332" s="79">
        <f t="shared" si="259"/>
        <v>585</v>
      </c>
      <c r="C1332" s="15"/>
      <c r="D1332" s="15"/>
      <c r="E1332" s="15"/>
      <c r="F1332" s="55"/>
      <c r="G1332" s="15"/>
      <c r="H1332" s="64" t="s">
        <v>292</v>
      </c>
      <c r="I1332" s="62">
        <v>1377</v>
      </c>
      <c r="J1332" s="62"/>
      <c r="K1332" s="62">
        <f t="shared" si="253"/>
        <v>1377</v>
      </c>
      <c r="L1332" s="80"/>
      <c r="M1332" s="62"/>
      <c r="N1332" s="62"/>
      <c r="O1332" s="62">
        <f t="shared" si="254"/>
        <v>0</v>
      </c>
      <c r="P1332" s="80"/>
      <c r="Q1332" s="62">
        <f t="shared" si="260"/>
        <v>1377</v>
      </c>
      <c r="R1332" s="62">
        <f t="shared" si="263"/>
        <v>0</v>
      </c>
      <c r="S1332" s="62">
        <f t="shared" si="264"/>
        <v>1377</v>
      </c>
    </row>
    <row r="1333" spans="2:19" ht="15" x14ac:dyDescent="0.25">
      <c r="B1333" s="79">
        <f t="shared" si="259"/>
        <v>586</v>
      </c>
      <c r="C1333" s="18"/>
      <c r="D1333" s="18"/>
      <c r="E1333" s="18">
        <v>4</v>
      </c>
      <c r="F1333" s="53"/>
      <c r="G1333" s="18"/>
      <c r="H1333" s="18" t="s">
        <v>85</v>
      </c>
      <c r="I1333" s="50">
        <f>I1431+I1424+I1416+I1409+I1402+I1394+I1387+I1379+I1371+I1364+I1357+I1349+I1341+I1334</f>
        <v>396507</v>
      </c>
      <c r="J1333" s="50">
        <f>J1431+J1424+J1416+J1409+J1402+J1394+J1387+J1379+J1371+J1364+J1357+J1349+J1341+J1334</f>
        <v>2376</v>
      </c>
      <c r="K1333" s="50">
        <f t="shared" si="253"/>
        <v>398883</v>
      </c>
      <c r="L1333" s="203"/>
      <c r="M1333" s="50">
        <f>M1431+M1424+M1416+M1409+M1402+M1394+M1387+M1379+M1371+M1364+M1357+M1349+M1341+M1334</f>
        <v>0</v>
      </c>
      <c r="N1333" s="50">
        <f>N1431+N1424+N1416+N1409+N1402+N1394+N1387+N1379+N1371+N1364+N1357+N1349+N1341+N1334</f>
        <v>0</v>
      </c>
      <c r="O1333" s="50">
        <f t="shared" si="254"/>
        <v>0</v>
      </c>
      <c r="P1333" s="203"/>
      <c r="Q1333" s="50">
        <f t="shared" si="260"/>
        <v>396507</v>
      </c>
      <c r="R1333" s="50">
        <f t="shared" si="263"/>
        <v>2376</v>
      </c>
      <c r="S1333" s="50">
        <f t="shared" si="264"/>
        <v>398883</v>
      </c>
    </row>
    <row r="1334" spans="2:19" x14ac:dyDescent="0.2">
      <c r="B1334" s="79">
        <f t="shared" si="259"/>
        <v>587</v>
      </c>
      <c r="C1334" s="14"/>
      <c r="D1334" s="14"/>
      <c r="E1334" s="14" t="s">
        <v>95</v>
      </c>
      <c r="F1334" s="54"/>
      <c r="G1334" s="14"/>
      <c r="H1334" s="14" t="s">
        <v>64</v>
      </c>
      <c r="I1334" s="51">
        <f>I1335+I1336+I1337</f>
        <v>20430</v>
      </c>
      <c r="J1334" s="51">
        <f>J1335+J1336+J1337</f>
        <v>0</v>
      </c>
      <c r="K1334" s="51">
        <f t="shared" si="253"/>
        <v>20430</v>
      </c>
      <c r="L1334" s="126"/>
      <c r="M1334" s="51">
        <f>M1337+M1336+M1335</f>
        <v>0</v>
      </c>
      <c r="N1334" s="51">
        <f>N1337+N1336+N1335</f>
        <v>0</v>
      </c>
      <c r="O1334" s="51">
        <f t="shared" si="254"/>
        <v>0</v>
      </c>
      <c r="P1334" s="126"/>
      <c r="Q1334" s="51">
        <f t="shared" si="260"/>
        <v>20430</v>
      </c>
      <c r="R1334" s="51">
        <f t="shared" si="263"/>
        <v>0</v>
      </c>
      <c r="S1334" s="51">
        <f t="shared" si="264"/>
        <v>20430</v>
      </c>
    </row>
    <row r="1335" spans="2:19" x14ac:dyDescent="0.2">
      <c r="B1335" s="79">
        <f t="shared" si="259"/>
        <v>588</v>
      </c>
      <c r="C1335" s="15"/>
      <c r="D1335" s="15"/>
      <c r="E1335" s="15"/>
      <c r="F1335" s="55" t="s">
        <v>166</v>
      </c>
      <c r="G1335" s="15">
        <v>610</v>
      </c>
      <c r="H1335" s="15" t="s">
        <v>136</v>
      </c>
      <c r="I1335" s="52">
        <f>11600+1400</f>
        <v>13000</v>
      </c>
      <c r="J1335" s="52"/>
      <c r="K1335" s="52">
        <f t="shared" si="253"/>
        <v>13000</v>
      </c>
      <c r="L1335" s="126"/>
      <c r="M1335" s="52"/>
      <c r="N1335" s="52"/>
      <c r="O1335" s="52">
        <f t="shared" si="254"/>
        <v>0</v>
      </c>
      <c r="P1335" s="126"/>
      <c r="Q1335" s="52">
        <f t="shared" si="260"/>
        <v>13000</v>
      </c>
      <c r="R1335" s="52">
        <f t="shared" si="263"/>
        <v>0</v>
      </c>
      <c r="S1335" s="52">
        <f t="shared" si="264"/>
        <v>13000</v>
      </c>
    </row>
    <row r="1336" spans="2:19" x14ac:dyDescent="0.2">
      <c r="B1336" s="79">
        <f t="shared" si="259"/>
        <v>589</v>
      </c>
      <c r="C1336" s="15"/>
      <c r="D1336" s="15"/>
      <c r="E1336" s="15"/>
      <c r="F1336" s="55" t="s">
        <v>166</v>
      </c>
      <c r="G1336" s="15">
        <v>620</v>
      </c>
      <c r="H1336" s="15" t="s">
        <v>131</v>
      </c>
      <c r="I1336" s="52">
        <f>4310+500</f>
        <v>4810</v>
      </c>
      <c r="J1336" s="52"/>
      <c r="K1336" s="52">
        <f t="shared" si="253"/>
        <v>4810</v>
      </c>
      <c r="L1336" s="126"/>
      <c r="M1336" s="52"/>
      <c r="N1336" s="52"/>
      <c r="O1336" s="52">
        <f t="shared" si="254"/>
        <v>0</v>
      </c>
      <c r="P1336" s="126"/>
      <c r="Q1336" s="52">
        <f t="shared" si="260"/>
        <v>4810</v>
      </c>
      <c r="R1336" s="52">
        <f t="shared" si="263"/>
        <v>0</v>
      </c>
      <c r="S1336" s="52">
        <f t="shared" si="264"/>
        <v>4810</v>
      </c>
    </row>
    <row r="1337" spans="2:19" x14ac:dyDescent="0.2">
      <c r="B1337" s="79">
        <f t="shared" si="259"/>
        <v>590</v>
      </c>
      <c r="C1337" s="15"/>
      <c r="D1337" s="15"/>
      <c r="E1337" s="15"/>
      <c r="F1337" s="55" t="s">
        <v>166</v>
      </c>
      <c r="G1337" s="15">
        <v>630</v>
      </c>
      <c r="H1337" s="15" t="s">
        <v>128</v>
      </c>
      <c r="I1337" s="52">
        <f>I1340+I1339+I1338</f>
        <v>2620</v>
      </c>
      <c r="J1337" s="52">
        <f>J1340+J1339+J1338</f>
        <v>0</v>
      </c>
      <c r="K1337" s="52">
        <f t="shared" si="253"/>
        <v>2620</v>
      </c>
      <c r="L1337" s="126"/>
      <c r="M1337" s="52">
        <f>M1340+M1339+M1338</f>
        <v>0</v>
      </c>
      <c r="N1337" s="52">
        <f>N1340+N1339+N1338</f>
        <v>0</v>
      </c>
      <c r="O1337" s="52">
        <f t="shared" si="254"/>
        <v>0</v>
      </c>
      <c r="P1337" s="126"/>
      <c r="Q1337" s="52">
        <f t="shared" si="260"/>
        <v>2620</v>
      </c>
      <c r="R1337" s="52">
        <f t="shared" si="263"/>
        <v>0</v>
      </c>
      <c r="S1337" s="52">
        <f t="shared" si="264"/>
        <v>2620</v>
      </c>
    </row>
    <row r="1338" spans="2:19" x14ac:dyDescent="0.2">
      <c r="B1338" s="79">
        <f t="shared" si="259"/>
        <v>591</v>
      </c>
      <c r="C1338" s="4"/>
      <c r="D1338" s="4"/>
      <c r="E1338" s="4"/>
      <c r="F1338" s="56" t="s">
        <v>166</v>
      </c>
      <c r="G1338" s="4">
        <v>633</v>
      </c>
      <c r="H1338" s="4" t="s">
        <v>132</v>
      </c>
      <c r="I1338" s="26">
        <v>1650</v>
      </c>
      <c r="J1338" s="26">
        <v>400</v>
      </c>
      <c r="K1338" s="26">
        <f t="shared" ref="K1338:K1405" si="265">I1338+J1338</f>
        <v>2050</v>
      </c>
      <c r="L1338" s="80"/>
      <c r="M1338" s="26"/>
      <c r="N1338" s="26"/>
      <c r="O1338" s="26">
        <f t="shared" ref="O1338:O1405" si="266">M1338+N1338</f>
        <v>0</v>
      </c>
      <c r="P1338" s="80"/>
      <c r="Q1338" s="26">
        <f t="shared" si="260"/>
        <v>1650</v>
      </c>
      <c r="R1338" s="26">
        <f t="shared" si="263"/>
        <v>400</v>
      </c>
      <c r="S1338" s="26">
        <f t="shared" si="264"/>
        <v>2050</v>
      </c>
    </row>
    <row r="1339" spans="2:19" x14ac:dyDescent="0.2">
      <c r="B1339" s="79">
        <f t="shared" ref="B1339:B1406" si="267">B1338+1</f>
        <v>592</v>
      </c>
      <c r="C1339" s="4"/>
      <c r="D1339" s="4"/>
      <c r="E1339" s="4"/>
      <c r="F1339" s="56" t="s">
        <v>166</v>
      </c>
      <c r="G1339" s="4">
        <v>635</v>
      </c>
      <c r="H1339" s="4" t="s">
        <v>138</v>
      </c>
      <c r="I1339" s="26">
        <v>100</v>
      </c>
      <c r="J1339" s="26"/>
      <c r="K1339" s="26">
        <f t="shared" si="265"/>
        <v>100</v>
      </c>
      <c r="L1339" s="80"/>
      <c r="M1339" s="26"/>
      <c r="N1339" s="26"/>
      <c r="O1339" s="26">
        <f t="shared" si="266"/>
        <v>0</v>
      </c>
      <c r="P1339" s="80"/>
      <c r="Q1339" s="26">
        <f t="shared" si="260"/>
        <v>100</v>
      </c>
      <c r="R1339" s="26">
        <f t="shared" si="263"/>
        <v>0</v>
      </c>
      <c r="S1339" s="26">
        <f t="shared" si="264"/>
        <v>100</v>
      </c>
    </row>
    <row r="1340" spans="2:19" x14ac:dyDescent="0.2">
      <c r="B1340" s="79">
        <f t="shared" si="267"/>
        <v>593</v>
      </c>
      <c r="C1340" s="4"/>
      <c r="D1340" s="4"/>
      <c r="E1340" s="4"/>
      <c r="F1340" s="56" t="s">
        <v>166</v>
      </c>
      <c r="G1340" s="4">
        <v>637</v>
      </c>
      <c r="H1340" s="4" t="s">
        <v>129</v>
      </c>
      <c r="I1340" s="26">
        <v>870</v>
      </c>
      <c r="J1340" s="26">
        <v>-400</v>
      </c>
      <c r="K1340" s="26">
        <f t="shared" si="265"/>
        <v>470</v>
      </c>
      <c r="L1340" s="80"/>
      <c r="M1340" s="26"/>
      <c r="N1340" s="26"/>
      <c r="O1340" s="26">
        <f t="shared" si="266"/>
        <v>0</v>
      </c>
      <c r="P1340" s="80"/>
      <c r="Q1340" s="26">
        <f t="shared" si="260"/>
        <v>870</v>
      </c>
      <c r="R1340" s="26">
        <f t="shared" si="263"/>
        <v>-400</v>
      </c>
      <c r="S1340" s="26">
        <f t="shared" si="264"/>
        <v>470</v>
      </c>
    </row>
    <row r="1341" spans="2:19" x14ac:dyDescent="0.2">
      <c r="B1341" s="79">
        <f t="shared" si="267"/>
        <v>594</v>
      </c>
      <c r="C1341" s="14"/>
      <c r="D1341" s="14"/>
      <c r="E1341" s="14" t="s">
        <v>94</v>
      </c>
      <c r="F1341" s="54"/>
      <c r="G1341" s="14"/>
      <c r="H1341" s="14" t="s">
        <v>11</v>
      </c>
      <c r="I1341" s="51">
        <f>I1344+I1343+I1342</f>
        <v>25160</v>
      </c>
      <c r="J1341" s="51">
        <f>J1344+J1343+J1342+J1348</f>
        <v>67</v>
      </c>
      <c r="K1341" s="51">
        <f t="shared" si="265"/>
        <v>25227</v>
      </c>
      <c r="L1341" s="126"/>
      <c r="M1341" s="51">
        <v>0</v>
      </c>
      <c r="N1341" s="51"/>
      <c r="O1341" s="51">
        <f t="shared" si="266"/>
        <v>0</v>
      </c>
      <c r="P1341" s="126"/>
      <c r="Q1341" s="51">
        <f t="shared" si="260"/>
        <v>25160</v>
      </c>
      <c r="R1341" s="51">
        <f t="shared" si="263"/>
        <v>67</v>
      </c>
      <c r="S1341" s="51">
        <f t="shared" si="264"/>
        <v>25227</v>
      </c>
    </row>
    <row r="1342" spans="2:19" x14ac:dyDescent="0.2">
      <c r="B1342" s="79">
        <f t="shared" si="267"/>
        <v>595</v>
      </c>
      <c r="C1342" s="15"/>
      <c r="D1342" s="15"/>
      <c r="E1342" s="15"/>
      <c r="F1342" s="55" t="s">
        <v>166</v>
      </c>
      <c r="G1342" s="15">
        <v>610</v>
      </c>
      <c r="H1342" s="15" t="s">
        <v>136</v>
      </c>
      <c r="I1342" s="52">
        <v>16400</v>
      </c>
      <c r="J1342" s="52"/>
      <c r="K1342" s="52">
        <f t="shared" si="265"/>
        <v>16400</v>
      </c>
      <c r="L1342" s="126"/>
      <c r="M1342" s="52"/>
      <c r="N1342" s="52"/>
      <c r="O1342" s="52">
        <f t="shared" si="266"/>
        <v>0</v>
      </c>
      <c r="P1342" s="126"/>
      <c r="Q1342" s="52">
        <f t="shared" si="260"/>
        <v>16400</v>
      </c>
      <c r="R1342" s="52">
        <f t="shared" si="263"/>
        <v>0</v>
      </c>
      <c r="S1342" s="52">
        <f t="shared" si="264"/>
        <v>16400</v>
      </c>
    </row>
    <row r="1343" spans="2:19" x14ac:dyDescent="0.2">
      <c r="B1343" s="79">
        <f t="shared" si="267"/>
        <v>596</v>
      </c>
      <c r="C1343" s="15"/>
      <c r="D1343" s="15"/>
      <c r="E1343" s="15"/>
      <c r="F1343" s="55" t="s">
        <v>166</v>
      </c>
      <c r="G1343" s="15">
        <v>620</v>
      </c>
      <c r="H1343" s="15" t="s">
        <v>131</v>
      </c>
      <c r="I1343" s="52">
        <v>6095</v>
      </c>
      <c r="J1343" s="52"/>
      <c r="K1343" s="52">
        <f t="shared" si="265"/>
        <v>6095</v>
      </c>
      <c r="L1343" s="126"/>
      <c r="M1343" s="52"/>
      <c r="N1343" s="52"/>
      <c r="O1343" s="52">
        <f t="shared" si="266"/>
        <v>0</v>
      </c>
      <c r="P1343" s="126"/>
      <c r="Q1343" s="52">
        <f t="shared" si="260"/>
        <v>6095</v>
      </c>
      <c r="R1343" s="52">
        <f t="shared" si="263"/>
        <v>0</v>
      </c>
      <c r="S1343" s="52">
        <f t="shared" si="264"/>
        <v>6095</v>
      </c>
    </row>
    <row r="1344" spans="2:19" x14ac:dyDescent="0.2">
      <c r="B1344" s="79">
        <f t="shared" si="267"/>
        <v>597</v>
      </c>
      <c r="C1344" s="15"/>
      <c r="D1344" s="15"/>
      <c r="E1344" s="15"/>
      <c r="F1344" s="55" t="s">
        <v>166</v>
      </c>
      <c r="G1344" s="15">
        <v>630</v>
      </c>
      <c r="H1344" s="15" t="s">
        <v>128</v>
      </c>
      <c r="I1344" s="52">
        <f>I1347+I1346+I1345</f>
        <v>2665</v>
      </c>
      <c r="J1344" s="52">
        <f>J1347+J1346+J1345</f>
        <v>0</v>
      </c>
      <c r="K1344" s="52">
        <f t="shared" si="265"/>
        <v>2665</v>
      </c>
      <c r="L1344" s="126"/>
      <c r="M1344" s="52">
        <f>M1347+M1346+M1345</f>
        <v>0</v>
      </c>
      <c r="N1344" s="52">
        <f>N1347+N1346+N1345</f>
        <v>0</v>
      </c>
      <c r="O1344" s="52">
        <f t="shared" si="266"/>
        <v>0</v>
      </c>
      <c r="P1344" s="126"/>
      <c r="Q1344" s="52">
        <f t="shared" si="260"/>
        <v>2665</v>
      </c>
      <c r="R1344" s="52">
        <f t="shared" si="263"/>
        <v>0</v>
      </c>
      <c r="S1344" s="52">
        <f t="shared" si="264"/>
        <v>2665</v>
      </c>
    </row>
    <row r="1345" spans="2:19" x14ac:dyDescent="0.2">
      <c r="B1345" s="79">
        <f t="shared" si="267"/>
        <v>598</v>
      </c>
      <c r="C1345" s="4"/>
      <c r="D1345" s="4"/>
      <c r="E1345" s="4"/>
      <c r="F1345" s="56" t="s">
        <v>166</v>
      </c>
      <c r="G1345" s="4">
        <v>633</v>
      </c>
      <c r="H1345" s="4" t="s">
        <v>132</v>
      </c>
      <c r="I1345" s="26">
        <v>1550</v>
      </c>
      <c r="J1345" s="26">
        <v>350</v>
      </c>
      <c r="K1345" s="26">
        <f t="shared" si="265"/>
        <v>1900</v>
      </c>
      <c r="L1345" s="80"/>
      <c r="M1345" s="26"/>
      <c r="N1345" s="26"/>
      <c r="O1345" s="26">
        <f t="shared" si="266"/>
        <v>0</v>
      </c>
      <c r="P1345" s="80"/>
      <c r="Q1345" s="26">
        <f t="shared" si="260"/>
        <v>1550</v>
      </c>
      <c r="R1345" s="26">
        <f t="shared" si="263"/>
        <v>350</v>
      </c>
      <c r="S1345" s="26">
        <f t="shared" si="264"/>
        <v>1900</v>
      </c>
    </row>
    <row r="1346" spans="2:19" x14ac:dyDescent="0.2">
      <c r="B1346" s="79">
        <f t="shared" si="267"/>
        <v>599</v>
      </c>
      <c r="C1346" s="4"/>
      <c r="D1346" s="4"/>
      <c r="E1346" s="4"/>
      <c r="F1346" s="56" t="s">
        <v>166</v>
      </c>
      <c r="G1346" s="4">
        <v>635</v>
      </c>
      <c r="H1346" s="4" t="s">
        <v>138</v>
      </c>
      <c r="I1346" s="26">
        <v>150</v>
      </c>
      <c r="J1346" s="26"/>
      <c r="K1346" s="26">
        <f t="shared" si="265"/>
        <v>150</v>
      </c>
      <c r="L1346" s="80"/>
      <c r="M1346" s="26"/>
      <c r="N1346" s="26"/>
      <c r="O1346" s="26">
        <f t="shared" si="266"/>
        <v>0</v>
      </c>
      <c r="P1346" s="80"/>
      <c r="Q1346" s="26">
        <f t="shared" si="260"/>
        <v>150</v>
      </c>
      <c r="R1346" s="26">
        <f t="shared" si="263"/>
        <v>0</v>
      </c>
      <c r="S1346" s="26">
        <f t="shared" si="264"/>
        <v>150</v>
      </c>
    </row>
    <row r="1347" spans="2:19" x14ac:dyDescent="0.2">
      <c r="B1347" s="79">
        <f t="shared" si="267"/>
        <v>600</v>
      </c>
      <c r="C1347" s="4"/>
      <c r="D1347" s="4"/>
      <c r="E1347" s="4"/>
      <c r="F1347" s="56" t="s">
        <v>166</v>
      </c>
      <c r="G1347" s="4">
        <v>637</v>
      </c>
      <c r="H1347" s="4" t="s">
        <v>129</v>
      </c>
      <c r="I1347" s="26">
        <v>965</v>
      </c>
      <c r="J1347" s="26">
        <v>-350</v>
      </c>
      <c r="K1347" s="26">
        <f t="shared" si="265"/>
        <v>615</v>
      </c>
      <c r="L1347" s="80"/>
      <c r="M1347" s="26"/>
      <c r="N1347" s="26"/>
      <c r="O1347" s="26">
        <f t="shared" si="266"/>
        <v>0</v>
      </c>
      <c r="P1347" s="80"/>
      <c r="Q1347" s="26">
        <f t="shared" si="260"/>
        <v>965</v>
      </c>
      <c r="R1347" s="26">
        <f t="shared" si="263"/>
        <v>-350</v>
      </c>
      <c r="S1347" s="26">
        <f t="shared" si="264"/>
        <v>615</v>
      </c>
    </row>
    <row r="1348" spans="2:19" x14ac:dyDescent="0.2">
      <c r="B1348" s="79">
        <f t="shared" si="267"/>
        <v>601</v>
      </c>
      <c r="C1348" s="4"/>
      <c r="D1348" s="4"/>
      <c r="E1348" s="4"/>
      <c r="F1348" s="55" t="s">
        <v>166</v>
      </c>
      <c r="G1348" s="15">
        <v>640</v>
      </c>
      <c r="H1348" s="15" t="s">
        <v>135</v>
      </c>
      <c r="I1348" s="52">
        <v>0</v>
      </c>
      <c r="J1348" s="52">
        <v>67</v>
      </c>
      <c r="K1348" s="52">
        <f t="shared" si="265"/>
        <v>67</v>
      </c>
      <c r="L1348" s="126"/>
      <c r="M1348" s="52"/>
      <c r="N1348" s="52"/>
      <c r="O1348" s="52">
        <f t="shared" si="266"/>
        <v>0</v>
      </c>
      <c r="P1348" s="126"/>
      <c r="Q1348" s="52">
        <f t="shared" ref="Q1348" si="268">M1348+I1348</f>
        <v>0</v>
      </c>
      <c r="R1348" s="52">
        <f t="shared" si="263"/>
        <v>67</v>
      </c>
      <c r="S1348" s="52">
        <f t="shared" si="264"/>
        <v>67</v>
      </c>
    </row>
    <row r="1349" spans="2:19" x14ac:dyDescent="0.2">
      <c r="B1349" s="79">
        <f t="shared" si="267"/>
        <v>602</v>
      </c>
      <c r="C1349" s="14"/>
      <c r="D1349" s="14"/>
      <c r="E1349" s="14" t="s">
        <v>88</v>
      </c>
      <c r="F1349" s="54"/>
      <c r="G1349" s="14"/>
      <c r="H1349" s="14" t="s">
        <v>63</v>
      </c>
      <c r="I1349" s="51">
        <f>I1352+I1351+I1350</f>
        <v>18879</v>
      </c>
      <c r="J1349" s="51">
        <f>J1352+J1351+J1350+J1356</f>
        <v>126</v>
      </c>
      <c r="K1349" s="51">
        <f t="shared" si="265"/>
        <v>19005</v>
      </c>
      <c r="L1349" s="126"/>
      <c r="M1349" s="51">
        <v>0</v>
      </c>
      <c r="N1349" s="51"/>
      <c r="O1349" s="51">
        <f t="shared" si="266"/>
        <v>0</v>
      </c>
      <c r="P1349" s="126"/>
      <c r="Q1349" s="51">
        <f t="shared" si="260"/>
        <v>18879</v>
      </c>
      <c r="R1349" s="51">
        <f t="shared" si="263"/>
        <v>126</v>
      </c>
      <c r="S1349" s="51">
        <f t="shared" si="264"/>
        <v>19005</v>
      </c>
    </row>
    <row r="1350" spans="2:19" x14ac:dyDescent="0.2">
      <c r="B1350" s="79">
        <f t="shared" si="267"/>
        <v>603</v>
      </c>
      <c r="C1350" s="15"/>
      <c r="D1350" s="15"/>
      <c r="E1350" s="15"/>
      <c r="F1350" s="55" t="s">
        <v>166</v>
      </c>
      <c r="G1350" s="15">
        <v>610</v>
      </c>
      <c r="H1350" s="15" t="s">
        <v>136</v>
      </c>
      <c r="I1350" s="52">
        <f>10924+1000</f>
        <v>11924</v>
      </c>
      <c r="J1350" s="52"/>
      <c r="K1350" s="52">
        <f t="shared" si="265"/>
        <v>11924</v>
      </c>
      <c r="L1350" s="126"/>
      <c r="M1350" s="52"/>
      <c r="N1350" s="52"/>
      <c r="O1350" s="52">
        <f t="shared" si="266"/>
        <v>0</v>
      </c>
      <c r="P1350" s="126"/>
      <c r="Q1350" s="52">
        <f t="shared" si="260"/>
        <v>11924</v>
      </c>
      <c r="R1350" s="52">
        <f t="shared" si="263"/>
        <v>0</v>
      </c>
      <c r="S1350" s="52">
        <f t="shared" si="264"/>
        <v>11924</v>
      </c>
    </row>
    <row r="1351" spans="2:19" x14ac:dyDescent="0.2">
      <c r="B1351" s="79">
        <f t="shared" si="267"/>
        <v>604</v>
      </c>
      <c r="C1351" s="15"/>
      <c r="D1351" s="15"/>
      <c r="E1351" s="15"/>
      <c r="F1351" s="55" t="s">
        <v>166</v>
      </c>
      <c r="G1351" s="15">
        <v>620</v>
      </c>
      <c r="H1351" s="15" t="s">
        <v>131</v>
      </c>
      <c r="I1351" s="52">
        <v>4475</v>
      </c>
      <c r="J1351" s="52"/>
      <c r="K1351" s="52">
        <f t="shared" si="265"/>
        <v>4475</v>
      </c>
      <c r="L1351" s="126"/>
      <c r="M1351" s="52"/>
      <c r="N1351" s="52"/>
      <c r="O1351" s="52">
        <f t="shared" si="266"/>
        <v>0</v>
      </c>
      <c r="P1351" s="126"/>
      <c r="Q1351" s="52">
        <f t="shared" si="260"/>
        <v>4475</v>
      </c>
      <c r="R1351" s="52">
        <f t="shared" si="263"/>
        <v>0</v>
      </c>
      <c r="S1351" s="52">
        <f t="shared" si="264"/>
        <v>4475</v>
      </c>
    </row>
    <row r="1352" spans="2:19" x14ac:dyDescent="0.2">
      <c r="B1352" s="79">
        <f t="shared" si="267"/>
        <v>605</v>
      </c>
      <c r="C1352" s="15"/>
      <c r="D1352" s="15"/>
      <c r="E1352" s="15"/>
      <c r="F1352" s="55" t="s">
        <v>166</v>
      </c>
      <c r="G1352" s="15">
        <v>630</v>
      </c>
      <c r="H1352" s="15" t="s">
        <v>128</v>
      </c>
      <c r="I1352" s="52">
        <f>I1355+I1354+I1353</f>
        <v>2480</v>
      </c>
      <c r="J1352" s="52">
        <f>J1355+J1354+J1353</f>
        <v>99</v>
      </c>
      <c r="K1352" s="52">
        <f t="shared" si="265"/>
        <v>2579</v>
      </c>
      <c r="L1352" s="126"/>
      <c r="M1352" s="52">
        <f>M1355+M1354+M1353</f>
        <v>0</v>
      </c>
      <c r="N1352" s="52">
        <f>N1355+N1354+N1353</f>
        <v>0</v>
      </c>
      <c r="O1352" s="52">
        <f t="shared" si="266"/>
        <v>0</v>
      </c>
      <c r="P1352" s="126"/>
      <c r="Q1352" s="52">
        <f t="shared" si="260"/>
        <v>2480</v>
      </c>
      <c r="R1352" s="52">
        <f t="shared" si="263"/>
        <v>99</v>
      </c>
      <c r="S1352" s="52">
        <f t="shared" si="264"/>
        <v>2579</v>
      </c>
    </row>
    <row r="1353" spans="2:19" x14ac:dyDescent="0.2">
      <c r="B1353" s="79">
        <f t="shared" si="267"/>
        <v>606</v>
      </c>
      <c r="C1353" s="4"/>
      <c r="D1353" s="4"/>
      <c r="E1353" s="4"/>
      <c r="F1353" s="56" t="s">
        <v>166</v>
      </c>
      <c r="G1353" s="4">
        <v>633</v>
      </c>
      <c r="H1353" s="4" t="s">
        <v>132</v>
      </c>
      <c r="I1353" s="26">
        <v>1500</v>
      </c>
      <c r="J1353" s="26">
        <v>-42</v>
      </c>
      <c r="K1353" s="26">
        <f t="shared" si="265"/>
        <v>1458</v>
      </c>
      <c r="L1353" s="80"/>
      <c r="M1353" s="26"/>
      <c r="N1353" s="26"/>
      <c r="O1353" s="26">
        <f t="shared" si="266"/>
        <v>0</v>
      </c>
      <c r="P1353" s="80"/>
      <c r="Q1353" s="26">
        <f t="shared" si="260"/>
        <v>1500</v>
      </c>
      <c r="R1353" s="26">
        <f t="shared" si="263"/>
        <v>-42</v>
      </c>
      <c r="S1353" s="26">
        <f t="shared" si="264"/>
        <v>1458</v>
      </c>
    </row>
    <row r="1354" spans="2:19" x14ac:dyDescent="0.2">
      <c r="B1354" s="79">
        <f t="shared" si="267"/>
        <v>607</v>
      </c>
      <c r="C1354" s="4"/>
      <c r="D1354" s="4"/>
      <c r="E1354" s="4"/>
      <c r="F1354" s="56" t="s">
        <v>166</v>
      </c>
      <c r="G1354" s="4">
        <v>635</v>
      </c>
      <c r="H1354" s="4" t="s">
        <v>138</v>
      </c>
      <c r="I1354" s="26">
        <v>100</v>
      </c>
      <c r="J1354" s="26">
        <v>499</v>
      </c>
      <c r="K1354" s="26">
        <f t="shared" si="265"/>
        <v>599</v>
      </c>
      <c r="L1354" s="80"/>
      <c r="M1354" s="26"/>
      <c r="N1354" s="26"/>
      <c r="O1354" s="26">
        <f t="shared" si="266"/>
        <v>0</v>
      </c>
      <c r="P1354" s="80"/>
      <c r="Q1354" s="26">
        <f t="shared" si="260"/>
        <v>100</v>
      </c>
      <c r="R1354" s="26">
        <f t="shared" si="263"/>
        <v>499</v>
      </c>
      <c r="S1354" s="26">
        <f t="shared" si="264"/>
        <v>599</v>
      </c>
    </row>
    <row r="1355" spans="2:19" x14ac:dyDescent="0.2">
      <c r="B1355" s="79">
        <f t="shared" si="267"/>
        <v>608</v>
      </c>
      <c r="C1355" s="4"/>
      <c r="D1355" s="4"/>
      <c r="E1355" s="4"/>
      <c r="F1355" s="56" t="s">
        <v>166</v>
      </c>
      <c r="G1355" s="4">
        <v>637</v>
      </c>
      <c r="H1355" s="4" t="s">
        <v>129</v>
      </c>
      <c r="I1355" s="26">
        <v>880</v>
      </c>
      <c r="J1355" s="26">
        <v>-358</v>
      </c>
      <c r="K1355" s="26">
        <f t="shared" si="265"/>
        <v>522</v>
      </c>
      <c r="L1355" s="80"/>
      <c r="M1355" s="26"/>
      <c r="N1355" s="26"/>
      <c r="O1355" s="26">
        <f t="shared" si="266"/>
        <v>0</v>
      </c>
      <c r="P1355" s="80"/>
      <c r="Q1355" s="26">
        <f t="shared" si="260"/>
        <v>880</v>
      </c>
      <c r="R1355" s="26">
        <f t="shared" si="263"/>
        <v>-358</v>
      </c>
      <c r="S1355" s="26">
        <f t="shared" si="264"/>
        <v>522</v>
      </c>
    </row>
    <row r="1356" spans="2:19" x14ac:dyDescent="0.2">
      <c r="B1356" s="79">
        <f t="shared" si="267"/>
        <v>609</v>
      </c>
      <c r="C1356" s="4"/>
      <c r="D1356" s="4"/>
      <c r="E1356" s="4"/>
      <c r="F1356" s="55" t="s">
        <v>166</v>
      </c>
      <c r="G1356" s="15">
        <v>640</v>
      </c>
      <c r="H1356" s="15" t="s">
        <v>135</v>
      </c>
      <c r="I1356" s="52">
        <v>0</v>
      </c>
      <c r="J1356" s="52">
        <v>27</v>
      </c>
      <c r="K1356" s="52">
        <f t="shared" ref="K1356" si="269">I1356+J1356</f>
        <v>27</v>
      </c>
      <c r="L1356" s="126"/>
      <c r="M1356" s="52"/>
      <c r="N1356" s="52"/>
      <c r="O1356" s="52">
        <f t="shared" ref="O1356" si="270">M1356+N1356</f>
        <v>0</v>
      </c>
      <c r="P1356" s="126"/>
      <c r="Q1356" s="52">
        <f t="shared" si="260"/>
        <v>0</v>
      </c>
      <c r="R1356" s="52">
        <f t="shared" ref="R1356" si="271">N1356+J1356</f>
        <v>27</v>
      </c>
      <c r="S1356" s="52">
        <f t="shared" ref="S1356" si="272">O1356+K1356</f>
        <v>27</v>
      </c>
    </row>
    <row r="1357" spans="2:19" x14ac:dyDescent="0.2">
      <c r="B1357" s="79">
        <f t="shared" si="267"/>
        <v>610</v>
      </c>
      <c r="C1357" s="14"/>
      <c r="D1357" s="14"/>
      <c r="E1357" s="14" t="s">
        <v>98</v>
      </c>
      <c r="F1357" s="54"/>
      <c r="G1357" s="14"/>
      <c r="H1357" s="14" t="s">
        <v>99</v>
      </c>
      <c r="I1357" s="51">
        <f>I1360+I1359+I1358</f>
        <v>23954</v>
      </c>
      <c r="J1357" s="51">
        <f>J1360+J1359+J1358</f>
        <v>0</v>
      </c>
      <c r="K1357" s="51">
        <f t="shared" si="265"/>
        <v>23954</v>
      </c>
      <c r="L1357" s="126"/>
      <c r="M1357" s="51">
        <f>M1360+M1359+M1358</f>
        <v>0</v>
      </c>
      <c r="N1357" s="51">
        <f>N1360+N1359+N1358</f>
        <v>0</v>
      </c>
      <c r="O1357" s="51">
        <f t="shared" si="266"/>
        <v>0</v>
      </c>
      <c r="P1357" s="126"/>
      <c r="Q1357" s="51">
        <f t="shared" si="260"/>
        <v>23954</v>
      </c>
      <c r="R1357" s="51">
        <f t="shared" si="263"/>
        <v>0</v>
      </c>
      <c r="S1357" s="51">
        <f t="shared" si="264"/>
        <v>23954</v>
      </c>
    </row>
    <row r="1358" spans="2:19" x14ac:dyDescent="0.2">
      <c r="B1358" s="79">
        <f t="shared" si="267"/>
        <v>611</v>
      </c>
      <c r="C1358" s="15"/>
      <c r="D1358" s="15"/>
      <c r="E1358" s="15"/>
      <c r="F1358" s="55" t="s">
        <v>166</v>
      </c>
      <c r="G1358" s="15">
        <v>610</v>
      </c>
      <c r="H1358" s="15" t="s">
        <v>136</v>
      </c>
      <c r="I1358" s="52">
        <v>15482</v>
      </c>
      <c r="J1358" s="52"/>
      <c r="K1358" s="52">
        <f t="shared" si="265"/>
        <v>15482</v>
      </c>
      <c r="L1358" s="126"/>
      <c r="M1358" s="52"/>
      <c r="N1358" s="52"/>
      <c r="O1358" s="52">
        <f t="shared" si="266"/>
        <v>0</v>
      </c>
      <c r="P1358" s="126"/>
      <c r="Q1358" s="52">
        <f t="shared" si="260"/>
        <v>15482</v>
      </c>
      <c r="R1358" s="52">
        <f t="shared" si="263"/>
        <v>0</v>
      </c>
      <c r="S1358" s="52">
        <f t="shared" si="264"/>
        <v>15482</v>
      </c>
    </row>
    <row r="1359" spans="2:19" x14ac:dyDescent="0.2">
      <c r="B1359" s="79">
        <f t="shared" si="267"/>
        <v>612</v>
      </c>
      <c r="C1359" s="15"/>
      <c r="D1359" s="15"/>
      <c r="E1359" s="15"/>
      <c r="F1359" s="55" t="s">
        <v>166</v>
      </c>
      <c r="G1359" s="15">
        <v>620</v>
      </c>
      <c r="H1359" s="15" t="s">
        <v>131</v>
      </c>
      <c r="I1359" s="52">
        <v>5752</v>
      </c>
      <c r="J1359" s="52"/>
      <c r="K1359" s="52">
        <f t="shared" si="265"/>
        <v>5752</v>
      </c>
      <c r="L1359" s="126"/>
      <c r="M1359" s="52"/>
      <c r="N1359" s="52"/>
      <c r="O1359" s="52">
        <f t="shared" si="266"/>
        <v>0</v>
      </c>
      <c r="P1359" s="126"/>
      <c r="Q1359" s="52">
        <f t="shared" si="260"/>
        <v>5752</v>
      </c>
      <c r="R1359" s="52">
        <f t="shared" si="263"/>
        <v>0</v>
      </c>
      <c r="S1359" s="52">
        <f t="shared" si="264"/>
        <v>5752</v>
      </c>
    </row>
    <row r="1360" spans="2:19" x14ac:dyDescent="0.2">
      <c r="B1360" s="79">
        <f t="shared" si="267"/>
        <v>613</v>
      </c>
      <c r="C1360" s="15"/>
      <c r="D1360" s="15"/>
      <c r="E1360" s="15"/>
      <c r="F1360" s="55" t="s">
        <v>166</v>
      </c>
      <c r="G1360" s="15">
        <v>630</v>
      </c>
      <c r="H1360" s="15" t="s">
        <v>128</v>
      </c>
      <c r="I1360" s="52">
        <f>I1363+I1362+I1361</f>
        <v>2720</v>
      </c>
      <c r="J1360" s="52">
        <f>J1363+J1362+J1361</f>
        <v>0</v>
      </c>
      <c r="K1360" s="52">
        <f t="shared" si="265"/>
        <v>2720</v>
      </c>
      <c r="L1360" s="126"/>
      <c r="M1360" s="52">
        <f>M1363+M1362+M1361</f>
        <v>0</v>
      </c>
      <c r="N1360" s="52">
        <f>N1363+N1362+N1361</f>
        <v>0</v>
      </c>
      <c r="O1360" s="52">
        <f t="shared" si="266"/>
        <v>0</v>
      </c>
      <c r="P1360" s="126"/>
      <c r="Q1360" s="52">
        <f t="shared" si="260"/>
        <v>2720</v>
      </c>
      <c r="R1360" s="52">
        <f t="shared" si="263"/>
        <v>0</v>
      </c>
      <c r="S1360" s="52">
        <f t="shared" si="264"/>
        <v>2720</v>
      </c>
    </row>
    <row r="1361" spans="2:19" x14ac:dyDescent="0.2">
      <c r="B1361" s="79">
        <f t="shared" si="267"/>
        <v>614</v>
      </c>
      <c r="C1361" s="4"/>
      <c r="D1361" s="4"/>
      <c r="E1361" s="4"/>
      <c r="F1361" s="56" t="s">
        <v>166</v>
      </c>
      <c r="G1361" s="4">
        <v>633</v>
      </c>
      <c r="H1361" s="4" t="s">
        <v>132</v>
      </c>
      <c r="I1361" s="26">
        <v>1760</v>
      </c>
      <c r="J1361" s="26">
        <v>100</v>
      </c>
      <c r="K1361" s="26">
        <f t="shared" si="265"/>
        <v>1860</v>
      </c>
      <c r="L1361" s="80"/>
      <c r="M1361" s="26"/>
      <c r="N1361" s="26"/>
      <c r="O1361" s="26">
        <f t="shared" si="266"/>
        <v>0</v>
      </c>
      <c r="P1361" s="80"/>
      <c r="Q1361" s="26">
        <f t="shared" si="260"/>
        <v>1760</v>
      </c>
      <c r="R1361" s="26">
        <f t="shared" si="263"/>
        <v>100</v>
      </c>
      <c r="S1361" s="26">
        <f t="shared" si="264"/>
        <v>1860</v>
      </c>
    </row>
    <row r="1362" spans="2:19" x14ac:dyDescent="0.2">
      <c r="B1362" s="79">
        <f t="shared" si="267"/>
        <v>615</v>
      </c>
      <c r="C1362" s="4"/>
      <c r="D1362" s="4"/>
      <c r="E1362" s="4"/>
      <c r="F1362" s="56" t="s">
        <v>166</v>
      </c>
      <c r="G1362" s="4">
        <v>635</v>
      </c>
      <c r="H1362" s="4" t="s">
        <v>138</v>
      </c>
      <c r="I1362" s="26">
        <v>100</v>
      </c>
      <c r="J1362" s="26"/>
      <c r="K1362" s="26">
        <f t="shared" si="265"/>
        <v>100</v>
      </c>
      <c r="L1362" s="80"/>
      <c r="M1362" s="26"/>
      <c r="N1362" s="26"/>
      <c r="O1362" s="26">
        <f t="shared" si="266"/>
        <v>0</v>
      </c>
      <c r="P1362" s="80"/>
      <c r="Q1362" s="26">
        <f t="shared" si="260"/>
        <v>100</v>
      </c>
      <c r="R1362" s="26">
        <f t="shared" si="263"/>
        <v>0</v>
      </c>
      <c r="S1362" s="26">
        <f t="shared" si="264"/>
        <v>100</v>
      </c>
    </row>
    <row r="1363" spans="2:19" x14ac:dyDescent="0.2">
      <c r="B1363" s="79">
        <f t="shared" si="267"/>
        <v>616</v>
      </c>
      <c r="C1363" s="4"/>
      <c r="D1363" s="4"/>
      <c r="E1363" s="4"/>
      <c r="F1363" s="56" t="s">
        <v>166</v>
      </c>
      <c r="G1363" s="4">
        <v>637</v>
      </c>
      <c r="H1363" s="4" t="s">
        <v>129</v>
      </c>
      <c r="I1363" s="26">
        <v>860</v>
      </c>
      <c r="J1363" s="26">
        <v>-100</v>
      </c>
      <c r="K1363" s="26">
        <f t="shared" si="265"/>
        <v>760</v>
      </c>
      <c r="L1363" s="80"/>
      <c r="M1363" s="26"/>
      <c r="N1363" s="26"/>
      <c r="O1363" s="26">
        <f t="shared" si="266"/>
        <v>0</v>
      </c>
      <c r="P1363" s="80"/>
      <c r="Q1363" s="26">
        <f t="shared" si="260"/>
        <v>860</v>
      </c>
      <c r="R1363" s="26">
        <f t="shared" si="263"/>
        <v>-100</v>
      </c>
      <c r="S1363" s="26">
        <f t="shared" si="264"/>
        <v>760</v>
      </c>
    </row>
    <row r="1364" spans="2:19" x14ac:dyDescent="0.2">
      <c r="B1364" s="79">
        <f t="shared" si="267"/>
        <v>617</v>
      </c>
      <c r="C1364" s="14"/>
      <c r="D1364" s="14"/>
      <c r="E1364" s="14" t="s">
        <v>101</v>
      </c>
      <c r="F1364" s="54"/>
      <c r="G1364" s="14"/>
      <c r="H1364" s="14" t="s">
        <v>102</v>
      </c>
      <c r="I1364" s="51">
        <f>I1367+I1366+I1365</f>
        <v>25578</v>
      </c>
      <c r="J1364" s="51">
        <f>J1367+J1366+J1365</f>
        <v>0</v>
      </c>
      <c r="K1364" s="51">
        <f t="shared" si="265"/>
        <v>25578</v>
      </c>
      <c r="L1364" s="126"/>
      <c r="M1364" s="51">
        <v>0</v>
      </c>
      <c r="N1364" s="51"/>
      <c r="O1364" s="51">
        <f t="shared" si="266"/>
        <v>0</v>
      </c>
      <c r="P1364" s="126"/>
      <c r="Q1364" s="51">
        <f t="shared" si="260"/>
        <v>25578</v>
      </c>
      <c r="R1364" s="51">
        <f t="shared" si="263"/>
        <v>0</v>
      </c>
      <c r="S1364" s="51">
        <f t="shared" si="264"/>
        <v>25578</v>
      </c>
    </row>
    <row r="1365" spans="2:19" x14ac:dyDescent="0.2">
      <c r="B1365" s="79">
        <f t="shared" si="267"/>
        <v>618</v>
      </c>
      <c r="C1365" s="15"/>
      <c r="D1365" s="15"/>
      <c r="E1365" s="15"/>
      <c r="F1365" s="55" t="s">
        <v>166</v>
      </c>
      <c r="G1365" s="15">
        <v>610</v>
      </c>
      <c r="H1365" s="15" t="s">
        <v>136</v>
      </c>
      <c r="I1365" s="52">
        <v>16198</v>
      </c>
      <c r="J1365" s="52"/>
      <c r="K1365" s="52">
        <f t="shared" si="265"/>
        <v>16198</v>
      </c>
      <c r="L1365" s="126"/>
      <c r="M1365" s="52"/>
      <c r="N1365" s="52"/>
      <c r="O1365" s="52">
        <f t="shared" si="266"/>
        <v>0</v>
      </c>
      <c r="P1365" s="126"/>
      <c r="Q1365" s="52">
        <f t="shared" si="260"/>
        <v>16198</v>
      </c>
      <c r="R1365" s="52">
        <f t="shared" si="263"/>
        <v>0</v>
      </c>
      <c r="S1365" s="52">
        <f t="shared" si="264"/>
        <v>16198</v>
      </c>
    </row>
    <row r="1366" spans="2:19" x14ac:dyDescent="0.2">
      <c r="B1366" s="79">
        <f t="shared" si="267"/>
        <v>619</v>
      </c>
      <c r="C1366" s="15"/>
      <c r="D1366" s="15"/>
      <c r="E1366" s="15"/>
      <c r="F1366" s="55" t="s">
        <v>166</v>
      </c>
      <c r="G1366" s="15">
        <v>620</v>
      </c>
      <c r="H1366" s="15" t="s">
        <v>131</v>
      </c>
      <c r="I1366" s="52">
        <v>6020</v>
      </c>
      <c r="J1366" s="52"/>
      <c r="K1366" s="52">
        <f t="shared" si="265"/>
        <v>6020</v>
      </c>
      <c r="L1366" s="126"/>
      <c r="M1366" s="52"/>
      <c r="N1366" s="52"/>
      <c r="O1366" s="52">
        <f t="shared" si="266"/>
        <v>0</v>
      </c>
      <c r="P1366" s="126"/>
      <c r="Q1366" s="52">
        <f t="shared" si="260"/>
        <v>6020</v>
      </c>
      <c r="R1366" s="52">
        <f t="shared" si="263"/>
        <v>0</v>
      </c>
      <c r="S1366" s="52">
        <f t="shared" si="264"/>
        <v>6020</v>
      </c>
    </row>
    <row r="1367" spans="2:19" x14ac:dyDescent="0.2">
      <c r="B1367" s="79">
        <f t="shared" si="267"/>
        <v>620</v>
      </c>
      <c r="C1367" s="15"/>
      <c r="D1367" s="15"/>
      <c r="E1367" s="15"/>
      <c r="F1367" s="55" t="s">
        <v>166</v>
      </c>
      <c r="G1367" s="15">
        <v>630</v>
      </c>
      <c r="H1367" s="15" t="s">
        <v>128</v>
      </c>
      <c r="I1367" s="52">
        <f>I1370+I1369+I1368</f>
        <v>3360</v>
      </c>
      <c r="J1367" s="52">
        <f>J1370+J1369+J1368</f>
        <v>0</v>
      </c>
      <c r="K1367" s="52">
        <f t="shared" si="265"/>
        <v>3360</v>
      </c>
      <c r="L1367" s="126"/>
      <c r="M1367" s="52">
        <f>M1370+M1369+M1368</f>
        <v>0</v>
      </c>
      <c r="N1367" s="52">
        <f>N1370+N1369+N1368</f>
        <v>0</v>
      </c>
      <c r="O1367" s="52">
        <f t="shared" si="266"/>
        <v>0</v>
      </c>
      <c r="P1367" s="126"/>
      <c r="Q1367" s="52">
        <f t="shared" ref="Q1367:Q1433" si="273">M1367+I1367</f>
        <v>3360</v>
      </c>
      <c r="R1367" s="52">
        <f t="shared" si="263"/>
        <v>0</v>
      </c>
      <c r="S1367" s="52">
        <f t="shared" si="264"/>
        <v>3360</v>
      </c>
    </row>
    <row r="1368" spans="2:19" x14ac:dyDescent="0.2">
      <c r="B1368" s="79">
        <f t="shared" si="267"/>
        <v>621</v>
      </c>
      <c r="C1368" s="4"/>
      <c r="D1368" s="4"/>
      <c r="E1368" s="4"/>
      <c r="F1368" s="56" t="s">
        <v>166</v>
      </c>
      <c r="G1368" s="4">
        <v>633</v>
      </c>
      <c r="H1368" s="4" t="s">
        <v>132</v>
      </c>
      <c r="I1368" s="26">
        <v>2000</v>
      </c>
      <c r="J1368" s="26">
        <v>750</v>
      </c>
      <c r="K1368" s="26">
        <f t="shared" si="265"/>
        <v>2750</v>
      </c>
      <c r="L1368" s="80"/>
      <c r="M1368" s="26"/>
      <c r="N1368" s="26"/>
      <c r="O1368" s="26">
        <f t="shared" si="266"/>
        <v>0</v>
      </c>
      <c r="P1368" s="80"/>
      <c r="Q1368" s="26">
        <f t="shared" si="273"/>
        <v>2000</v>
      </c>
      <c r="R1368" s="26">
        <f t="shared" si="263"/>
        <v>750</v>
      </c>
      <c r="S1368" s="26">
        <f t="shared" si="264"/>
        <v>2750</v>
      </c>
    </row>
    <row r="1369" spans="2:19" x14ac:dyDescent="0.2">
      <c r="B1369" s="79">
        <f t="shared" si="267"/>
        <v>622</v>
      </c>
      <c r="C1369" s="4"/>
      <c r="D1369" s="4"/>
      <c r="E1369" s="4"/>
      <c r="F1369" s="56" t="s">
        <v>166</v>
      </c>
      <c r="G1369" s="4">
        <v>635</v>
      </c>
      <c r="H1369" s="4" t="s">
        <v>138</v>
      </c>
      <c r="I1369" s="26">
        <v>200</v>
      </c>
      <c r="J1369" s="26"/>
      <c r="K1369" s="26">
        <f t="shared" si="265"/>
        <v>200</v>
      </c>
      <c r="L1369" s="80"/>
      <c r="M1369" s="26"/>
      <c r="N1369" s="26"/>
      <c r="O1369" s="26">
        <f t="shared" si="266"/>
        <v>0</v>
      </c>
      <c r="P1369" s="80"/>
      <c r="Q1369" s="26">
        <f t="shared" si="273"/>
        <v>200</v>
      </c>
      <c r="R1369" s="26">
        <f t="shared" si="263"/>
        <v>0</v>
      </c>
      <c r="S1369" s="26">
        <f t="shared" si="264"/>
        <v>200</v>
      </c>
    </row>
    <row r="1370" spans="2:19" x14ac:dyDescent="0.2">
      <c r="B1370" s="79">
        <f t="shared" si="267"/>
        <v>623</v>
      </c>
      <c r="C1370" s="4"/>
      <c r="D1370" s="4"/>
      <c r="E1370" s="4"/>
      <c r="F1370" s="56" t="s">
        <v>166</v>
      </c>
      <c r="G1370" s="4">
        <v>637</v>
      </c>
      <c r="H1370" s="4" t="s">
        <v>129</v>
      </c>
      <c r="I1370" s="26">
        <v>1160</v>
      </c>
      <c r="J1370" s="26">
        <v>-750</v>
      </c>
      <c r="K1370" s="26">
        <f t="shared" si="265"/>
        <v>410</v>
      </c>
      <c r="L1370" s="80"/>
      <c r="M1370" s="26"/>
      <c r="N1370" s="26"/>
      <c r="O1370" s="26">
        <f t="shared" si="266"/>
        <v>0</v>
      </c>
      <c r="P1370" s="80"/>
      <c r="Q1370" s="26">
        <f t="shared" si="273"/>
        <v>1160</v>
      </c>
      <c r="R1370" s="26">
        <f t="shared" si="263"/>
        <v>-750</v>
      </c>
      <c r="S1370" s="26">
        <f t="shared" si="264"/>
        <v>410</v>
      </c>
    </row>
    <row r="1371" spans="2:19" x14ac:dyDescent="0.2">
      <c r="B1371" s="79">
        <f t="shared" si="267"/>
        <v>624</v>
      </c>
      <c r="C1371" s="14"/>
      <c r="D1371" s="14"/>
      <c r="E1371" s="14" t="s">
        <v>86</v>
      </c>
      <c r="F1371" s="54"/>
      <c r="G1371" s="14"/>
      <c r="H1371" s="14" t="s">
        <v>87</v>
      </c>
      <c r="I1371" s="51">
        <f>I1374+I1373+I1372</f>
        <v>39490</v>
      </c>
      <c r="J1371" s="51">
        <f>J1374+J1373+J1372+J1378</f>
        <v>327</v>
      </c>
      <c r="K1371" s="51">
        <f t="shared" si="265"/>
        <v>39817</v>
      </c>
      <c r="L1371" s="126"/>
      <c r="M1371" s="51">
        <v>0</v>
      </c>
      <c r="N1371" s="51"/>
      <c r="O1371" s="51">
        <f t="shared" si="266"/>
        <v>0</v>
      </c>
      <c r="P1371" s="126"/>
      <c r="Q1371" s="51">
        <f t="shared" si="273"/>
        <v>39490</v>
      </c>
      <c r="R1371" s="51">
        <f t="shared" si="263"/>
        <v>327</v>
      </c>
      <c r="S1371" s="51">
        <f t="shared" si="264"/>
        <v>39817</v>
      </c>
    </row>
    <row r="1372" spans="2:19" x14ac:dyDescent="0.2">
      <c r="B1372" s="79">
        <f t="shared" si="267"/>
        <v>625</v>
      </c>
      <c r="C1372" s="15"/>
      <c r="D1372" s="15"/>
      <c r="E1372" s="15"/>
      <c r="F1372" s="55" t="s">
        <v>166</v>
      </c>
      <c r="G1372" s="15">
        <v>610</v>
      </c>
      <c r="H1372" s="15" t="s">
        <v>136</v>
      </c>
      <c r="I1372" s="52">
        <v>24710</v>
      </c>
      <c r="J1372" s="52"/>
      <c r="K1372" s="52">
        <f t="shared" si="265"/>
        <v>24710</v>
      </c>
      <c r="L1372" s="126"/>
      <c r="M1372" s="52"/>
      <c r="N1372" s="52"/>
      <c r="O1372" s="52">
        <f t="shared" si="266"/>
        <v>0</v>
      </c>
      <c r="P1372" s="126"/>
      <c r="Q1372" s="52">
        <f t="shared" si="273"/>
        <v>24710</v>
      </c>
      <c r="R1372" s="52">
        <f t="shared" si="263"/>
        <v>0</v>
      </c>
      <c r="S1372" s="52">
        <f t="shared" si="264"/>
        <v>24710</v>
      </c>
    </row>
    <row r="1373" spans="2:19" x14ac:dyDescent="0.2">
      <c r="B1373" s="79">
        <f t="shared" si="267"/>
        <v>626</v>
      </c>
      <c r="C1373" s="15"/>
      <c r="D1373" s="15"/>
      <c r="E1373" s="15"/>
      <c r="F1373" s="55" t="s">
        <v>166</v>
      </c>
      <c r="G1373" s="15">
        <v>620</v>
      </c>
      <c r="H1373" s="15" t="s">
        <v>131</v>
      </c>
      <c r="I1373" s="52">
        <v>9180</v>
      </c>
      <c r="J1373" s="52"/>
      <c r="K1373" s="52">
        <f t="shared" si="265"/>
        <v>9180</v>
      </c>
      <c r="L1373" s="126"/>
      <c r="M1373" s="52"/>
      <c r="N1373" s="52"/>
      <c r="O1373" s="52">
        <f t="shared" si="266"/>
        <v>0</v>
      </c>
      <c r="P1373" s="126"/>
      <c r="Q1373" s="52">
        <f t="shared" si="273"/>
        <v>9180</v>
      </c>
      <c r="R1373" s="52">
        <f t="shared" si="263"/>
        <v>0</v>
      </c>
      <c r="S1373" s="52">
        <f t="shared" si="264"/>
        <v>9180</v>
      </c>
    </row>
    <row r="1374" spans="2:19" x14ac:dyDescent="0.2">
      <c r="B1374" s="79">
        <f t="shared" si="267"/>
        <v>627</v>
      </c>
      <c r="C1374" s="15"/>
      <c r="D1374" s="15"/>
      <c r="E1374" s="15"/>
      <c r="F1374" s="55" t="s">
        <v>166</v>
      </c>
      <c r="G1374" s="15">
        <v>630</v>
      </c>
      <c r="H1374" s="15" t="s">
        <v>128</v>
      </c>
      <c r="I1374" s="52">
        <f>I1377+I1376+I1375</f>
        <v>5600</v>
      </c>
      <c r="J1374" s="52">
        <f>J1377+J1376+J1375</f>
        <v>0</v>
      </c>
      <c r="K1374" s="52">
        <f t="shared" si="265"/>
        <v>5600</v>
      </c>
      <c r="L1374" s="126"/>
      <c r="M1374" s="52">
        <f>M1377+M1376+M1375</f>
        <v>0</v>
      </c>
      <c r="N1374" s="52">
        <f>N1377+N1376+N1375</f>
        <v>0</v>
      </c>
      <c r="O1374" s="52">
        <f t="shared" si="266"/>
        <v>0</v>
      </c>
      <c r="P1374" s="126"/>
      <c r="Q1374" s="52">
        <f t="shared" si="273"/>
        <v>5600</v>
      </c>
      <c r="R1374" s="52">
        <f t="shared" si="263"/>
        <v>0</v>
      </c>
      <c r="S1374" s="52">
        <f t="shared" si="264"/>
        <v>5600</v>
      </c>
    </row>
    <row r="1375" spans="2:19" x14ac:dyDescent="0.2">
      <c r="B1375" s="79">
        <f t="shared" si="267"/>
        <v>628</v>
      </c>
      <c r="C1375" s="4"/>
      <c r="D1375" s="4"/>
      <c r="E1375" s="4"/>
      <c r="F1375" s="56" t="s">
        <v>166</v>
      </c>
      <c r="G1375" s="4">
        <v>633</v>
      </c>
      <c r="H1375" s="4" t="s">
        <v>132</v>
      </c>
      <c r="I1375" s="26">
        <v>4000</v>
      </c>
      <c r="J1375" s="26">
        <v>-320</v>
      </c>
      <c r="K1375" s="26">
        <f t="shared" si="265"/>
        <v>3680</v>
      </c>
      <c r="L1375" s="80"/>
      <c r="M1375" s="26"/>
      <c r="N1375" s="26"/>
      <c r="O1375" s="26">
        <f t="shared" si="266"/>
        <v>0</v>
      </c>
      <c r="P1375" s="80"/>
      <c r="Q1375" s="26">
        <f t="shared" si="273"/>
        <v>4000</v>
      </c>
      <c r="R1375" s="26">
        <f t="shared" si="263"/>
        <v>-320</v>
      </c>
      <c r="S1375" s="26">
        <f t="shared" si="264"/>
        <v>3680</v>
      </c>
    </row>
    <row r="1376" spans="2:19" x14ac:dyDescent="0.2">
      <c r="B1376" s="79">
        <f t="shared" si="267"/>
        <v>629</v>
      </c>
      <c r="C1376" s="4"/>
      <c r="D1376" s="4"/>
      <c r="E1376" s="4"/>
      <c r="F1376" s="56" t="s">
        <v>166</v>
      </c>
      <c r="G1376" s="4">
        <v>635</v>
      </c>
      <c r="H1376" s="4" t="s">
        <v>138</v>
      </c>
      <c r="I1376" s="26">
        <v>150</v>
      </c>
      <c r="J1376" s="26">
        <v>1020</v>
      </c>
      <c r="K1376" s="26">
        <f t="shared" si="265"/>
        <v>1170</v>
      </c>
      <c r="L1376" s="80"/>
      <c r="M1376" s="26"/>
      <c r="N1376" s="26"/>
      <c r="O1376" s="26">
        <f t="shared" si="266"/>
        <v>0</v>
      </c>
      <c r="P1376" s="80"/>
      <c r="Q1376" s="26">
        <f t="shared" si="273"/>
        <v>150</v>
      </c>
      <c r="R1376" s="26">
        <f t="shared" si="263"/>
        <v>1020</v>
      </c>
      <c r="S1376" s="26">
        <f t="shared" si="264"/>
        <v>1170</v>
      </c>
    </row>
    <row r="1377" spans="2:19" x14ac:dyDescent="0.2">
      <c r="B1377" s="79">
        <f t="shared" si="267"/>
        <v>630</v>
      </c>
      <c r="C1377" s="4"/>
      <c r="D1377" s="4"/>
      <c r="E1377" s="4"/>
      <c r="F1377" s="56" t="s">
        <v>166</v>
      </c>
      <c r="G1377" s="4">
        <v>637</v>
      </c>
      <c r="H1377" s="4" t="s">
        <v>129</v>
      </c>
      <c r="I1377" s="26">
        <v>1450</v>
      </c>
      <c r="J1377" s="26">
        <v>-700</v>
      </c>
      <c r="K1377" s="26">
        <f t="shared" si="265"/>
        <v>750</v>
      </c>
      <c r="L1377" s="80"/>
      <c r="M1377" s="26"/>
      <c r="N1377" s="26"/>
      <c r="O1377" s="26">
        <f t="shared" si="266"/>
        <v>0</v>
      </c>
      <c r="P1377" s="80"/>
      <c r="Q1377" s="26">
        <f t="shared" si="273"/>
        <v>1450</v>
      </c>
      <c r="R1377" s="26">
        <f t="shared" si="263"/>
        <v>-700</v>
      </c>
      <c r="S1377" s="26">
        <f t="shared" si="264"/>
        <v>750</v>
      </c>
    </row>
    <row r="1378" spans="2:19" x14ac:dyDescent="0.2">
      <c r="B1378" s="79">
        <f t="shared" si="267"/>
        <v>631</v>
      </c>
      <c r="C1378" s="4"/>
      <c r="D1378" s="4"/>
      <c r="E1378" s="4"/>
      <c r="F1378" s="55" t="s">
        <v>166</v>
      </c>
      <c r="G1378" s="15">
        <v>640</v>
      </c>
      <c r="H1378" s="15" t="s">
        <v>135</v>
      </c>
      <c r="I1378" s="52">
        <v>0</v>
      </c>
      <c r="J1378" s="52">
        <v>327</v>
      </c>
      <c r="K1378" s="52">
        <f t="shared" si="265"/>
        <v>327</v>
      </c>
      <c r="L1378" s="126"/>
      <c r="M1378" s="52"/>
      <c r="N1378" s="52"/>
      <c r="O1378" s="52">
        <f t="shared" si="266"/>
        <v>0</v>
      </c>
      <c r="P1378" s="126"/>
      <c r="Q1378" s="52">
        <f t="shared" si="273"/>
        <v>0</v>
      </c>
      <c r="R1378" s="52">
        <f t="shared" si="263"/>
        <v>327</v>
      </c>
      <c r="S1378" s="52">
        <f t="shared" si="264"/>
        <v>327</v>
      </c>
    </row>
    <row r="1379" spans="2:19" x14ac:dyDescent="0.2">
      <c r="B1379" s="79">
        <f t="shared" si="267"/>
        <v>632</v>
      </c>
      <c r="C1379" s="14"/>
      <c r="D1379" s="14"/>
      <c r="E1379" s="14" t="s">
        <v>83</v>
      </c>
      <c r="F1379" s="54"/>
      <c r="G1379" s="14"/>
      <c r="H1379" s="14" t="s">
        <v>84</v>
      </c>
      <c r="I1379" s="51">
        <f>I1382+I1381+I1380</f>
        <v>42440</v>
      </c>
      <c r="J1379" s="51">
        <f>J1382+J1381+J1380+J1386</f>
        <v>320</v>
      </c>
      <c r="K1379" s="51">
        <f t="shared" si="265"/>
        <v>42760</v>
      </c>
      <c r="L1379" s="126"/>
      <c r="M1379" s="51">
        <v>0</v>
      </c>
      <c r="N1379" s="51"/>
      <c r="O1379" s="51">
        <f t="shared" si="266"/>
        <v>0</v>
      </c>
      <c r="P1379" s="126"/>
      <c r="Q1379" s="51">
        <f t="shared" si="273"/>
        <v>42440</v>
      </c>
      <c r="R1379" s="51">
        <f t="shared" si="263"/>
        <v>320</v>
      </c>
      <c r="S1379" s="51">
        <f t="shared" si="264"/>
        <v>42760</v>
      </c>
    </row>
    <row r="1380" spans="2:19" x14ac:dyDescent="0.2">
      <c r="B1380" s="79">
        <f t="shared" si="267"/>
        <v>633</v>
      </c>
      <c r="C1380" s="15"/>
      <c r="D1380" s="15"/>
      <c r="E1380" s="15"/>
      <c r="F1380" s="55" t="s">
        <v>166</v>
      </c>
      <c r="G1380" s="15">
        <v>610</v>
      </c>
      <c r="H1380" s="15" t="s">
        <v>136</v>
      </c>
      <c r="I1380" s="52">
        <v>27000</v>
      </c>
      <c r="J1380" s="52"/>
      <c r="K1380" s="52">
        <f t="shared" si="265"/>
        <v>27000</v>
      </c>
      <c r="L1380" s="126"/>
      <c r="M1380" s="52"/>
      <c r="N1380" s="52"/>
      <c r="O1380" s="52">
        <f t="shared" si="266"/>
        <v>0</v>
      </c>
      <c r="P1380" s="126"/>
      <c r="Q1380" s="52">
        <f t="shared" si="273"/>
        <v>27000</v>
      </c>
      <c r="R1380" s="52">
        <f t="shared" si="263"/>
        <v>0</v>
      </c>
      <c r="S1380" s="52">
        <f t="shared" si="264"/>
        <v>27000</v>
      </c>
    </row>
    <row r="1381" spans="2:19" x14ac:dyDescent="0.2">
      <c r="B1381" s="79">
        <f t="shared" si="267"/>
        <v>634</v>
      </c>
      <c r="C1381" s="15"/>
      <c r="D1381" s="15"/>
      <c r="E1381" s="15"/>
      <c r="F1381" s="55" t="s">
        <v>166</v>
      </c>
      <c r="G1381" s="15">
        <v>620</v>
      </c>
      <c r="H1381" s="15" t="s">
        <v>131</v>
      </c>
      <c r="I1381" s="52">
        <v>10030</v>
      </c>
      <c r="J1381" s="52"/>
      <c r="K1381" s="52">
        <f t="shared" si="265"/>
        <v>10030</v>
      </c>
      <c r="L1381" s="126"/>
      <c r="M1381" s="52"/>
      <c r="N1381" s="52"/>
      <c r="O1381" s="52">
        <f t="shared" si="266"/>
        <v>0</v>
      </c>
      <c r="P1381" s="126"/>
      <c r="Q1381" s="52">
        <f t="shared" si="273"/>
        <v>10030</v>
      </c>
      <c r="R1381" s="52">
        <f t="shared" si="263"/>
        <v>0</v>
      </c>
      <c r="S1381" s="52">
        <f t="shared" si="264"/>
        <v>10030</v>
      </c>
    </row>
    <row r="1382" spans="2:19" x14ac:dyDescent="0.2">
      <c r="B1382" s="79">
        <f t="shared" si="267"/>
        <v>635</v>
      </c>
      <c r="C1382" s="15"/>
      <c r="D1382" s="15"/>
      <c r="E1382" s="15"/>
      <c r="F1382" s="55" t="s">
        <v>166</v>
      </c>
      <c r="G1382" s="15">
        <v>630</v>
      </c>
      <c r="H1382" s="15" t="s">
        <v>128</v>
      </c>
      <c r="I1382" s="52">
        <f>I1385+I1384+I1383</f>
        <v>5410</v>
      </c>
      <c r="J1382" s="52">
        <f>J1385+J1384+J1383</f>
        <v>0</v>
      </c>
      <c r="K1382" s="52">
        <f t="shared" si="265"/>
        <v>5410</v>
      </c>
      <c r="L1382" s="126"/>
      <c r="M1382" s="52">
        <f>M1385+M1384+M1383</f>
        <v>0</v>
      </c>
      <c r="N1382" s="52">
        <f>N1385+N1384+N1383</f>
        <v>0</v>
      </c>
      <c r="O1382" s="52">
        <f t="shared" si="266"/>
        <v>0</v>
      </c>
      <c r="P1382" s="126"/>
      <c r="Q1382" s="52">
        <f t="shared" si="273"/>
        <v>5410</v>
      </c>
      <c r="R1382" s="52">
        <f t="shared" si="263"/>
        <v>0</v>
      </c>
      <c r="S1382" s="52">
        <f t="shared" si="264"/>
        <v>5410</v>
      </c>
    </row>
    <row r="1383" spans="2:19" x14ac:dyDescent="0.2">
      <c r="B1383" s="79">
        <f t="shared" si="267"/>
        <v>636</v>
      </c>
      <c r="C1383" s="4"/>
      <c r="D1383" s="4"/>
      <c r="E1383" s="4"/>
      <c r="F1383" s="56" t="s">
        <v>166</v>
      </c>
      <c r="G1383" s="4">
        <v>633</v>
      </c>
      <c r="H1383" s="4" t="s">
        <v>132</v>
      </c>
      <c r="I1383" s="26">
        <v>4050</v>
      </c>
      <c r="J1383" s="26">
        <v>250</v>
      </c>
      <c r="K1383" s="26">
        <f t="shared" si="265"/>
        <v>4300</v>
      </c>
      <c r="L1383" s="80"/>
      <c r="M1383" s="26"/>
      <c r="N1383" s="26"/>
      <c r="O1383" s="26">
        <f t="shared" si="266"/>
        <v>0</v>
      </c>
      <c r="P1383" s="80"/>
      <c r="Q1383" s="26">
        <f t="shared" si="273"/>
        <v>4050</v>
      </c>
      <c r="R1383" s="26">
        <f t="shared" si="263"/>
        <v>250</v>
      </c>
      <c r="S1383" s="26">
        <f t="shared" si="264"/>
        <v>4300</v>
      </c>
    </row>
    <row r="1384" spans="2:19" x14ac:dyDescent="0.2">
      <c r="B1384" s="79">
        <f t="shared" si="267"/>
        <v>637</v>
      </c>
      <c r="C1384" s="4"/>
      <c r="D1384" s="4"/>
      <c r="E1384" s="4"/>
      <c r="F1384" s="56" t="s">
        <v>166</v>
      </c>
      <c r="G1384" s="4">
        <v>635</v>
      </c>
      <c r="H1384" s="4" t="s">
        <v>138</v>
      </c>
      <c r="I1384" s="26">
        <v>200</v>
      </c>
      <c r="J1384" s="26"/>
      <c r="K1384" s="26">
        <f t="shared" si="265"/>
        <v>200</v>
      </c>
      <c r="L1384" s="80"/>
      <c r="M1384" s="26"/>
      <c r="N1384" s="26"/>
      <c r="O1384" s="26">
        <f t="shared" si="266"/>
        <v>0</v>
      </c>
      <c r="P1384" s="80"/>
      <c r="Q1384" s="26">
        <f t="shared" si="273"/>
        <v>200</v>
      </c>
      <c r="R1384" s="26">
        <f t="shared" si="263"/>
        <v>0</v>
      </c>
      <c r="S1384" s="26">
        <f t="shared" si="264"/>
        <v>200</v>
      </c>
    </row>
    <row r="1385" spans="2:19" x14ac:dyDescent="0.2">
      <c r="B1385" s="79">
        <f t="shared" si="267"/>
        <v>638</v>
      </c>
      <c r="C1385" s="4"/>
      <c r="D1385" s="4"/>
      <c r="E1385" s="4"/>
      <c r="F1385" s="56" t="s">
        <v>166</v>
      </c>
      <c r="G1385" s="4">
        <v>637</v>
      </c>
      <c r="H1385" s="4" t="s">
        <v>129</v>
      </c>
      <c r="I1385" s="26">
        <v>1160</v>
      </c>
      <c r="J1385" s="26">
        <v>-250</v>
      </c>
      <c r="K1385" s="26">
        <f t="shared" si="265"/>
        <v>910</v>
      </c>
      <c r="L1385" s="80"/>
      <c r="M1385" s="26"/>
      <c r="N1385" s="26"/>
      <c r="O1385" s="26">
        <f t="shared" si="266"/>
        <v>0</v>
      </c>
      <c r="P1385" s="80"/>
      <c r="Q1385" s="26">
        <f t="shared" si="273"/>
        <v>1160</v>
      </c>
      <c r="R1385" s="26">
        <f t="shared" si="263"/>
        <v>-250</v>
      </c>
      <c r="S1385" s="26">
        <f t="shared" si="264"/>
        <v>910</v>
      </c>
    </row>
    <row r="1386" spans="2:19" x14ac:dyDescent="0.2">
      <c r="B1386" s="79">
        <f t="shared" si="267"/>
        <v>639</v>
      </c>
      <c r="C1386" s="4"/>
      <c r="D1386" s="4"/>
      <c r="E1386" s="4"/>
      <c r="F1386" s="55" t="s">
        <v>166</v>
      </c>
      <c r="G1386" s="15">
        <v>640</v>
      </c>
      <c r="H1386" s="15" t="s">
        <v>135</v>
      </c>
      <c r="I1386" s="52">
        <v>0</v>
      </c>
      <c r="J1386" s="52">
        <v>320</v>
      </c>
      <c r="K1386" s="52">
        <f t="shared" ref="K1386" si="274">I1386+J1386</f>
        <v>320</v>
      </c>
      <c r="L1386" s="126"/>
      <c r="M1386" s="52"/>
      <c r="N1386" s="52"/>
      <c r="O1386" s="52">
        <f t="shared" ref="O1386" si="275">M1386+N1386</f>
        <v>0</v>
      </c>
      <c r="P1386" s="126"/>
      <c r="Q1386" s="52">
        <f t="shared" ref="Q1386" si="276">M1386+I1386</f>
        <v>0</v>
      </c>
      <c r="R1386" s="52">
        <f t="shared" ref="R1386" si="277">N1386+J1386</f>
        <v>320</v>
      </c>
      <c r="S1386" s="52">
        <f t="shared" ref="S1386" si="278">O1386+K1386</f>
        <v>320</v>
      </c>
    </row>
    <row r="1387" spans="2:19" x14ac:dyDescent="0.2">
      <c r="B1387" s="79">
        <f t="shared" si="267"/>
        <v>640</v>
      </c>
      <c r="C1387" s="14"/>
      <c r="D1387" s="14"/>
      <c r="E1387" s="14" t="s">
        <v>105</v>
      </c>
      <c r="F1387" s="54"/>
      <c r="G1387" s="14"/>
      <c r="H1387" s="14" t="s">
        <v>106</v>
      </c>
      <c r="I1387" s="51">
        <f>I1390+I1389+I1388</f>
        <v>25805</v>
      </c>
      <c r="J1387" s="51">
        <f>J1390+J1389+J1388</f>
        <v>270</v>
      </c>
      <c r="K1387" s="51">
        <f t="shared" si="265"/>
        <v>26075</v>
      </c>
      <c r="L1387" s="126"/>
      <c r="M1387" s="51">
        <f>M1390+M1389+M1388</f>
        <v>0</v>
      </c>
      <c r="N1387" s="51">
        <f>N1390+N1389+N1388</f>
        <v>0</v>
      </c>
      <c r="O1387" s="51">
        <f t="shared" si="266"/>
        <v>0</v>
      </c>
      <c r="P1387" s="126"/>
      <c r="Q1387" s="51">
        <f t="shared" si="273"/>
        <v>25805</v>
      </c>
      <c r="R1387" s="51">
        <f t="shared" si="263"/>
        <v>270</v>
      </c>
      <c r="S1387" s="51">
        <f t="shared" si="264"/>
        <v>26075</v>
      </c>
    </row>
    <row r="1388" spans="2:19" x14ac:dyDescent="0.2">
      <c r="B1388" s="79">
        <f t="shared" si="267"/>
        <v>641</v>
      </c>
      <c r="C1388" s="15"/>
      <c r="D1388" s="15"/>
      <c r="E1388" s="15"/>
      <c r="F1388" s="55" t="s">
        <v>166</v>
      </c>
      <c r="G1388" s="15">
        <v>610</v>
      </c>
      <c r="H1388" s="15" t="s">
        <v>136</v>
      </c>
      <c r="I1388" s="52">
        <v>16175</v>
      </c>
      <c r="J1388" s="52">
        <v>200</v>
      </c>
      <c r="K1388" s="52">
        <f t="shared" si="265"/>
        <v>16375</v>
      </c>
      <c r="L1388" s="126"/>
      <c r="M1388" s="52"/>
      <c r="N1388" s="52"/>
      <c r="O1388" s="52">
        <f t="shared" si="266"/>
        <v>0</v>
      </c>
      <c r="P1388" s="126"/>
      <c r="Q1388" s="52">
        <f t="shared" si="273"/>
        <v>16175</v>
      </c>
      <c r="R1388" s="52">
        <f t="shared" si="263"/>
        <v>200</v>
      </c>
      <c r="S1388" s="52">
        <f t="shared" si="264"/>
        <v>16375</v>
      </c>
    </row>
    <row r="1389" spans="2:19" x14ac:dyDescent="0.2">
      <c r="B1389" s="79">
        <f t="shared" si="267"/>
        <v>642</v>
      </c>
      <c r="C1389" s="15"/>
      <c r="D1389" s="15"/>
      <c r="E1389" s="15"/>
      <c r="F1389" s="55" t="s">
        <v>166</v>
      </c>
      <c r="G1389" s="15">
        <v>620</v>
      </c>
      <c r="H1389" s="15" t="s">
        <v>131</v>
      </c>
      <c r="I1389" s="52">
        <v>6010</v>
      </c>
      <c r="J1389" s="52">
        <v>70</v>
      </c>
      <c r="K1389" s="52">
        <f t="shared" si="265"/>
        <v>6080</v>
      </c>
      <c r="L1389" s="126"/>
      <c r="M1389" s="52"/>
      <c r="N1389" s="52"/>
      <c r="O1389" s="52">
        <f t="shared" si="266"/>
        <v>0</v>
      </c>
      <c r="P1389" s="126"/>
      <c r="Q1389" s="52">
        <f t="shared" si="273"/>
        <v>6010</v>
      </c>
      <c r="R1389" s="52">
        <f t="shared" si="263"/>
        <v>70</v>
      </c>
      <c r="S1389" s="52">
        <f t="shared" si="264"/>
        <v>6080</v>
      </c>
    </row>
    <row r="1390" spans="2:19" x14ac:dyDescent="0.2">
      <c r="B1390" s="79">
        <f t="shared" si="267"/>
        <v>643</v>
      </c>
      <c r="C1390" s="15"/>
      <c r="D1390" s="15"/>
      <c r="E1390" s="15"/>
      <c r="F1390" s="55" t="s">
        <v>166</v>
      </c>
      <c r="G1390" s="15">
        <v>630</v>
      </c>
      <c r="H1390" s="15" t="s">
        <v>128</v>
      </c>
      <c r="I1390" s="52">
        <f>I1393+I1392+I1391</f>
        <v>3620</v>
      </c>
      <c r="J1390" s="52">
        <f>J1393+J1392+J1391</f>
        <v>0</v>
      </c>
      <c r="K1390" s="52">
        <f t="shared" si="265"/>
        <v>3620</v>
      </c>
      <c r="L1390" s="126"/>
      <c r="M1390" s="52">
        <f>M1393+M1392+M1391</f>
        <v>0</v>
      </c>
      <c r="N1390" s="52">
        <f>N1393+N1392+N1391</f>
        <v>0</v>
      </c>
      <c r="O1390" s="52">
        <f t="shared" si="266"/>
        <v>0</v>
      </c>
      <c r="P1390" s="126"/>
      <c r="Q1390" s="52">
        <f t="shared" si="273"/>
        <v>3620</v>
      </c>
      <c r="R1390" s="52">
        <f t="shared" si="263"/>
        <v>0</v>
      </c>
      <c r="S1390" s="52">
        <f t="shared" si="264"/>
        <v>3620</v>
      </c>
    </row>
    <row r="1391" spans="2:19" x14ac:dyDescent="0.2">
      <c r="B1391" s="79">
        <f t="shared" si="267"/>
        <v>644</v>
      </c>
      <c r="C1391" s="4"/>
      <c r="D1391" s="4"/>
      <c r="E1391" s="4"/>
      <c r="F1391" s="56" t="s">
        <v>166</v>
      </c>
      <c r="G1391" s="4">
        <v>633</v>
      </c>
      <c r="H1391" s="4" t="s">
        <v>132</v>
      </c>
      <c r="I1391" s="26">
        <v>2590</v>
      </c>
      <c r="J1391" s="26">
        <v>400</v>
      </c>
      <c r="K1391" s="26">
        <f t="shared" si="265"/>
        <v>2990</v>
      </c>
      <c r="L1391" s="80"/>
      <c r="M1391" s="26"/>
      <c r="N1391" s="26"/>
      <c r="O1391" s="26">
        <f t="shared" si="266"/>
        <v>0</v>
      </c>
      <c r="P1391" s="80"/>
      <c r="Q1391" s="26">
        <f t="shared" si="273"/>
        <v>2590</v>
      </c>
      <c r="R1391" s="26">
        <f t="shared" si="263"/>
        <v>400</v>
      </c>
      <c r="S1391" s="26">
        <f t="shared" si="264"/>
        <v>2990</v>
      </c>
    </row>
    <row r="1392" spans="2:19" x14ac:dyDescent="0.2">
      <c r="B1392" s="79">
        <f t="shared" si="267"/>
        <v>645</v>
      </c>
      <c r="C1392" s="4"/>
      <c r="D1392" s="4"/>
      <c r="E1392" s="4"/>
      <c r="F1392" s="56" t="s">
        <v>166</v>
      </c>
      <c r="G1392" s="4">
        <v>635</v>
      </c>
      <c r="H1392" s="4" t="s">
        <v>138</v>
      </c>
      <c r="I1392" s="26">
        <v>200</v>
      </c>
      <c r="J1392" s="26"/>
      <c r="K1392" s="26">
        <f t="shared" si="265"/>
        <v>200</v>
      </c>
      <c r="L1392" s="80"/>
      <c r="M1392" s="26"/>
      <c r="N1392" s="26"/>
      <c r="O1392" s="26">
        <f t="shared" si="266"/>
        <v>0</v>
      </c>
      <c r="P1392" s="80"/>
      <c r="Q1392" s="26">
        <f t="shared" si="273"/>
        <v>200</v>
      </c>
      <c r="R1392" s="26">
        <f t="shared" si="263"/>
        <v>0</v>
      </c>
      <c r="S1392" s="26">
        <f t="shared" si="264"/>
        <v>200</v>
      </c>
    </row>
    <row r="1393" spans="2:19" x14ac:dyDescent="0.2">
      <c r="B1393" s="79">
        <f t="shared" si="267"/>
        <v>646</v>
      </c>
      <c r="C1393" s="4"/>
      <c r="D1393" s="4"/>
      <c r="E1393" s="4"/>
      <c r="F1393" s="56" t="s">
        <v>166</v>
      </c>
      <c r="G1393" s="4">
        <v>637</v>
      </c>
      <c r="H1393" s="4" t="s">
        <v>129</v>
      </c>
      <c r="I1393" s="26">
        <v>830</v>
      </c>
      <c r="J1393" s="26">
        <v>-400</v>
      </c>
      <c r="K1393" s="26">
        <f t="shared" si="265"/>
        <v>430</v>
      </c>
      <c r="L1393" s="80"/>
      <c r="M1393" s="26"/>
      <c r="N1393" s="26"/>
      <c r="O1393" s="26">
        <f t="shared" si="266"/>
        <v>0</v>
      </c>
      <c r="P1393" s="80"/>
      <c r="Q1393" s="26">
        <f t="shared" si="273"/>
        <v>830</v>
      </c>
      <c r="R1393" s="26">
        <f t="shared" si="263"/>
        <v>-400</v>
      </c>
      <c r="S1393" s="26">
        <f t="shared" si="264"/>
        <v>430</v>
      </c>
    </row>
    <row r="1394" spans="2:19" x14ac:dyDescent="0.2">
      <c r="B1394" s="79">
        <f t="shared" si="267"/>
        <v>647</v>
      </c>
      <c r="C1394" s="14"/>
      <c r="D1394" s="14"/>
      <c r="E1394" s="14" t="s">
        <v>104</v>
      </c>
      <c r="F1394" s="54"/>
      <c r="G1394" s="14"/>
      <c r="H1394" s="14" t="s">
        <v>251</v>
      </c>
      <c r="I1394" s="51">
        <f>I1401+I1397+I1396+I1395</f>
        <v>32277</v>
      </c>
      <c r="J1394" s="51">
        <f>J1401+J1397+J1396+J1395</f>
        <v>0</v>
      </c>
      <c r="K1394" s="51">
        <f t="shared" si="265"/>
        <v>32277</v>
      </c>
      <c r="L1394" s="126"/>
      <c r="M1394" s="51">
        <f>M1401+M1397+M1396+M1395</f>
        <v>0</v>
      </c>
      <c r="N1394" s="51">
        <f>N1401+N1397+N1396+N1395</f>
        <v>0</v>
      </c>
      <c r="O1394" s="51">
        <f t="shared" si="266"/>
        <v>0</v>
      </c>
      <c r="P1394" s="126"/>
      <c r="Q1394" s="51">
        <f t="shared" si="273"/>
        <v>32277</v>
      </c>
      <c r="R1394" s="51">
        <f t="shared" si="263"/>
        <v>0</v>
      </c>
      <c r="S1394" s="51">
        <f t="shared" si="264"/>
        <v>32277</v>
      </c>
    </row>
    <row r="1395" spans="2:19" x14ac:dyDescent="0.2">
      <c r="B1395" s="79">
        <f t="shared" si="267"/>
        <v>648</v>
      </c>
      <c r="C1395" s="15"/>
      <c r="D1395" s="15"/>
      <c r="E1395" s="15"/>
      <c r="F1395" s="55" t="s">
        <v>166</v>
      </c>
      <c r="G1395" s="15">
        <v>610</v>
      </c>
      <c r="H1395" s="15" t="s">
        <v>136</v>
      </c>
      <c r="I1395" s="52">
        <v>18251</v>
      </c>
      <c r="J1395" s="52">
        <v>250</v>
      </c>
      <c r="K1395" s="52">
        <f t="shared" si="265"/>
        <v>18501</v>
      </c>
      <c r="L1395" s="126"/>
      <c r="M1395" s="52"/>
      <c r="N1395" s="52"/>
      <c r="O1395" s="52">
        <f t="shared" si="266"/>
        <v>0</v>
      </c>
      <c r="P1395" s="126"/>
      <c r="Q1395" s="52">
        <f t="shared" si="273"/>
        <v>18251</v>
      </c>
      <c r="R1395" s="52">
        <f t="shared" si="263"/>
        <v>250</v>
      </c>
      <c r="S1395" s="52">
        <f t="shared" si="264"/>
        <v>18501</v>
      </c>
    </row>
    <row r="1396" spans="2:19" x14ac:dyDescent="0.2">
      <c r="B1396" s="79">
        <f t="shared" si="267"/>
        <v>649</v>
      </c>
      <c r="C1396" s="15"/>
      <c r="D1396" s="15"/>
      <c r="E1396" s="15"/>
      <c r="F1396" s="55" t="s">
        <v>166</v>
      </c>
      <c r="G1396" s="15">
        <v>620</v>
      </c>
      <c r="H1396" s="15" t="s">
        <v>131</v>
      </c>
      <c r="I1396" s="52">
        <v>6781</v>
      </c>
      <c r="J1396" s="52"/>
      <c r="K1396" s="52">
        <f t="shared" si="265"/>
        <v>6781</v>
      </c>
      <c r="L1396" s="126"/>
      <c r="M1396" s="52"/>
      <c r="N1396" s="52"/>
      <c r="O1396" s="52">
        <f t="shared" si="266"/>
        <v>0</v>
      </c>
      <c r="P1396" s="126"/>
      <c r="Q1396" s="52">
        <f t="shared" si="273"/>
        <v>6781</v>
      </c>
      <c r="R1396" s="52">
        <f t="shared" si="263"/>
        <v>0</v>
      </c>
      <c r="S1396" s="52">
        <f t="shared" si="264"/>
        <v>6781</v>
      </c>
    </row>
    <row r="1397" spans="2:19" x14ac:dyDescent="0.2">
      <c r="B1397" s="79">
        <f t="shared" si="267"/>
        <v>650</v>
      </c>
      <c r="C1397" s="15"/>
      <c r="D1397" s="15"/>
      <c r="E1397" s="15"/>
      <c r="F1397" s="55" t="s">
        <v>166</v>
      </c>
      <c r="G1397" s="15">
        <v>630</v>
      </c>
      <c r="H1397" s="15" t="s">
        <v>128</v>
      </c>
      <c r="I1397" s="52">
        <f>I1400+I1399+I1398</f>
        <v>6795</v>
      </c>
      <c r="J1397" s="52">
        <f>J1400+J1399+J1398</f>
        <v>0</v>
      </c>
      <c r="K1397" s="52">
        <f t="shared" si="265"/>
        <v>6795</v>
      </c>
      <c r="L1397" s="126"/>
      <c r="M1397" s="52">
        <f>M1400+M1399+M1398</f>
        <v>0</v>
      </c>
      <c r="N1397" s="52">
        <f>N1400+N1399+N1398</f>
        <v>0</v>
      </c>
      <c r="O1397" s="52">
        <f t="shared" si="266"/>
        <v>0</v>
      </c>
      <c r="P1397" s="126"/>
      <c r="Q1397" s="52">
        <f t="shared" si="273"/>
        <v>6795</v>
      </c>
      <c r="R1397" s="52">
        <f t="shared" si="263"/>
        <v>0</v>
      </c>
      <c r="S1397" s="52">
        <f t="shared" si="264"/>
        <v>6795</v>
      </c>
    </row>
    <row r="1398" spans="2:19" x14ac:dyDescent="0.2">
      <c r="B1398" s="79">
        <f t="shared" si="267"/>
        <v>651</v>
      </c>
      <c r="C1398" s="4"/>
      <c r="D1398" s="4"/>
      <c r="E1398" s="4"/>
      <c r="F1398" s="56" t="s">
        <v>166</v>
      </c>
      <c r="G1398" s="4">
        <v>633</v>
      </c>
      <c r="H1398" s="4" t="s">
        <v>132</v>
      </c>
      <c r="I1398" s="26">
        <f>5200+350</f>
        <v>5550</v>
      </c>
      <c r="J1398" s="26">
        <v>-1500</v>
      </c>
      <c r="K1398" s="26">
        <f t="shared" si="265"/>
        <v>4050</v>
      </c>
      <c r="L1398" s="80"/>
      <c r="M1398" s="26"/>
      <c r="N1398" s="26"/>
      <c r="O1398" s="26">
        <f t="shared" si="266"/>
        <v>0</v>
      </c>
      <c r="P1398" s="80"/>
      <c r="Q1398" s="26">
        <f t="shared" si="273"/>
        <v>5550</v>
      </c>
      <c r="R1398" s="26">
        <f t="shared" si="263"/>
        <v>-1500</v>
      </c>
      <c r="S1398" s="26">
        <f t="shared" si="264"/>
        <v>4050</v>
      </c>
    </row>
    <row r="1399" spans="2:19" x14ac:dyDescent="0.2">
      <c r="B1399" s="79">
        <f t="shared" si="267"/>
        <v>652</v>
      </c>
      <c r="C1399" s="4"/>
      <c r="D1399" s="4"/>
      <c r="E1399" s="4"/>
      <c r="F1399" s="56" t="s">
        <v>166</v>
      </c>
      <c r="G1399" s="4">
        <v>635</v>
      </c>
      <c r="H1399" s="4" t="s">
        <v>138</v>
      </c>
      <c r="I1399" s="26">
        <v>150</v>
      </c>
      <c r="J1399" s="26">
        <v>1821</v>
      </c>
      <c r="K1399" s="26">
        <f t="shared" si="265"/>
        <v>1971</v>
      </c>
      <c r="L1399" s="80"/>
      <c r="M1399" s="26"/>
      <c r="N1399" s="26"/>
      <c r="O1399" s="26">
        <f t="shared" si="266"/>
        <v>0</v>
      </c>
      <c r="P1399" s="80"/>
      <c r="Q1399" s="26">
        <f t="shared" si="273"/>
        <v>150</v>
      </c>
      <c r="R1399" s="26">
        <f t="shared" si="263"/>
        <v>1821</v>
      </c>
      <c r="S1399" s="26">
        <f t="shared" si="264"/>
        <v>1971</v>
      </c>
    </row>
    <row r="1400" spans="2:19" x14ac:dyDescent="0.2">
      <c r="B1400" s="79">
        <f t="shared" si="267"/>
        <v>653</v>
      </c>
      <c r="C1400" s="4"/>
      <c r="D1400" s="4"/>
      <c r="E1400" s="4"/>
      <c r="F1400" s="56" t="s">
        <v>166</v>
      </c>
      <c r="G1400" s="4">
        <v>637</v>
      </c>
      <c r="H1400" s="4" t="s">
        <v>129</v>
      </c>
      <c r="I1400" s="26">
        <v>1095</v>
      </c>
      <c r="J1400" s="26">
        <v>-321</v>
      </c>
      <c r="K1400" s="26">
        <f t="shared" si="265"/>
        <v>774</v>
      </c>
      <c r="L1400" s="80"/>
      <c r="M1400" s="26"/>
      <c r="N1400" s="26"/>
      <c r="O1400" s="26">
        <f t="shared" si="266"/>
        <v>0</v>
      </c>
      <c r="P1400" s="80"/>
      <c r="Q1400" s="26">
        <f t="shared" si="273"/>
        <v>1095</v>
      </c>
      <c r="R1400" s="26">
        <f t="shared" si="263"/>
        <v>-321</v>
      </c>
      <c r="S1400" s="26">
        <f t="shared" si="264"/>
        <v>774</v>
      </c>
    </row>
    <row r="1401" spans="2:19" x14ac:dyDescent="0.2">
      <c r="B1401" s="79">
        <f t="shared" si="267"/>
        <v>654</v>
      </c>
      <c r="C1401" s="15"/>
      <c r="D1401" s="15"/>
      <c r="E1401" s="15"/>
      <c r="F1401" s="55" t="s">
        <v>166</v>
      </c>
      <c r="G1401" s="15">
        <v>640</v>
      </c>
      <c r="H1401" s="15" t="s">
        <v>135</v>
      </c>
      <c r="I1401" s="52">
        <v>450</v>
      </c>
      <c r="J1401" s="52">
        <v>-250</v>
      </c>
      <c r="K1401" s="52">
        <f t="shared" si="265"/>
        <v>200</v>
      </c>
      <c r="L1401" s="126"/>
      <c r="M1401" s="52"/>
      <c r="N1401" s="52"/>
      <c r="O1401" s="52">
        <f t="shared" si="266"/>
        <v>0</v>
      </c>
      <c r="P1401" s="126"/>
      <c r="Q1401" s="52">
        <f t="shared" si="273"/>
        <v>450</v>
      </c>
      <c r="R1401" s="52">
        <f t="shared" si="263"/>
        <v>-250</v>
      </c>
      <c r="S1401" s="52">
        <f t="shared" si="264"/>
        <v>200</v>
      </c>
    </row>
    <row r="1402" spans="2:19" x14ac:dyDescent="0.2">
      <c r="B1402" s="79">
        <f t="shared" si="267"/>
        <v>655</v>
      </c>
      <c r="C1402" s="14"/>
      <c r="D1402" s="14"/>
      <c r="E1402" s="14" t="s">
        <v>100</v>
      </c>
      <c r="F1402" s="54"/>
      <c r="G1402" s="14"/>
      <c r="H1402" s="14" t="s">
        <v>65</v>
      </c>
      <c r="I1402" s="51">
        <f>I1405+I1404+I1403</f>
        <v>33805</v>
      </c>
      <c r="J1402" s="51">
        <f>J1405+J1404+J1403</f>
        <v>1877</v>
      </c>
      <c r="K1402" s="51">
        <f t="shared" si="265"/>
        <v>35682</v>
      </c>
      <c r="L1402" s="126"/>
      <c r="M1402" s="51">
        <f>M1405+M1404+M1403</f>
        <v>0</v>
      </c>
      <c r="N1402" s="51">
        <f>N1405+N1404+N1403</f>
        <v>0</v>
      </c>
      <c r="O1402" s="51">
        <f t="shared" si="266"/>
        <v>0</v>
      </c>
      <c r="P1402" s="126"/>
      <c r="Q1402" s="51">
        <f t="shared" si="273"/>
        <v>33805</v>
      </c>
      <c r="R1402" s="51">
        <f t="shared" ref="R1402:R1467" si="279">N1402+J1402</f>
        <v>1877</v>
      </c>
      <c r="S1402" s="51">
        <f t="shared" ref="S1402:S1467" si="280">O1402+K1402</f>
        <v>35682</v>
      </c>
    </row>
    <row r="1403" spans="2:19" x14ac:dyDescent="0.2">
      <c r="B1403" s="79">
        <f t="shared" si="267"/>
        <v>656</v>
      </c>
      <c r="C1403" s="15"/>
      <c r="D1403" s="15"/>
      <c r="E1403" s="15"/>
      <c r="F1403" s="55" t="s">
        <v>166</v>
      </c>
      <c r="G1403" s="15">
        <v>610</v>
      </c>
      <c r="H1403" s="15" t="s">
        <v>136</v>
      </c>
      <c r="I1403" s="52">
        <v>21020</v>
      </c>
      <c r="J1403" s="52"/>
      <c r="K1403" s="52">
        <f t="shared" si="265"/>
        <v>21020</v>
      </c>
      <c r="L1403" s="126"/>
      <c r="M1403" s="52"/>
      <c r="N1403" s="52"/>
      <c r="O1403" s="52">
        <f t="shared" si="266"/>
        <v>0</v>
      </c>
      <c r="P1403" s="126"/>
      <c r="Q1403" s="52">
        <f t="shared" si="273"/>
        <v>21020</v>
      </c>
      <c r="R1403" s="52">
        <f t="shared" si="279"/>
        <v>0</v>
      </c>
      <c r="S1403" s="52">
        <f t="shared" si="280"/>
        <v>21020</v>
      </c>
    </row>
    <row r="1404" spans="2:19" x14ac:dyDescent="0.2">
      <c r="B1404" s="79">
        <f t="shared" si="267"/>
        <v>657</v>
      </c>
      <c r="C1404" s="15"/>
      <c r="D1404" s="15"/>
      <c r="E1404" s="15"/>
      <c r="F1404" s="55" t="s">
        <v>166</v>
      </c>
      <c r="G1404" s="15">
        <v>620</v>
      </c>
      <c r="H1404" s="15" t="s">
        <v>131</v>
      </c>
      <c r="I1404" s="52">
        <v>7810</v>
      </c>
      <c r="J1404" s="52"/>
      <c r="K1404" s="52">
        <f t="shared" si="265"/>
        <v>7810</v>
      </c>
      <c r="L1404" s="126"/>
      <c r="M1404" s="52"/>
      <c r="N1404" s="52"/>
      <c r="O1404" s="52">
        <f t="shared" si="266"/>
        <v>0</v>
      </c>
      <c r="P1404" s="126"/>
      <c r="Q1404" s="52">
        <f t="shared" si="273"/>
        <v>7810</v>
      </c>
      <c r="R1404" s="52">
        <f t="shared" si="279"/>
        <v>0</v>
      </c>
      <c r="S1404" s="52">
        <f t="shared" si="280"/>
        <v>7810</v>
      </c>
    </row>
    <row r="1405" spans="2:19" x14ac:dyDescent="0.2">
      <c r="B1405" s="79">
        <f t="shared" si="267"/>
        <v>658</v>
      </c>
      <c r="C1405" s="15"/>
      <c r="D1405" s="15"/>
      <c r="E1405" s="15"/>
      <c r="F1405" s="55" t="s">
        <v>166</v>
      </c>
      <c r="G1405" s="15">
        <v>630</v>
      </c>
      <c r="H1405" s="15" t="s">
        <v>128</v>
      </c>
      <c r="I1405" s="52">
        <f>I1408+I1407+I1406</f>
        <v>4975</v>
      </c>
      <c r="J1405" s="52">
        <f>J1408+J1407+J1406</f>
        <v>1877</v>
      </c>
      <c r="K1405" s="52">
        <f t="shared" si="265"/>
        <v>6852</v>
      </c>
      <c r="L1405" s="126"/>
      <c r="M1405" s="52">
        <f>M1408+M1407+M1406</f>
        <v>0</v>
      </c>
      <c r="N1405" s="52">
        <f>N1408+N1407+N1406</f>
        <v>0</v>
      </c>
      <c r="O1405" s="52">
        <f t="shared" si="266"/>
        <v>0</v>
      </c>
      <c r="P1405" s="126"/>
      <c r="Q1405" s="52">
        <f t="shared" si="273"/>
        <v>4975</v>
      </c>
      <c r="R1405" s="52">
        <f t="shared" si="279"/>
        <v>1877</v>
      </c>
      <c r="S1405" s="52">
        <f t="shared" si="280"/>
        <v>6852</v>
      </c>
    </row>
    <row r="1406" spans="2:19" x14ac:dyDescent="0.2">
      <c r="B1406" s="79">
        <f t="shared" si="267"/>
        <v>659</v>
      </c>
      <c r="C1406" s="4"/>
      <c r="D1406" s="4"/>
      <c r="E1406" s="4"/>
      <c r="F1406" s="56" t="s">
        <v>166</v>
      </c>
      <c r="G1406" s="4">
        <v>633</v>
      </c>
      <c r="H1406" s="4" t="s">
        <v>132</v>
      </c>
      <c r="I1406" s="26">
        <v>3200</v>
      </c>
      <c r="J1406" s="26">
        <v>700</v>
      </c>
      <c r="K1406" s="26">
        <f t="shared" ref="K1406:K1471" si="281">I1406+J1406</f>
        <v>3900</v>
      </c>
      <c r="L1406" s="80"/>
      <c r="M1406" s="26"/>
      <c r="N1406" s="26"/>
      <c r="O1406" s="26">
        <f t="shared" ref="O1406:O1471" si="282">M1406+N1406</f>
        <v>0</v>
      </c>
      <c r="P1406" s="80"/>
      <c r="Q1406" s="26">
        <f t="shared" si="273"/>
        <v>3200</v>
      </c>
      <c r="R1406" s="26">
        <f t="shared" si="279"/>
        <v>700</v>
      </c>
      <c r="S1406" s="26">
        <f t="shared" si="280"/>
        <v>3900</v>
      </c>
    </row>
    <row r="1407" spans="2:19" x14ac:dyDescent="0.2">
      <c r="B1407" s="79">
        <f t="shared" ref="B1407:B1472" si="283">B1406+1</f>
        <v>660</v>
      </c>
      <c r="C1407" s="4"/>
      <c r="D1407" s="4"/>
      <c r="E1407" s="4"/>
      <c r="F1407" s="56" t="s">
        <v>166</v>
      </c>
      <c r="G1407" s="4">
        <v>635</v>
      </c>
      <c r="H1407" s="4" t="s">
        <v>138</v>
      </c>
      <c r="I1407" s="26">
        <v>150</v>
      </c>
      <c r="J1407" s="26">
        <v>1877</v>
      </c>
      <c r="K1407" s="26">
        <f t="shared" si="281"/>
        <v>2027</v>
      </c>
      <c r="L1407" s="80"/>
      <c r="M1407" s="26"/>
      <c r="N1407" s="26"/>
      <c r="O1407" s="26">
        <f t="shared" si="282"/>
        <v>0</v>
      </c>
      <c r="P1407" s="80"/>
      <c r="Q1407" s="26">
        <f t="shared" si="273"/>
        <v>150</v>
      </c>
      <c r="R1407" s="26">
        <f t="shared" si="279"/>
        <v>1877</v>
      </c>
      <c r="S1407" s="26">
        <f t="shared" si="280"/>
        <v>2027</v>
      </c>
    </row>
    <row r="1408" spans="2:19" x14ac:dyDescent="0.2">
      <c r="B1408" s="79">
        <f t="shared" si="283"/>
        <v>661</v>
      </c>
      <c r="C1408" s="4"/>
      <c r="D1408" s="4"/>
      <c r="E1408" s="4"/>
      <c r="F1408" s="56" t="s">
        <v>166</v>
      </c>
      <c r="G1408" s="4">
        <v>637</v>
      </c>
      <c r="H1408" s="4" t="s">
        <v>129</v>
      </c>
      <c r="I1408" s="26">
        <v>1625</v>
      </c>
      <c r="J1408" s="26">
        <v>-700</v>
      </c>
      <c r="K1408" s="26">
        <f t="shared" si="281"/>
        <v>925</v>
      </c>
      <c r="L1408" s="80"/>
      <c r="M1408" s="26"/>
      <c r="N1408" s="26"/>
      <c r="O1408" s="26">
        <f t="shared" si="282"/>
        <v>0</v>
      </c>
      <c r="P1408" s="80"/>
      <c r="Q1408" s="26">
        <f t="shared" si="273"/>
        <v>1625</v>
      </c>
      <c r="R1408" s="26">
        <f t="shared" si="279"/>
        <v>-700</v>
      </c>
      <c r="S1408" s="26">
        <f t="shared" si="280"/>
        <v>925</v>
      </c>
    </row>
    <row r="1409" spans="2:19" x14ac:dyDescent="0.2">
      <c r="B1409" s="79">
        <f t="shared" si="283"/>
        <v>662</v>
      </c>
      <c r="C1409" s="14"/>
      <c r="D1409" s="14"/>
      <c r="E1409" s="14" t="s">
        <v>103</v>
      </c>
      <c r="F1409" s="54"/>
      <c r="G1409" s="14"/>
      <c r="H1409" s="14" t="s">
        <v>66</v>
      </c>
      <c r="I1409" s="51">
        <f>I1412+I1411+I1410</f>
        <v>25635</v>
      </c>
      <c r="J1409" s="51">
        <f>J1412+J1411+J1410</f>
        <v>-74</v>
      </c>
      <c r="K1409" s="51">
        <f t="shared" si="281"/>
        <v>25561</v>
      </c>
      <c r="L1409" s="126"/>
      <c r="M1409" s="51">
        <f>M1412+M1411+M1410</f>
        <v>0</v>
      </c>
      <c r="N1409" s="51">
        <f>N1412+N1411+N1410</f>
        <v>0</v>
      </c>
      <c r="O1409" s="51">
        <f t="shared" si="282"/>
        <v>0</v>
      </c>
      <c r="P1409" s="126"/>
      <c r="Q1409" s="51">
        <f t="shared" si="273"/>
        <v>25635</v>
      </c>
      <c r="R1409" s="51">
        <f t="shared" si="279"/>
        <v>-74</v>
      </c>
      <c r="S1409" s="51">
        <f t="shared" si="280"/>
        <v>25561</v>
      </c>
    </row>
    <row r="1410" spans="2:19" x14ac:dyDescent="0.2">
      <c r="B1410" s="79">
        <f t="shared" si="283"/>
        <v>663</v>
      </c>
      <c r="C1410" s="15"/>
      <c r="D1410" s="15"/>
      <c r="E1410" s="15"/>
      <c r="F1410" s="55" t="s">
        <v>166</v>
      </c>
      <c r="G1410" s="15">
        <v>610</v>
      </c>
      <c r="H1410" s="15" t="s">
        <v>136</v>
      </c>
      <c r="I1410" s="52">
        <v>16400</v>
      </c>
      <c r="J1410" s="52"/>
      <c r="K1410" s="52">
        <f t="shared" si="281"/>
        <v>16400</v>
      </c>
      <c r="L1410" s="126"/>
      <c r="M1410" s="52"/>
      <c r="N1410" s="52"/>
      <c r="O1410" s="52">
        <f t="shared" si="282"/>
        <v>0</v>
      </c>
      <c r="P1410" s="126"/>
      <c r="Q1410" s="52">
        <f t="shared" si="273"/>
        <v>16400</v>
      </c>
      <c r="R1410" s="52">
        <f t="shared" si="279"/>
        <v>0</v>
      </c>
      <c r="S1410" s="52">
        <f t="shared" si="280"/>
        <v>16400</v>
      </c>
    </row>
    <row r="1411" spans="2:19" x14ac:dyDescent="0.2">
      <c r="B1411" s="79">
        <f t="shared" si="283"/>
        <v>664</v>
      </c>
      <c r="C1411" s="15"/>
      <c r="D1411" s="15"/>
      <c r="E1411" s="15"/>
      <c r="F1411" s="55" t="s">
        <v>166</v>
      </c>
      <c r="G1411" s="15">
        <v>620</v>
      </c>
      <c r="H1411" s="15" t="s">
        <v>131</v>
      </c>
      <c r="I1411" s="52">
        <v>6095</v>
      </c>
      <c r="J1411" s="52"/>
      <c r="K1411" s="52">
        <f t="shared" si="281"/>
        <v>6095</v>
      </c>
      <c r="L1411" s="126"/>
      <c r="M1411" s="52"/>
      <c r="N1411" s="52"/>
      <c r="O1411" s="52">
        <f t="shared" si="282"/>
        <v>0</v>
      </c>
      <c r="P1411" s="126"/>
      <c r="Q1411" s="52">
        <f t="shared" si="273"/>
        <v>6095</v>
      </c>
      <c r="R1411" s="52">
        <f t="shared" si="279"/>
        <v>0</v>
      </c>
      <c r="S1411" s="52">
        <f t="shared" si="280"/>
        <v>6095</v>
      </c>
    </row>
    <row r="1412" spans="2:19" x14ac:dyDescent="0.2">
      <c r="B1412" s="79">
        <f t="shared" si="283"/>
        <v>665</v>
      </c>
      <c r="C1412" s="15"/>
      <c r="D1412" s="15"/>
      <c r="E1412" s="15"/>
      <c r="F1412" s="55" t="s">
        <v>166</v>
      </c>
      <c r="G1412" s="15">
        <v>630</v>
      </c>
      <c r="H1412" s="15" t="s">
        <v>128</v>
      </c>
      <c r="I1412" s="52">
        <f>I1415+I1414+I1413</f>
        <v>3140</v>
      </c>
      <c r="J1412" s="52">
        <f>J1415+J1414+J1413</f>
        <v>-74</v>
      </c>
      <c r="K1412" s="52">
        <f t="shared" si="281"/>
        <v>3066</v>
      </c>
      <c r="L1412" s="126"/>
      <c r="M1412" s="52">
        <f>M1415+M1414+M1413</f>
        <v>0</v>
      </c>
      <c r="N1412" s="52">
        <f>N1415+N1414+N1413</f>
        <v>0</v>
      </c>
      <c r="O1412" s="52">
        <f t="shared" si="282"/>
        <v>0</v>
      </c>
      <c r="P1412" s="126"/>
      <c r="Q1412" s="52">
        <f t="shared" si="273"/>
        <v>3140</v>
      </c>
      <c r="R1412" s="52">
        <f t="shared" si="279"/>
        <v>-74</v>
      </c>
      <c r="S1412" s="52">
        <f t="shared" si="280"/>
        <v>3066</v>
      </c>
    </row>
    <row r="1413" spans="2:19" x14ac:dyDescent="0.2">
      <c r="B1413" s="79">
        <f t="shared" si="283"/>
        <v>666</v>
      </c>
      <c r="C1413" s="4"/>
      <c r="D1413" s="4"/>
      <c r="E1413" s="4"/>
      <c r="F1413" s="56" t="s">
        <v>166</v>
      </c>
      <c r="G1413" s="4">
        <v>633</v>
      </c>
      <c r="H1413" s="4" t="s">
        <v>132</v>
      </c>
      <c r="I1413" s="26">
        <v>1500</v>
      </c>
      <c r="J1413" s="26">
        <v>637</v>
      </c>
      <c r="K1413" s="26">
        <f t="shared" si="281"/>
        <v>2137</v>
      </c>
      <c r="L1413" s="80"/>
      <c r="M1413" s="26"/>
      <c r="N1413" s="26"/>
      <c r="O1413" s="26">
        <f t="shared" si="282"/>
        <v>0</v>
      </c>
      <c r="P1413" s="80"/>
      <c r="Q1413" s="26">
        <f t="shared" si="273"/>
        <v>1500</v>
      </c>
      <c r="R1413" s="26">
        <f t="shared" si="279"/>
        <v>637</v>
      </c>
      <c r="S1413" s="26">
        <f t="shared" si="280"/>
        <v>2137</v>
      </c>
    </row>
    <row r="1414" spans="2:19" x14ac:dyDescent="0.2">
      <c r="B1414" s="79">
        <f t="shared" si="283"/>
        <v>667</v>
      </c>
      <c r="C1414" s="4"/>
      <c r="D1414" s="4"/>
      <c r="E1414" s="4"/>
      <c r="F1414" s="56" t="s">
        <v>166</v>
      </c>
      <c r="G1414" s="4">
        <v>635</v>
      </c>
      <c r="H1414" s="4" t="s">
        <v>138</v>
      </c>
      <c r="I1414" s="26">
        <v>200</v>
      </c>
      <c r="J1414" s="26">
        <v>189</v>
      </c>
      <c r="K1414" s="26">
        <f t="shared" si="281"/>
        <v>389</v>
      </c>
      <c r="L1414" s="80"/>
      <c r="M1414" s="26"/>
      <c r="N1414" s="26"/>
      <c r="O1414" s="26">
        <f t="shared" si="282"/>
        <v>0</v>
      </c>
      <c r="P1414" s="80"/>
      <c r="Q1414" s="26">
        <f t="shared" si="273"/>
        <v>200</v>
      </c>
      <c r="R1414" s="26">
        <f t="shared" si="279"/>
        <v>189</v>
      </c>
      <c r="S1414" s="26">
        <f t="shared" si="280"/>
        <v>389</v>
      </c>
    </row>
    <row r="1415" spans="2:19" x14ac:dyDescent="0.2">
      <c r="B1415" s="79">
        <f t="shared" si="283"/>
        <v>668</v>
      </c>
      <c r="C1415" s="4"/>
      <c r="D1415" s="4"/>
      <c r="E1415" s="4"/>
      <c r="F1415" s="56" t="s">
        <v>166</v>
      </c>
      <c r="G1415" s="4">
        <v>637</v>
      </c>
      <c r="H1415" s="4" t="s">
        <v>129</v>
      </c>
      <c r="I1415" s="26">
        <v>1440</v>
      </c>
      <c r="J1415" s="26">
        <v>-900</v>
      </c>
      <c r="K1415" s="26">
        <f t="shared" si="281"/>
        <v>540</v>
      </c>
      <c r="L1415" s="80"/>
      <c r="M1415" s="26"/>
      <c r="N1415" s="26"/>
      <c r="O1415" s="26">
        <f t="shared" si="282"/>
        <v>0</v>
      </c>
      <c r="P1415" s="80"/>
      <c r="Q1415" s="26">
        <f t="shared" si="273"/>
        <v>1440</v>
      </c>
      <c r="R1415" s="26">
        <f t="shared" si="279"/>
        <v>-900</v>
      </c>
      <c r="S1415" s="26">
        <f t="shared" si="280"/>
        <v>540</v>
      </c>
    </row>
    <row r="1416" spans="2:19" x14ac:dyDescent="0.2">
      <c r="B1416" s="79">
        <f t="shared" si="283"/>
        <v>669</v>
      </c>
      <c r="C1416" s="14"/>
      <c r="D1416" s="14"/>
      <c r="E1416" s="14" t="s">
        <v>96</v>
      </c>
      <c r="F1416" s="54"/>
      <c r="G1416" s="14"/>
      <c r="H1416" s="14" t="s">
        <v>97</v>
      </c>
      <c r="I1416" s="51">
        <f>I1419+I1418+I1417</f>
        <v>15992</v>
      </c>
      <c r="J1416" s="51">
        <f>J1419+J1418+J1417+J1423</f>
        <v>79</v>
      </c>
      <c r="K1416" s="51">
        <f t="shared" si="281"/>
        <v>16071</v>
      </c>
      <c r="L1416" s="126"/>
      <c r="M1416" s="51">
        <f>M1419+M1418+M1417</f>
        <v>0</v>
      </c>
      <c r="N1416" s="51">
        <f>N1419+N1418+N1417</f>
        <v>0</v>
      </c>
      <c r="O1416" s="51">
        <f t="shared" si="282"/>
        <v>0</v>
      </c>
      <c r="P1416" s="126"/>
      <c r="Q1416" s="51">
        <f t="shared" si="273"/>
        <v>15992</v>
      </c>
      <c r="R1416" s="51">
        <f t="shared" si="279"/>
        <v>79</v>
      </c>
      <c r="S1416" s="51">
        <f t="shared" si="280"/>
        <v>16071</v>
      </c>
    </row>
    <row r="1417" spans="2:19" x14ac:dyDescent="0.2">
      <c r="B1417" s="79">
        <f t="shared" si="283"/>
        <v>670</v>
      </c>
      <c r="C1417" s="15"/>
      <c r="D1417" s="15"/>
      <c r="E1417" s="15"/>
      <c r="F1417" s="55" t="s">
        <v>166</v>
      </c>
      <c r="G1417" s="15">
        <v>610</v>
      </c>
      <c r="H1417" s="15" t="s">
        <v>136</v>
      </c>
      <c r="I1417" s="52">
        <v>8831</v>
      </c>
      <c r="J1417" s="52"/>
      <c r="K1417" s="52">
        <f t="shared" si="281"/>
        <v>8831</v>
      </c>
      <c r="L1417" s="126"/>
      <c r="M1417" s="52"/>
      <c r="N1417" s="52"/>
      <c r="O1417" s="52">
        <f t="shared" si="282"/>
        <v>0</v>
      </c>
      <c r="P1417" s="126"/>
      <c r="Q1417" s="52">
        <f t="shared" si="273"/>
        <v>8831</v>
      </c>
      <c r="R1417" s="52">
        <f t="shared" si="279"/>
        <v>0</v>
      </c>
      <c r="S1417" s="52">
        <f t="shared" si="280"/>
        <v>8831</v>
      </c>
    </row>
    <row r="1418" spans="2:19" x14ac:dyDescent="0.2">
      <c r="B1418" s="79">
        <f t="shared" si="283"/>
        <v>671</v>
      </c>
      <c r="C1418" s="15"/>
      <c r="D1418" s="15"/>
      <c r="E1418" s="15"/>
      <c r="F1418" s="55" t="s">
        <v>166</v>
      </c>
      <c r="G1418" s="15">
        <v>620</v>
      </c>
      <c r="H1418" s="15" t="s">
        <v>131</v>
      </c>
      <c r="I1418" s="52">
        <v>3281</v>
      </c>
      <c r="J1418" s="52"/>
      <c r="K1418" s="52">
        <f t="shared" si="281"/>
        <v>3281</v>
      </c>
      <c r="L1418" s="126"/>
      <c r="M1418" s="52"/>
      <c r="N1418" s="52"/>
      <c r="O1418" s="52">
        <f t="shared" si="282"/>
        <v>0</v>
      </c>
      <c r="P1418" s="126"/>
      <c r="Q1418" s="52">
        <f t="shared" si="273"/>
        <v>3281</v>
      </c>
      <c r="R1418" s="52">
        <f t="shared" si="279"/>
        <v>0</v>
      </c>
      <c r="S1418" s="52">
        <f t="shared" si="280"/>
        <v>3281</v>
      </c>
    </row>
    <row r="1419" spans="2:19" x14ac:dyDescent="0.2">
      <c r="B1419" s="79">
        <f t="shared" si="283"/>
        <v>672</v>
      </c>
      <c r="C1419" s="15"/>
      <c r="D1419" s="15"/>
      <c r="E1419" s="15"/>
      <c r="F1419" s="55" t="s">
        <v>166</v>
      </c>
      <c r="G1419" s="15">
        <v>630</v>
      </c>
      <c r="H1419" s="15" t="s">
        <v>128</v>
      </c>
      <c r="I1419" s="52">
        <f>I1422+I1421+I1420</f>
        <v>3880</v>
      </c>
      <c r="J1419" s="52">
        <f>J1422+J1421+J1420</f>
        <v>0</v>
      </c>
      <c r="K1419" s="52">
        <f t="shared" si="281"/>
        <v>3880</v>
      </c>
      <c r="L1419" s="126"/>
      <c r="M1419" s="52">
        <f>M1422+M1421+M1420</f>
        <v>0</v>
      </c>
      <c r="N1419" s="52">
        <f>N1422+N1421+N1420</f>
        <v>0</v>
      </c>
      <c r="O1419" s="52">
        <f t="shared" si="282"/>
        <v>0</v>
      </c>
      <c r="P1419" s="126"/>
      <c r="Q1419" s="52">
        <f t="shared" si="273"/>
        <v>3880</v>
      </c>
      <c r="R1419" s="52">
        <f t="shared" si="279"/>
        <v>0</v>
      </c>
      <c r="S1419" s="52">
        <f t="shared" si="280"/>
        <v>3880</v>
      </c>
    </row>
    <row r="1420" spans="2:19" x14ac:dyDescent="0.2">
      <c r="B1420" s="79">
        <f t="shared" si="283"/>
        <v>673</v>
      </c>
      <c r="C1420" s="4"/>
      <c r="D1420" s="4"/>
      <c r="E1420" s="4"/>
      <c r="F1420" s="56" t="s">
        <v>166</v>
      </c>
      <c r="G1420" s="4">
        <v>633</v>
      </c>
      <c r="H1420" s="4" t="s">
        <v>132</v>
      </c>
      <c r="I1420" s="26">
        <v>2780</v>
      </c>
      <c r="J1420" s="26">
        <v>350</v>
      </c>
      <c r="K1420" s="26">
        <f t="shared" si="281"/>
        <v>3130</v>
      </c>
      <c r="L1420" s="80"/>
      <c r="M1420" s="26"/>
      <c r="N1420" s="26"/>
      <c r="O1420" s="26">
        <f t="shared" si="282"/>
        <v>0</v>
      </c>
      <c r="P1420" s="80"/>
      <c r="Q1420" s="26">
        <f t="shared" si="273"/>
        <v>2780</v>
      </c>
      <c r="R1420" s="26">
        <f t="shared" si="279"/>
        <v>350</v>
      </c>
      <c r="S1420" s="26">
        <f t="shared" si="280"/>
        <v>3130</v>
      </c>
    </row>
    <row r="1421" spans="2:19" x14ac:dyDescent="0.2">
      <c r="B1421" s="79">
        <f t="shared" si="283"/>
        <v>674</v>
      </c>
      <c r="C1421" s="4"/>
      <c r="D1421" s="4"/>
      <c r="E1421" s="4"/>
      <c r="F1421" s="56" t="s">
        <v>166</v>
      </c>
      <c r="G1421" s="4">
        <v>635</v>
      </c>
      <c r="H1421" s="4" t="s">
        <v>138</v>
      </c>
      <c r="I1421" s="26">
        <v>200</v>
      </c>
      <c r="J1421" s="26"/>
      <c r="K1421" s="26">
        <f t="shared" si="281"/>
        <v>200</v>
      </c>
      <c r="L1421" s="80"/>
      <c r="M1421" s="26"/>
      <c r="N1421" s="26"/>
      <c r="O1421" s="26">
        <f t="shared" si="282"/>
        <v>0</v>
      </c>
      <c r="P1421" s="80"/>
      <c r="Q1421" s="26">
        <f t="shared" si="273"/>
        <v>200</v>
      </c>
      <c r="R1421" s="26">
        <f t="shared" si="279"/>
        <v>0</v>
      </c>
      <c r="S1421" s="26">
        <f t="shared" si="280"/>
        <v>200</v>
      </c>
    </row>
    <row r="1422" spans="2:19" x14ac:dyDescent="0.2">
      <c r="B1422" s="79">
        <f t="shared" si="283"/>
        <v>675</v>
      </c>
      <c r="C1422" s="4"/>
      <c r="D1422" s="4"/>
      <c r="E1422" s="4"/>
      <c r="F1422" s="56" t="s">
        <v>166</v>
      </c>
      <c r="G1422" s="4">
        <v>637</v>
      </c>
      <c r="H1422" s="4" t="s">
        <v>129</v>
      </c>
      <c r="I1422" s="26">
        <v>900</v>
      </c>
      <c r="J1422" s="26">
        <v>-350</v>
      </c>
      <c r="K1422" s="26">
        <f t="shared" si="281"/>
        <v>550</v>
      </c>
      <c r="L1422" s="80"/>
      <c r="M1422" s="26"/>
      <c r="N1422" s="26"/>
      <c r="O1422" s="26">
        <f t="shared" si="282"/>
        <v>0</v>
      </c>
      <c r="P1422" s="80"/>
      <c r="Q1422" s="26">
        <f t="shared" si="273"/>
        <v>900</v>
      </c>
      <c r="R1422" s="26">
        <f t="shared" si="279"/>
        <v>-350</v>
      </c>
      <c r="S1422" s="26">
        <f t="shared" si="280"/>
        <v>550</v>
      </c>
    </row>
    <row r="1423" spans="2:19" x14ac:dyDescent="0.2">
      <c r="B1423" s="79">
        <f t="shared" si="283"/>
        <v>676</v>
      </c>
      <c r="C1423" s="4"/>
      <c r="D1423" s="4"/>
      <c r="E1423" s="4"/>
      <c r="F1423" s="55" t="s">
        <v>166</v>
      </c>
      <c r="G1423" s="15">
        <v>640</v>
      </c>
      <c r="H1423" s="15" t="s">
        <v>135</v>
      </c>
      <c r="I1423" s="52">
        <v>0</v>
      </c>
      <c r="J1423" s="52">
        <v>79</v>
      </c>
      <c r="K1423" s="52">
        <f t="shared" si="281"/>
        <v>79</v>
      </c>
      <c r="L1423" s="126"/>
      <c r="M1423" s="52"/>
      <c r="N1423" s="52"/>
      <c r="O1423" s="52">
        <f t="shared" si="282"/>
        <v>0</v>
      </c>
      <c r="P1423" s="126"/>
      <c r="Q1423" s="52">
        <f t="shared" si="273"/>
        <v>0</v>
      </c>
      <c r="R1423" s="52">
        <f t="shared" si="279"/>
        <v>79</v>
      </c>
      <c r="S1423" s="52">
        <f t="shared" si="280"/>
        <v>79</v>
      </c>
    </row>
    <row r="1424" spans="2:19" x14ac:dyDescent="0.2">
      <c r="B1424" s="79">
        <f t="shared" si="283"/>
        <v>677</v>
      </c>
      <c r="C1424" s="14"/>
      <c r="D1424" s="14"/>
      <c r="E1424" s="14" t="s">
        <v>89</v>
      </c>
      <c r="F1424" s="54"/>
      <c r="G1424" s="14"/>
      <c r="H1424" s="14" t="s">
        <v>209</v>
      </c>
      <c r="I1424" s="51">
        <f>I1427+I1426+I1425</f>
        <v>21353</v>
      </c>
      <c r="J1424" s="51">
        <f>J1427+J1426+J1425</f>
        <v>-700</v>
      </c>
      <c r="K1424" s="51">
        <f t="shared" si="281"/>
        <v>20653</v>
      </c>
      <c r="L1424" s="126"/>
      <c r="M1424" s="51">
        <f>M1427+M1426+M1425</f>
        <v>0</v>
      </c>
      <c r="N1424" s="51">
        <f>N1427+N1426+N1425</f>
        <v>0</v>
      </c>
      <c r="O1424" s="51">
        <f t="shared" si="282"/>
        <v>0</v>
      </c>
      <c r="P1424" s="126"/>
      <c r="Q1424" s="51">
        <f t="shared" si="273"/>
        <v>21353</v>
      </c>
      <c r="R1424" s="51">
        <f t="shared" si="279"/>
        <v>-700</v>
      </c>
      <c r="S1424" s="51">
        <f t="shared" si="280"/>
        <v>20653</v>
      </c>
    </row>
    <row r="1425" spans="2:19" x14ac:dyDescent="0.2">
      <c r="B1425" s="79">
        <f t="shared" si="283"/>
        <v>678</v>
      </c>
      <c r="C1425" s="15"/>
      <c r="D1425" s="15"/>
      <c r="E1425" s="15"/>
      <c r="F1425" s="55" t="s">
        <v>166</v>
      </c>
      <c r="G1425" s="15">
        <v>610</v>
      </c>
      <c r="H1425" s="15" t="s">
        <v>136</v>
      </c>
      <c r="I1425" s="52">
        <v>13458</v>
      </c>
      <c r="J1425" s="52"/>
      <c r="K1425" s="52">
        <f t="shared" si="281"/>
        <v>13458</v>
      </c>
      <c r="L1425" s="126"/>
      <c r="M1425" s="52"/>
      <c r="N1425" s="52"/>
      <c r="O1425" s="52">
        <f t="shared" si="282"/>
        <v>0</v>
      </c>
      <c r="P1425" s="126"/>
      <c r="Q1425" s="52">
        <f t="shared" si="273"/>
        <v>13458</v>
      </c>
      <c r="R1425" s="52">
        <f t="shared" si="279"/>
        <v>0</v>
      </c>
      <c r="S1425" s="52">
        <f t="shared" si="280"/>
        <v>13458</v>
      </c>
    </row>
    <row r="1426" spans="2:19" x14ac:dyDescent="0.2">
      <c r="B1426" s="79">
        <f t="shared" si="283"/>
        <v>679</v>
      </c>
      <c r="C1426" s="15"/>
      <c r="D1426" s="15"/>
      <c r="E1426" s="15"/>
      <c r="F1426" s="55" t="s">
        <v>166</v>
      </c>
      <c r="G1426" s="15">
        <v>620</v>
      </c>
      <c r="H1426" s="15" t="s">
        <v>131</v>
      </c>
      <c r="I1426" s="52">
        <v>5000</v>
      </c>
      <c r="J1426" s="52"/>
      <c r="K1426" s="52">
        <f t="shared" si="281"/>
        <v>5000</v>
      </c>
      <c r="L1426" s="126"/>
      <c r="M1426" s="52"/>
      <c r="N1426" s="52"/>
      <c r="O1426" s="52">
        <f t="shared" si="282"/>
        <v>0</v>
      </c>
      <c r="P1426" s="126"/>
      <c r="Q1426" s="52">
        <f t="shared" si="273"/>
        <v>5000</v>
      </c>
      <c r="R1426" s="52">
        <f t="shared" si="279"/>
        <v>0</v>
      </c>
      <c r="S1426" s="52">
        <f t="shared" si="280"/>
        <v>5000</v>
      </c>
    </row>
    <row r="1427" spans="2:19" x14ac:dyDescent="0.2">
      <c r="B1427" s="79">
        <f t="shared" si="283"/>
        <v>680</v>
      </c>
      <c r="C1427" s="15"/>
      <c r="D1427" s="15"/>
      <c r="E1427" s="15"/>
      <c r="F1427" s="55" t="s">
        <v>166</v>
      </c>
      <c r="G1427" s="15">
        <v>630</v>
      </c>
      <c r="H1427" s="15" t="s">
        <v>128</v>
      </c>
      <c r="I1427" s="52">
        <f>I1430+I1429+I1428</f>
        <v>2895</v>
      </c>
      <c r="J1427" s="52">
        <f>J1430+J1429+J1428</f>
        <v>-700</v>
      </c>
      <c r="K1427" s="52">
        <f t="shared" si="281"/>
        <v>2195</v>
      </c>
      <c r="L1427" s="126"/>
      <c r="M1427" s="52">
        <f>M1430+M1429+M1428</f>
        <v>0</v>
      </c>
      <c r="N1427" s="52">
        <f>N1430+N1429+N1428</f>
        <v>0</v>
      </c>
      <c r="O1427" s="52">
        <f t="shared" si="282"/>
        <v>0</v>
      </c>
      <c r="P1427" s="126"/>
      <c r="Q1427" s="52">
        <f t="shared" si="273"/>
        <v>2895</v>
      </c>
      <c r="R1427" s="52">
        <f t="shared" si="279"/>
        <v>-700</v>
      </c>
      <c r="S1427" s="52">
        <f t="shared" si="280"/>
        <v>2195</v>
      </c>
    </row>
    <row r="1428" spans="2:19" x14ac:dyDescent="0.2">
      <c r="B1428" s="79">
        <f t="shared" si="283"/>
        <v>681</v>
      </c>
      <c r="C1428" s="4"/>
      <c r="D1428" s="4"/>
      <c r="E1428" s="4"/>
      <c r="F1428" s="56" t="s">
        <v>166</v>
      </c>
      <c r="G1428" s="4">
        <v>633</v>
      </c>
      <c r="H1428" s="4" t="s">
        <v>132</v>
      </c>
      <c r="I1428" s="26">
        <v>1720</v>
      </c>
      <c r="J1428" s="26"/>
      <c r="K1428" s="26">
        <f t="shared" si="281"/>
        <v>1720</v>
      </c>
      <c r="L1428" s="80"/>
      <c r="M1428" s="26"/>
      <c r="N1428" s="26"/>
      <c r="O1428" s="26">
        <f t="shared" si="282"/>
        <v>0</v>
      </c>
      <c r="P1428" s="80"/>
      <c r="Q1428" s="26">
        <f t="shared" si="273"/>
        <v>1720</v>
      </c>
      <c r="R1428" s="26">
        <f t="shared" si="279"/>
        <v>0</v>
      </c>
      <c r="S1428" s="26">
        <f t="shared" si="280"/>
        <v>1720</v>
      </c>
    </row>
    <row r="1429" spans="2:19" x14ac:dyDescent="0.2">
      <c r="B1429" s="79">
        <f t="shared" si="283"/>
        <v>682</v>
      </c>
      <c r="C1429" s="4"/>
      <c r="D1429" s="4"/>
      <c r="E1429" s="4"/>
      <c r="F1429" s="56" t="s">
        <v>166</v>
      </c>
      <c r="G1429" s="4">
        <v>635</v>
      </c>
      <c r="H1429" s="4" t="s">
        <v>138</v>
      </c>
      <c r="I1429" s="26">
        <v>50</v>
      </c>
      <c r="J1429" s="26"/>
      <c r="K1429" s="26">
        <f t="shared" si="281"/>
        <v>50</v>
      </c>
      <c r="L1429" s="80"/>
      <c r="M1429" s="26"/>
      <c r="N1429" s="26"/>
      <c r="O1429" s="26">
        <f t="shared" si="282"/>
        <v>0</v>
      </c>
      <c r="P1429" s="80"/>
      <c r="Q1429" s="26">
        <f t="shared" si="273"/>
        <v>50</v>
      </c>
      <c r="R1429" s="26">
        <f t="shared" si="279"/>
        <v>0</v>
      </c>
      <c r="S1429" s="26">
        <f t="shared" si="280"/>
        <v>50</v>
      </c>
    </row>
    <row r="1430" spans="2:19" x14ac:dyDescent="0.2">
      <c r="B1430" s="79">
        <f t="shared" si="283"/>
        <v>683</v>
      </c>
      <c r="C1430" s="4"/>
      <c r="D1430" s="4"/>
      <c r="E1430" s="4"/>
      <c r="F1430" s="56" t="s">
        <v>166</v>
      </c>
      <c r="G1430" s="4">
        <v>637</v>
      </c>
      <c r="H1430" s="4" t="s">
        <v>129</v>
      </c>
      <c r="I1430" s="26">
        <v>1125</v>
      </c>
      <c r="J1430" s="26">
        <v>-700</v>
      </c>
      <c r="K1430" s="26">
        <f t="shared" si="281"/>
        <v>425</v>
      </c>
      <c r="L1430" s="80"/>
      <c r="M1430" s="26"/>
      <c r="N1430" s="26"/>
      <c r="O1430" s="26">
        <f t="shared" si="282"/>
        <v>0</v>
      </c>
      <c r="P1430" s="80"/>
      <c r="Q1430" s="26">
        <f t="shared" si="273"/>
        <v>1125</v>
      </c>
      <c r="R1430" s="26">
        <f t="shared" si="279"/>
        <v>-700</v>
      </c>
      <c r="S1430" s="26">
        <f t="shared" si="280"/>
        <v>425</v>
      </c>
    </row>
    <row r="1431" spans="2:19" x14ac:dyDescent="0.2">
      <c r="B1431" s="79">
        <f t="shared" si="283"/>
        <v>684</v>
      </c>
      <c r="C1431" s="14"/>
      <c r="D1431" s="14"/>
      <c r="E1431" s="14" t="s">
        <v>90</v>
      </c>
      <c r="F1431" s="54"/>
      <c r="G1431" s="14"/>
      <c r="H1431" s="14" t="s">
        <v>91</v>
      </c>
      <c r="I1431" s="51">
        <f>I1434+I1433+I1432</f>
        <v>45709</v>
      </c>
      <c r="J1431" s="51">
        <f>J1434+J1433+J1432+J1439</f>
        <v>84</v>
      </c>
      <c r="K1431" s="51">
        <f t="shared" si="281"/>
        <v>45793</v>
      </c>
      <c r="L1431" s="126"/>
      <c r="M1431" s="51">
        <f>M1434+M1433+M1432</f>
        <v>0</v>
      </c>
      <c r="N1431" s="51">
        <f>N1434+N1433+N1432</f>
        <v>0</v>
      </c>
      <c r="O1431" s="51">
        <f t="shared" si="282"/>
        <v>0</v>
      </c>
      <c r="P1431" s="126"/>
      <c r="Q1431" s="51">
        <f t="shared" si="273"/>
        <v>45709</v>
      </c>
      <c r="R1431" s="51">
        <f t="shared" si="279"/>
        <v>84</v>
      </c>
      <c r="S1431" s="51">
        <f t="shared" si="280"/>
        <v>45793</v>
      </c>
    </row>
    <row r="1432" spans="2:19" x14ac:dyDescent="0.2">
      <c r="B1432" s="79">
        <f t="shared" si="283"/>
        <v>685</v>
      </c>
      <c r="C1432" s="15"/>
      <c r="D1432" s="15"/>
      <c r="E1432" s="15"/>
      <c r="F1432" s="55" t="s">
        <v>166</v>
      </c>
      <c r="G1432" s="15">
        <v>610</v>
      </c>
      <c r="H1432" s="15" t="s">
        <v>136</v>
      </c>
      <c r="I1432" s="52">
        <v>27677</v>
      </c>
      <c r="J1432" s="52"/>
      <c r="K1432" s="52">
        <f t="shared" si="281"/>
        <v>27677</v>
      </c>
      <c r="L1432" s="126"/>
      <c r="M1432" s="52"/>
      <c r="N1432" s="52"/>
      <c r="O1432" s="52">
        <f t="shared" si="282"/>
        <v>0</v>
      </c>
      <c r="P1432" s="126"/>
      <c r="Q1432" s="52">
        <f t="shared" si="273"/>
        <v>27677</v>
      </c>
      <c r="R1432" s="52">
        <f t="shared" si="279"/>
        <v>0</v>
      </c>
      <c r="S1432" s="52">
        <f t="shared" si="280"/>
        <v>27677</v>
      </c>
    </row>
    <row r="1433" spans="2:19" x14ac:dyDescent="0.2">
      <c r="B1433" s="79">
        <f t="shared" si="283"/>
        <v>686</v>
      </c>
      <c r="C1433" s="15"/>
      <c r="D1433" s="15"/>
      <c r="E1433" s="15"/>
      <c r="F1433" s="55" t="s">
        <v>166</v>
      </c>
      <c r="G1433" s="15">
        <v>620</v>
      </c>
      <c r="H1433" s="15" t="s">
        <v>131</v>
      </c>
      <c r="I1433" s="52">
        <v>10282</v>
      </c>
      <c r="J1433" s="52"/>
      <c r="K1433" s="52">
        <f t="shared" si="281"/>
        <v>10282</v>
      </c>
      <c r="L1433" s="126"/>
      <c r="M1433" s="52"/>
      <c r="N1433" s="52"/>
      <c r="O1433" s="52">
        <f t="shared" si="282"/>
        <v>0</v>
      </c>
      <c r="P1433" s="126"/>
      <c r="Q1433" s="52">
        <f t="shared" si="273"/>
        <v>10282</v>
      </c>
      <c r="R1433" s="52">
        <f t="shared" si="279"/>
        <v>0</v>
      </c>
      <c r="S1433" s="52">
        <f t="shared" si="280"/>
        <v>10282</v>
      </c>
    </row>
    <row r="1434" spans="2:19" x14ac:dyDescent="0.2">
      <c r="B1434" s="79">
        <f t="shared" si="283"/>
        <v>687</v>
      </c>
      <c r="C1434" s="15"/>
      <c r="D1434" s="15"/>
      <c r="E1434" s="15"/>
      <c r="F1434" s="55" t="s">
        <v>166</v>
      </c>
      <c r="G1434" s="15">
        <v>630</v>
      </c>
      <c r="H1434" s="15" t="s">
        <v>128</v>
      </c>
      <c r="I1434" s="52">
        <f>I1438+I1437+I1436+I1435</f>
        <v>7750</v>
      </c>
      <c r="J1434" s="52">
        <f>J1438+J1437+J1436+J1435</f>
        <v>0</v>
      </c>
      <c r="K1434" s="52">
        <f t="shared" si="281"/>
        <v>7750</v>
      </c>
      <c r="L1434" s="126"/>
      <c r="M1434" s="52">
        <f>M1438+M1437+M1436+M1435</f>
        <v>0</v>
      </c>
      <c r="N1434" s="52">
        <f>N1438+N1437+N1436+N1435</f>
        <v>0</v>
      </c>
      <c r="O1434" s="52">
        <f t="shared" si="282"/>
        <v>0</v>
      </c>
      <c r="P1434" s="126"/>
      <c r="Q1434" s="52">
        <f t="shared" ref="Q1434:Q1498" si="284">M1434+I1434</f>
        <v>7750</v>
      </c>
      <c r="R1434" s="52">
        <f t="shared" si="279"/>
        <v>0</v>
      </c>
      <c r="S1434" s="52">
        <f t="shared" si="280"/>
        <v>7750</v>
      </c>
    </row>
    <row r="1435" spans="2:19" x14ac:dyDescent="0.2">
      <c r="B1435" s="79">
        <f t="shared" si="283"/>
        <v>688</v>
      </c>
      <c r="C1435" s="4"/>
      <c r="D1435" s="4"/>
      <c r="E1435" s="4"/>
      <c r="F1435" s="56" t="s">
        <v>166</v>
      </c>
      <c r="G1435" s="4">
        <v>632</v>
      </c>
      <c r="H1435" s="4" t="s">
        <v>139</v>
      </c>
      <c r="I1435" s="26">
        <v>580</v>
      </c>
      <c r="J1435" s="26"/>
      <c r="K1435" s="26">
        <f t="shared" si="281"/>
        <v>580</v>
      </c>
      <c r="L1435" s="80"/>
      <c r="M1435" s="26"/>
      <c r="N1435" s="26"/>
      <c r="O1435" s="26">
        <f t="shared" si="282"/>
        <v>0</v>
      </c>
      <c r="P1435" s="80"/>
      <c r="Q1435" s="26">
        <f t="shared" si="284"/>
        <v>580</v>
      </c>
      <c r="R1435" s="26">
        <f t="shared" si="279"/>
        <v>0</v>
      </c>
      <c r="S1435" s="26">
        <f t="shared" si="280"/>
        <v>580</v>
      </c>
    </row>
    <row r="1436" spans="2:19" x14ac:dyDescent="0.2">
      <c r="B1436" s="79">
        <f t="shared" si="283"/>
        <v>689</v>
      </c>
      <c r="C1436" s="4"/>
      <c r="D1436" s="4"/>
      <c r="E1436" s="4"/>
      <c r="F1436" s="56" t="s">
        <v>166</v>
      </c>
      <c r="G1436" s="4">
        <v>633</v>
      </c>
      <c r="H1436" s="4" t="s">
        <v>132</v>
      </c>
      <c r="I1436" s="26">
        <v>4150</v>
      </c>
      <c r="J1436" s="26">
        <v>-836</v>
      </c>
      <c r="K1436" s="26">
        <f t="shared" si="281"/>
        <v>3314</v>
      </c>
      <c r="L1436" s="80"/>
      <c r="M1436" s="26"/>
      <c r="N1436" s="26"/>
      <c r="O1436" s="26">
        <f t="shared" si="282"/>
        <v>0</v>
      </c>
      <c r="P1436" s="80"/>
      <c r="Q1436" s="26">
        <f t="shared" si="284"/>
        <v>4150</v>
      </c>
      <c r="R1436" s="26">
        <f t="shared" si="279"/>
        <v>-836</v>
      </c>
      <c r="S1436" s="26">
        <f t="shared" si="280"/>
        <v>3314</v>
      </c>
    </row>
    <row r="1437" spans="2:19" x14ac:dyDescent="0.2">
      <c r="B1437" s="79">
        <f t="shared" si="283"/>
        <v>690</v>
      </c>
      <c r="C1437" s="4"/>
      <c r="D1437" s="4"/>
      <c r="E1437" s="4"/>
      <c r="F1437" s="56" t="s">
        <v>166</v>
      </c>
      <c r="G1437" s="4">
        <v>635</v>
      </c>
      <c r="H1437" s="4" t="s">
        <v>138</v>
      </c>
      <c r="I1437" s="26">
        <v>100</v>
      </c>
      <c r="J1437" s="26">
        <v>1436</v>
      </c>
      <c r="K1437" s="26">
        <f t="shared" si="281"/>
        <v>1536</v>
      </c>
      <c r="L1437" s="80"/>
      <c r="M1437" s="26"/>
      <c r="N1437" s="26"/>
      <c r="O1437" s="26">
        <f t="shared" si="282"/>
        <v>0</v>
      </c>
      <c r="P1437" s="80"/>
      <c r="Q1437" s="26">
        <f t="shared" si="284"/>
        <v>100</v>
      </c>
      <c r="R1437" s="26">
        <f t="shared" si="279"/>
        <v>1436</v>
      </c>
      <c r="S1437" s="26">
        <f t="shared" si="280"/>
        <v>1536</v>
      </c>
    </row>
    <row r="1438" spans="2:19" x14ac:dyDescent="0.2">
      <c r="B1438" s="79">
        <f t="shared" si="283"/>
        <v>691</v>
      </c>
      <c r="C1438" s="4"/>
      <c r="D1438" s="4"/>
      <c r="E1438" s="4"/>
      <c r="F1438" s="56" t="s">
        <v>166</v>
      </c>
      <c r="G1438" s="4">
        <v>637</v>
      </c>
      <c r="H1438" s="4" t="s">
        <v>129</v>
      </c>
      <c r="I1438" s="26">
        <v>2920</v>
      </c>
      <c r="J1438" s="26">
        <v>-600</v>
      </c>
      <c r="K1438" s="26">
        <f t="shared" si="281"/>
        <v>2320</v>
      </c>
      <c r="L1438" s="80"/>
      <c r="M1438" s="26"/>
      <c r="N1438" s="26"/>
      <c r="O1438" s="26">
        <f t="shared" si="282"/>
        <v>0</v>
      </c>
      <c r="P1438" s="80"/>
      <c r="Q1438" s="26">
        <f t="shared" si="284"/>
        <v>2920</v>
      </c>
      <c r="R1438" s="26">
        <f t="shared" si="279"/>
        <v>-600</v>
      </c>
      <c r="S1438" s="26">
        <f t="shared" si="280"/>
        <v>2320</v>
      </c>
    </row>
    <row r="1439" spans="2:19" x14ac:dyDescent="0.2">
      <c r="B1439" s="79">
        <f t="shared" si="283"/>
        <v>692</v>
      </c>
      <c r="C1439" s="4"/>
      <c r="D1439" s="4"/>
      <c r="E1439" s="4"/>
      <c r="F1439" s="55" t="s">
        <v>166</v>
      </c>
      <c r="G1439" s="15">
        <v>640</v>
      </c>
      <c r="H1439" s="15" t="s">
        <v>135</v>
      </c>
      <c r="I1439" s="52">
        <v>0</v>
      </c>
      <c r="J1439" s="52">
        <v>84</v>
      </c>
      <c r="K1439" s="52">
        <f t="shared" si="281"/>
        <v>84</v>
      </c>
      <c r="L1439" s="126"/>
      <c r="M1439" s="52"/>
      <c r="N1439" s="52"/>
      <c r="O1439" s="52">
        <f t="shared" si="282"/>
        <v>0</v>
      </c>
      <c r="P1439" s="126"/>
      <c r="Q1439" s="52">
        <f t="shared" si="284"/>
        <v>0</v>
      </c>
      <c r="R1439" s="52">
        <f t="shared" si="279"/>
        <v>84</v>
      </c>
      <c r="S1439" s="52">
        <f t="shared" si="280"/>
        <v>84</v>
      </c>
    </row>
    <row r="1440" spans="2:19" ht="15" x14ac:dyDescent="0.25">
      <c r="B1440" s="79">
        <f t="shared" si="283"/>
        <v>693</v>
      </c>
      <c r="C1440" s="18"/>
      <c r="D1440" s="18"/>
      <c r="E1440" s="18">
        <v>6</v>
      </c>
      <c r="F1440" s="53"/>
      <c r="G1440" s="18"/>
      <c r="H1440" s="18" t="s">
        <v>82</v>
      </c>
      <c r="I1440" s="50">
        <f>I1441+I1442+I1443+I1448+I1449+I1450+I1451+I1456</f>
        <v>70383</v>
      </c>
      <c r="J1440" s="50">
        <f>J1441+J1442+J1443+J1448+J1449+J1450+J1451+J1456</f>
        <v>0</v>
      </c>
      <c r="K1440" s="50">
        <f t="shared" si="281"/>
        <v>70383</v>
      </c>
      <c r="L1440" s="203"/>
      <c r="M1440" s="50">
        <f>M1441+M1442+M1443+M1448+M1449+M1450+M1451+M1456</f>
        <v>0</v>
      </c>
      <c r="N1440" s="50">
        <f>N1441+N1442+N1443+N1448+N1449+N1450+N1451+N1456</f>
        <v>0</v>
      </c>
      <c r="O1440" s="50">
        <f t="shared" si="282"/>
        <v>0</v>
      </c>
      <c r="P1440" s="203"/>
      <c r="Q1440" s="50">
        <f t="shared" si="284"/>
        <v>70383</v>
      </c>
      <c r="R1440" s="50">
        <f t="shared" si="279"/>
        <v>0</v>
      </c>
      <c r="S1440" s="50">
        <f t="shared" si="280"/>
        <v>70383</v>
      </c>
    </row>
    <row r="1441" spans="2:19" x14ac:dyDescent="0.2">
      <c r="B1441" s="79">
        <f t="shared" si="283"/>
        <v>694</v>
      </c>
      <c r="C1441" s="15"/>
      <c r="D1441" s="15"/>
      <c r="E1441" s="15"/>
      <c r="F1441" s="55" t="s">
        <v>81</v>
      </c>
      <c r="G1441" s="15">
        <v>610</v>
      </c>
      <c r="H1441" s="15" t="s">
        <v>136</v>
      </c>
      <c r="I1441" s="52">
        <v>20231</v>
      </c>
      <c r="J1441" s="52">
        <v>586</v>
      </c>
      <c r="K1441" s="52">
        <f t="shared" si="281"/>
        <v>20817</v>
      </c>
      <c r="L1441" s="126"/>
      <c r="M1441" s="52"/>
      <c r="N1441" s="52"/>
      <c r="O1441" s="52">
        <f t="shared" si="282"/>
        <v>0</v>
      </c>
      <c r="P1441" s="126"/>
      <c r="Q1441" s="52">
        <f t="shared" si="284"/>
        <v>20231</v>
      </c>
      <c r="R1441" s="52">
        <f t="shared" si="279"/>
        <v>586</v>
      </c>
      <c r="S1441" s="52">
        <f t="shared" si="280"/>
        <v>20817</v>
      </c>
    </row>
    <row r="1442" spans="2:19" x14ac:dyDescent="0.2">
      <c r="B1442" s="79">
        <f t="shared" si="283"/>
        <v>695</v>
      </c>
      <c r="C1442" s="15"/>
      <c r="D1442" s="15"/>
      <c r="E1442" s="15"/>
      <c r="F1442" s="55" t="s">
        <v>81</v>
      </c>
      <c r="G1442" s="15">
        <v>620</v>
      </c>
      <c r="H1442" s="15" t="s">
        <v>131</v>
      </c>
      <c r="I1442" s="52">
        <v>7616</v>
      </c>
      <c r="J1442" s="52">
        <v>168</v>
      </c>
      <c r="K1442" s="52">
        <f t="shared" si="281"/>
        <v>7784</v>
      </c>
      <c r="L1442" s="126"/>
      <c r="M1442" s="52"/>
      <c r="N1442" s="52"/>
      <c r="O1442" s="52">
        <f t="shared" si="282"/>
        <v>0</v>
      </c>
      <c r="P1442" s="126"/>
      <c r="Q1442" s="52">
        <f t="shared" si="284"/>
        <v>7616</v>
      </c>
      <c r="R1442" s="52">
        <f t="shared" si="279"/>
        <v>168</v>
      </c>
      <c r="S1442" s="52">
        <f t="shared" si="280"/>
        <v>7784</v>
      </c>
    </row>
    <row r="1443" spans="2:19" x14ac:dyDescent="0.2">
      <c r="B1443" s="79">
        <f t="shared" si="283"/>
        <v>696</v>
      </c>
      <c r="C1443" s="15"/>
      <c r="D1443" s="15"/>
      <c r="E1443" s="15"/>
      <c r="F1443" s="55" t="s">
        <v>81</v>
      </c>
      <c r="G1443" s="15">
        <v>630</v>
      </c>
      <c r="H1443" s="15" t="s">
        <v>128</v>
      </c>
      <c r="I1443" s="52">
        <f>I1447+I1446+I1445+I1444</f>
        <v>6380</v>
      </c>
      <c r="J1443" s="52">
        <f>J1447+J1446+J1445+J1444</f>
        <v>-647</v>
      </c>
      <c r="K1443" s="52">
        <f t="shared" si="281"/>
        <v>5733</v>
      </c>
      <c r="L1443" s="126"/>
      <c r="M1443" s="52">
        <f>M1447+M1446+M1445+M1444</f>
        <v>0</v>
      </c>
      <c r="N1443" s="52">
        <f>N1447+N1446+N1445+N1444</f>
        <v>0</v>
      </c>
      <c r="O1443" s="52">
        <f t="shared" si="282"/>
        <v>0</v>
      </c>
      <c r="P1443" s="126"/>
      <c r="Q1443" s="52">
        <f t="shared" si="284"/>
        <v>6380</v>
      </c>
      <c r="R1443" s="52">
        <f t="shared" si="279"/>
        <v>-647</v>
      </c>
      <c r="S1443" s="52">
        <f t="shared" si="280"/>
        <v>5733</v>
      </c>
    </row>
    <row r="1444" spans="2:19" x14ac:dyDescent="0.2">
      <c r="B1444" s="79">
        <f t="shared" si="283"/>
        <v>697</v>
      </c>
      <c r="C1444" s="4"/>
      <c r="D1444" s="4"/>
      <c r="E1444" s="4"/>
      <c r="F1444" s="56" t="s">
        <v>81</v>
      </c>
      <c r="G1444" s="4">
        <v>632</v>
      </c>
      <c r="H1444" s="4" t="s">
        <v>139</v>
      </c>
      <c r="I1444" s="26">
        <v>4534</v>
      </c>
      <c r="J1444" s="26">
        <v>-1014</v>
      </c>
      <c r="K1444" s="26">
        <f t="shared" si="281"/>
        <v>3520</v>
      </c>
      <c r="L1444" s="80"/>
      <c r="M1444" s="26"/>
      <c r="N1444" s="26"/>
      <c r="O1444" s="26">
        <f t="shared" si="282"/>
        <v>0</v>
      </c>
      <c r="P1444" s="80"/>
      <c r="Q1444" s="26">
        <f t="shared" si="284"/>
        <v>4534</v>
      </c>
      <c r="R1444" s="26">
        <f t="shared" si="279"/>
        <v>-1014</v>
      </c>
      <c r="S1444" s="26">
        <f t="shared" si="280"/>
        <v>3520</v>
      </c>
    </row>
    <row r="1445" spans="2:19" x14ac:dyDescent="0.2">
      <c r="B1445" s="79">
        <f t="shared" si="283"/>
        <v>698</v>
      </c>
      <c r="C1445" s="4"/>
      <c r="D1445" s="4"/>
      <c r="E1445" s="4"/>
      <c r="F1445" s="56" t="s">
        <v>81</v>
      </c>
      <c r="G1445" s="4">
        <v>633</v>
      </c>
      <c r="H1445" s="4" t="s">
        <v>132</v>
      </c>
      <c r="I1445" s="26">
        <v>510</v>
      </c>
      <c r="J1445" s="26">
        <v>-45</v>
      </c>
      <c r="K1445" s="26">
        <f t="shared" si="281"/>
        <v>465</v>
      </c>
      <c r="L1445" s="80"/>
      <c r="M1445" s="26"/>
      <c r="N1445" s="26"/>
      <c r="O1445" s="26">
        <f t="shared" si="282"/>
        <v>0</v>
      </c>
      <c r="P1445" s="80"/>
      <c r="Q1445" s="26">
        <f t="shared" si="284"/>
        <v>510</v>
      </c>
      <c r="R1445" s="26">
        <f t="shared" si="279"/>
        <v>-45</v>
      </c>
      <c r="S1445" s="26">
        <f t="shared" si="280"/>
        <v>465</v>
      </c>
    </row>
    <row r="1446" spans="2:19" x14ac:dyDescent="0.2">
      <c r="B1446" s="79">
        <f t="shared" si="283"/>
        <v>699</v>
      </c>
      <c r="C1446" s="4"/>
      <c r="D1446" s="4"/>
      <c r="E1446" s="4"/>
      <c r="F1446" s="56" t="s">
        <v>81</v>
      </c>
      <c r="G1446" s="4">
        <v>635</v>
      </c>
      <c r="H1446" s="4" t="s">
        <v>138</v>
      </c>
      <c r="I1446" s="26">
        <v>204</v>
      </c>
      <c r="J1446" s="26">
        <v>147</v>
      </c>
      <c r="K1446" s="26">
        <f t="shared" si="281"/>
        <v>351</v>
      </c>
      <c r="L1446" s="80"/>
      <c r="M1446" s="26"/>
      <c r="N1446" s="26"/>
      <c r="O1446" s="26">
        <f t="shared" si="282"/>
        <v>0</v>
      </c>
      <c r="P1446" s="80"/>
      <c r="Q1446" s="26">
        <f t="shared" si="284"/>
        <v>204</v>
      </c>
      <c r="R1446" s="26">
        <f t="shared" si="279"/>
        <v>147</v>
      </c>
      <c r="S1446" s="26">
        <f t="shared" si="280"/>
        <v>351</v>
      </c>
    </row>
    <row r="1447" spans="2:19" x14ac:dyDescent="0.2">
      <c r="B1447" s="79">
        <f t="shared" si="283"/>
        <v>700</v>
      </c>
      <c r="C1447" s="4"/>
      <c r="D1447" s="4"/>
      <c r="E1447" s="4"/>
      <c r="F1447" s="56" t="s">
        <v>81</v>
      </c>
      <c r="G1447" s="4">
        <v>637</v>
      </c>
      <c r="H1447" s="4" t="s">
        <v>129</v>
      </c>
      <c r="I1447" s="26">
        <v>1132</v>
      </c>
      <c r="J1447" s="26">
        <v>265</v>
      </c>
      <c r="K1447" s="26">
        <f t="shared" si="281"/>
        <v>1397</v>
      </c>
      <c r="L1447" s="80"/>
      <c r="M1447" s="26"/>
      <c r="N1447" s="26"/>
      <c r="O1447" s="26">
        <f t="shared" si="282"/>
        <v>0</v>
      </c>
      <c r="P1447" s="80"/>
      <c r="Q1447" s="26">
        <f t="shared" si="284"/>
        <v>1132</v>
      </c>
      <c r="R1447" s="26">
        <f t="shared" si="279"/>
        <v>265</v>
      </c>
      <c r="S1447" s="26">
        <f t="shared" si="280"/>
        <v>1397</v>
      </c>
    </row>
    <row r="1448" spans="2:19" x14ac:dyDescent="0.2">
      <c r="B1448" s="79">
        <f t="shared" si="283"/>
        <v>701</v>
      </c>
      <c r="C1448" s="15"/>
      <c r="D1448" s="15"/>
      <c r="E1448" s="15"/>
      <c r="F1448" s="55" t="s">
        <v>81</v>
      </c>
      <c r="G1448" s="15">
        <v>640</v>
      </c>
      <c r="H1448" s="15" t="s">
        <v>135</v>
      </c>
      <c r="I1448" s="52">
        <v>107</v>
      </c>
      <c r="J1448" s="52">
        <v>-107</v>
      </c>
      <c r="K1448" s="52">
        <f t="shared" si="281"/>
        <v>0</v>
      </c>
      <c r="L1448" s="126"/>
      <c r="M1448" s="52"/>
      <c r="N1448" s="52"/>
      <c r="O1448" s="52">
        <f t="shared" si="282"/>
        <v>0</v>
      </c>
      <c r="P1448" s="126"/>
      <c r="Q1448" s="52">
        <f t="shared" si="284"/>
        <v>107</v>
      </c>
      <c r="R1448" s="52">
        <f t="shared" si="279"/>
        <v>-107</v>
      </c>
      <c r="S1448" s="52">
        <f t="shared" si="280"/>
        <v>0</v>
      </c>
    </row>
    <row r="1449" spans="2:19" x14ac:dyDescent="0.2">
      <c r="B1449" s="79">
        <f t="shared" si="283"/>
        <v>702</v>
      </c>
      <c r="C1449" s="15"/>
      <c r="D1449" s="15"/>
      <c r="E1449" s="15"/>
      <c r="F1449" s="55" t="s">
        <v>271</v>
      </c>
      <c r="G1449" s="15">
        <v>610</v>
      </c>
      <c r="H1449" s="15" t="s">
        <v>136</v>
      </c>
      <c r="I1449" s="52">
        <v>20232</v>
      </c>
      <c r="J1449" s="52">
        <v>479</v>
      </c>
      <c r="K1449" s="52">
        <f t="shared" si="281"/>
        <v>20711</v>
      </c>
      <c r="L1449" s="126"/>
      <c r="M1449" s="52"/>
      <c r="N1449" s="52"/>
      <c r="O1449" s="52">
        <f t="shared" si="282"/>
        <v>0</v>
      </c>
      <c r="P1449" s="126"/>
      <c r="Q1449" s="52">
        <f t="shared" si="284"/>
        <v>20232</v>
      </c>
      <c r="R1449" s="52">
        <f t="shared" si="279"/>
        <v>479</v>
      </c>
      <c r="S1449" s="52">
        <f t="shared" si="280"/>
        <v>20711</v>
      </c>
    </row>
    <row r="1450" spans="2:19" x14ac:dyDescent="0.2">
      <c r="B1450" s="79">
        <f t="shared" si="283"/>
        <v>703</v>
      </c>
      <c r="C1450" s="15"/>
      <c r="D1450" s="15"/>
      <c r="E1450" s="15"/>
      <c r="F1450" s="55" t="s">
        <v>271</v>
      </c>
      <c r="G1450" s="15">
        <v>620</v>
      </c>
      <c r="H1450" s="15" t="s">
        <v>131</v>
      </c>
      <c r="I1450" s="52">
        <v>7616</v>
      </c>
      <c r="J1450" s="52">
        <v>133</v>
      </c>
      <c r="K1450" s="52">
        <f t="shared" si="281"/>
        <v>7749</v>
      </c>
      <c r="L1450" s="126"/>
      <c r="M1450" s="52"/>
      <c r="N1450" s="52"/>
      <c r="O1450" s="52">
        <f t="shared" si="282"/>
        <v>0</v>
      </c>
      <c r="P1450" s="126"/>
      <c r="Q1450" s="52">
        <f t="shared" si="284"/>
        <v>7616</v>
      </c>
      <c r="R1450" s="52">
        <f t="shared" si="279"/>
        <v>133</v>
      </c>
      <c r="S1450" s="52">
        <f t="shared" si="280"/>
        <v>7749</v>
      </c>
    </row>
    <row r="1451" spans="2:19" x14ac:dyDescent="0.2">
      <c r="B1451" s="79">
        <f t="shared" si="283"/>
        <v>704</v>
      </c>
      <c r="C1451" s="15"/>
      <c r="D1451" s="15"/>
      <c r="E1451" s="15"/>
      <c r="F1451" s="55" t="s">
        <v>271</v>
      </c>
      <c r="G1451" s="15">
        <v>630</v>
      </c>
      <c r="H1451" s="15" t="s">
        <v>128</v>
      </c>
      <c r="I1451" s="52">
        <f>I1455+I1454+I1453+I1452</f>
        <v>7275</v>
      </c>
      <c r="J1451" s="52">
        <f>J1455+J1454+J1453+J1452</f>
        <v>-647</v>
      </c>
      <c r="K1451" s="52">
        <f t="shared" si="281"/>
        <v>6628</v>
      </c>
      <c r="L1451" s="126"/>
      <c r="M1451" s="52">
        <f>M1455+M1454+M1453+M1452</f>
        <v>0</v>
      </c>
      <c r="N1451" s="52">
        <f>N1455+N1454+N1453+N1452</f>
        <v>0</v>
      </c>
      <c r="O1451" s="52">
        <f t="shared" si="282"/>
        <v>0</v>
      </c>
      <c r="P1451" s="126"/>
      <c r="Q1451" s="52">
        <f t="shared" si="284"/>
        <v>7275</v>
      </c>
      <c r="R1451" s="52">
        <f t="shared" si="279"/>
        <v>-647</v>
      </c>
      <c r="S1451" s="52">
        <f t="shared" si="280"/>
        <v>6628</v>
      </c>
    </row>
    <row r="1452" spans="2:19" x14ac:dyDescent="0.2">
      <c r="B1452" s="79">
        <f t="shared" si="283"/>
        <v>705</v>
      </c>
      <c r="C1452" s="4"/>
      <c r="D1452" s="4"/>
      <c r="E1452" s="4"/>
      <c r="F1452" s="56" t="s">
        <v>271</v>
      </c>
      <c r="G1452" s="4">
        <v>632</v>
      </c>
      <c r="H1452" s="4" t="s">
        <v>139</v>
      </c>
      <c r="I1452" s="26">
        <v>4534</v>
      </c>
      <c r="J1452" s="26">
        <v>-1014</v>
      </c>
      <c r="K1452" s="26">
        <f t="shared" si="281"/>
        <v>3520</v>
      </c>
      <c r="L1452" s="80"/>
      <c r="M1452" s="26"/>
      <c r="N1452" s="26"/>
      <c r="O1452" s="26">
        <f t="shared" si="282"/>
        <v>0</v>
      </c>
      <c r="P1452" s="80"/>
      <c r="Q1452" s="26">
        <f t="shared" si="284"/>
        <v>4534</v>
      </c>
      <c r="R1452" s="26">
        <f t="shared" si="279"/>
        <v>-1014</v>
      </c>
      <c r="S1452" s="26">
        <f t="shared" si="280"/>
        <v>3520</v>
      </c>
    </row>
    <row r="1453" spans="2:19" x14ac:dyDescent="0.2">
      <c r="B1453" s="79">
        <f t="shared" si="283"/>
        <v>706</v>
      </c>
      <c r="C1453" s="4"/>
      <c r="D1453" s="4"/>
      <c r="E1453" s="4"/>
      <c r="F1453" s="56" t="s">
        <v>271</v>
      </c>
      <c r="G1453" s="4">
        <v>633</v>
      </c>
      <c r="H1453" s="4" t="s">
        <v>132</v>
      </c>
      <c r="I1453" s="26">
        <f>510+650</f>
        <v>1160</v>
      </c>
      <c r="J1453" s="26">
        <v>-45</v>
      </c>
      <c r="K1453" s="26">
        <f t="shared" si="281"/>
        <v>1115</v>
      </c>
      <c r="L1453" s="80"/>
      <c r="M1453" s="26"/>
      <c r="N1453" s="26"/>
      <c r="O1453" s="26">
        <f t="shared" si="282"/>
        <v>0</v>
      </c>
      <c r="P1453" s="80"/>
      <c r="Q1453" s="26">
        <f t="shared" si="284"/>
        <v>1160</v>
      </c>
      <c r="R1453" s="26">
        <f t="shared" si="279"/>
        <v>-45</v>
      </c>
      <c r="S1453" s="26">
        <f t="shared" si="280"/>
        <v>1115</v>
      </c>
    </row>
    <row r="1454" spans="2:19" x14ac:dyDescent="0.2">
      <c r="B1454" s="79">
        <f t="shared" si="283"/>
        <v>707</v>
      </c>
      <c r="C1454" s="4"/>
      <c r="D1454" s="4"/>
      <c r="E1454" s="4"/>
      <c r="F1454" s="56" t="s">
        <v>271</v>
      </c>
      <c r="G1454" s="4">
        <v>635</v>
      </c>
      <c r="H1454" s="4" t="s">
        <v>138</v>
      </c>
      <c r="I1454" s="26">
        <f>204+245</f>
        <v>449</v>
      </c>
      <c r="J1454" s="26">
        <v>147</v>
      </c>
      <c r="K1454" s="26">
        <f t="shared" si="281"/>
        <v>596</v>
      </c>
      <c r="L1454" s="80"/>
      <c r="M1454" s="26"/>
      <c r="N1454" s="26"/>
      <c r="O1454" s="26">
        <f t="shared" si="282"/>
        <v>0</v>
      </c>
      <c r="P1454" s="80"/>
      <c r="Q1454" s="26">
        <f t="shared" si="284"/>
        <v>449</v>
      </c>
      <c r="R1454" s="26">
        <f t="shared" si="279"/>
        <v>147</v>
      </c>
      <c r="S1454" s="26">
        <f t="shared" si="280"/>
        <v>596</v>
      </c>
    </row>
    <row r="1455" spans="2:19" x14ac:dyDescent="0.2">
      <c r="B1455" s="79">
        <f t="shared" si="283"/>
        <v>708</v>
      </c>
      <c r="C1455" s="4"/>
      <c r="D1455" s="4"/>
      <c r="E1455" s="4"/>
      <c r="F1455" s="56" t="s">
        <v>271</v>
      </c>
      <c r="G1455" s="4">
        <v>637</v>
      </c>
      <c r="H1455" s="4" t="s">
        <v>129</v>
      </c>
      <c r="I1455" s="26">
        <v>1132</v>
      </c>
      <c r="J1455" s="26">
        <v>265</v>
      </c>
      <c r="K1455" s="26">
        <f t="shared" si="281"/>
        <v>1397</v>
      </c>
      <c r="L1455" s="80"/>
      <c r="M1455" s="26"/>
      <c r="N1455" s="26"/>
      <c r="O1455" s="26">
        <f t="shared" si="282"/>
        <v>0</v>
      </c>
      <c r="P1455" s="80"/>
      <c r="Q1455" s="26">
        <f t="shared" si="284"/>
        <v>1132</v>
      </c>
      <c r="R1455" s="26">
        <f t="shared" si="279"/>
        <v>265</v>
      </c>
      <c r="S1455" s="26">
        <f t="shared" si="280"/>
        <v>1397</v>
      </c>
    </row>
    <row r="1456" spans="2:19" x14ac:dyDescent="0.2">
      <c r="B1456" s="79">
        <f t="shared" si="283"/>
        <v>709</v>
      </c>
      <c r="C1456" s="15"/>
      <c r="D1456" s="15"/>
      <c r="E1456" s="15"/>
      <c r="F1456" s="55" t="s">
        <v>271</v>
      </c>
      <c r="G1456" s="15">
        <v>640</v>
      </c>
      <c r="H1456" s="15" t="s">
        <v>135</v>
      </c>
      <c r="I1456" s="52">
        <f>107+819</f>
        <v>926</v>
      </c>
      <c r="J1456" s="52">
        <v>35</v>
      </c>
      <c r="K1456" s="52">
        <f t="shared" si="281"/>
        <v>961</v>
      </c>
      <c r="L1456" s="126"/>
      <c r="M1456" s="52"/>
      <c r="N1456" s="52"/>
      <c r="O1456" s="52">
        <f t="shared" si="282"/>
        <v>0</v>
      </c>
      <c r="P1456" s="126"/>
      <c r="Q1456" s="52">
        <f t="shared" si="284"/>
        <v>926</v>
      </c>
      <c r="R1456" s="52">
        <f t="shared" si="279"/>
        <v>35</v>
      </c>
      <c r="S1456" s="52">
        <f t="shared" si="280"/>
        <v>961</v>
      </c>
    </row>
    <row r="1457" spans="2:19" ht="15" x14ac:dyDescent="0.25">
      <c r="B1457" s="79">
        <f t="shared" si="283"/>
        <v>710</v>
      </c>
      <c r="C1457" s="18"/>
      <c r="D1457" s="18"/>
      <c r="E1457" s="18">
        <v>7</v>
      </c>
      <c r="F1457" s="53"/>
      <c r="G1457" s="18"/>
      <c r="H1457" s="18" t="s">
        <v>317</v>
      </c>
      <c r="I1457" s="50">
        <f>I1458+I1459+I1460+I1465+I1466+I1467+I1468+I1473</f>
        <v>93601</v>
      </c>
      <c r="J1457" s="50">
        <f>J1458+J1459+J1460+J1465+J1466+J1467+J1468+J1473</f>
        <v>2882</v>
      </c>
      <c r="K1457" s="50">
        <f t="shared" si="281"/>
        <v>96483</v>
      </c>
      <c r="L1457" s="203"/>
      <c r="M1457" s="50">
        <f>M1458+M1459+M1460+M1465+M1466+M1467+M1468+M1473</f>
        <v>0</v>
      </c>
      <c r="N1457" s="50">
        <f>N1458+N1459+N1460+N1465+N1466+N1467+N1468+N1473</f>
        <v>0</v>
      </c>
      <c r="O1457" s="50">
        <f t="shared" si="282"/>
        <v>0</v>
      </c>
      <c r="P1457" s="203"/>
      <c r="Q1457" s="50">
        <f t="shared" si="284"/>
        <v>93601</v>
      </c>
      <c r="R1457" s="50">
        <f t="shared" si="279"/>
        <v>2882</v>
      </c>
      <c r="S1457" s="50">
        <f t="shared" si="280"/>
        <v>96483</v>
      </c>
    </row>
    <row r="1458" spans="2:19" x14ac:dyDescent="0.2">
      <c r="B1458" s="79">
        <f t="shared" si="283"/>
        <v>711</v>
      </c>
      <c r="C1458" s="15"/>
      <c r="D1458" s="15"/>
      <c r="E1458" s="15"/>
      <c r="F1458" s="55" t="s">
        <v>81</v>
      </c>
      <c r="G1458" s="15">
        <v>610</v>
      </c>
      <c r="H1458" s="15" t="s">
        <v>136</v>
      </c>
      <c r="I1458" s="52">
        <f>21509+3470</f>
        <v>24979</v>
      </c>
      <c r="J1458" s="52"/>
      <c r="K1458" s="52">
        <f t="shared" si="281"/>
        <v>24979</v>
      </c>
      <c r="L1458" s="126"/>
      <c r="M1458" s="52"/>
      <c r="N1458" s="52"/>
      <c r="O1458" s="52">
        <f t="shared" si="282"/>
        <v>0</v>
      </c>
      <c r="P1458" s="126"/>
      <c r="Q1458" s="52">
        <f t="shared" si="284"/>
        <v>24979</v>
      </c>
      <c r="R1458" s="52">
        <f t="shared" si="279"/>
        <v>0</v>
      </c>
      <c r="S1458" s="52">
        <f t="shared" si="280"/>
        <v>24979</v>
      </c>
    </row>
    <row r="1459" spans="2:19" x14ac:dyDescent="0.2">
      <c r="B1459" s="79">
        <f t="shared" si="283"/>
        <v>712</v>
      </c>
      <c r="C1459" s="15"/>
      <c r="D1459" s="15"/>
      <c r="E1459" s="15"/>
      <c r="F1459" s="55" t="s">
        <v>81</v>
      </c>
      <c r="G1459" s="15">
        <v>620</v>
      </c>
      <c r="H1459" s="15" t="s">
        <v>131</v>
      </c>
      <c r="I1459" s="52">
        <f>7983+1221</f>
        <v>9204</v>
      </c>
      <c r="J1459" s="52"/>
      <c r="K1459" s="52">
        <f t="shared" si="281"/>
        <v>9204</v>
      </c>
      <c r="L1459" s="126"/>
      <c r="M1459" s="52"/>
      <c r="N1459" s="52"/>
      <c r="O1459" s="52">
        <f t="shared" si="282"/>
        <v>0</v>
      </c>
      <c r="P1459" s="126"/>
      <c r="Q1459" s="52">
        <f t="shared" si="284"/>
        <v>9204</v>
      </c>
      <c r="R1459" s="52">
        <f t="shared" si="279"/>
        <v>0</v>
      </c>
      <c r="S1459" s="52">
        <f t="shared" si="280"/>
        <v>9204</v>
      </c>
    </row>
    <row r="1460" spans="2:19" x14ac:dyDescent="0.2">
      <c r="B1460" s="79">
        <f t="shared" si="283"/>
        <v>713</v>
      </c>
      <c r="C1460" s="15"/>
      <c r="D1460" s="15"/>
      <c r="E1460" s="15"/>
      <c r="F1460" s="55" t="s">
        <v>81</v>
      </c>
      <c r="G1460" s="15">
        <v>630</v>
      </c>
      <c r="H1460" s="15" t="s">
        <v>128</v>
      </c>
      <c r="I1460" s="52">
        <f>I1464+I1463+I1462+I1461</f>
        <v>4756</v>
      </c>
      <c r="J1460" s="52">
        <f>J1464+J1463+J1462+J1461</f>
        <v>0</v>
      </c>
      <c r="K1460" s="52">
        <f t="shared" si="281"/>
        <v>4756</v>
      </c>
      <c r="L1460" s="126"/>
      <c r="M1460" s="52">
        <f>M1464+M1463+M1462+M1461</f>
        <v>0</v>
      </c>
      <c r="N1460" s="52">
        <f>N1464+N1463+N1462+N1461</f>
        <v>0</v>
      </c>
      <c r="O1460" s="52">
        <f t="shared" si="282"/>
        <v>0</v>
      </c>
      <c r="P1460" s="126"/>
      <c r="Q1460" s="52">
        <f t="shared" si="284"/>
        <v>4756</v>
      </c>
      <c r="R1460" s="52">
        <f t="shared" si="279"/>
        <v>0</v>
      </c>
      <c r="S1460" s="52">
        <f t="shared" si="280"/>
        <v>4756</v>
      </c>
    </row>
    <row r="1461" spans="2:19" x14ac:dyDescent="0.2">
      <c r="B1461" s="79">
        <f t="shared" si="283"/>
        <v>714</v>
      </c>
      <c r="C1461" s="4"/>
      <c r="D1461" s="4"/>
      <c r="E1461" s="4"/>
      <c r="F1461" s="56" t="s">
        <v>81</v>
      </c>
      <c r="G1461" s="4">
        <v>632</v>
      </c>
      <c r="H1461" s="4" t="s">
        <v>139</v>
      </c>
      <c r="I1461" s="26">
        <v>1290</v>
      </c>
      <c r="J1461" s="26"/>
      <c r="K1461" s="26">
        <f t="shared" si="281"/>
        <v>1290</v>
      </c>
      <c r="L1461" s="80"/>
      <c r="M1461" s="26"/>
      <c r="N1461" s="26"/>
      <c r="O1461" s="26">
        <f t="shared" si="282"/>
        <v>0</v>
      </c>
      <c r="P1461" s="80"/>
      <c r="Q1461" s="26">
        <f t="shared" si="284"/>
        <v>1290</v>
      </c>
      <c r="R1461" s="26">
        <f t="shared" si="279"/>
        <v>0</v>
      </c>
      <c r="S1461" s="26">
        <f t="shared" si="280"/>
        <v>1290</v>
      </c>
    </row>
    <row r="1462" spans="2:19" x14ac:dyDescent="0.2">
      <c r="B1462" s="79">
        <f t="shared" si="283"/>
        <v>715</v>
      </c>
      <c r="C1462" s="4"/>
      <c r="D1462" s="4"/>
      <c r="E1462" s="4"/>
      <c r="F1462" s="56" t="s">
        <v>81</v>
      </c>
      <c r="G1462" s="4">
        <v>633</v>
      </c>
      <c r="H1462" s="4" t="s">
        <v>132</v>
      </c>
      <c r="I1462" s="26">
        <v>1316</v>
      </c>
      <c r="J1462" s="26"/>
      <c r="K1462" s="26">
        <f t="shared" si="281"/>
        <v>1316</v>
      </c>
      <c r="L1462" s="80"/>
      <c r="M1462" s="26"/>
      <c r="N1462" s="26"/>
      <c r="O1462" s="26">
        <f t="shared" si="282"/>
        <v>0</v>
      </c>
      <c r="P1462" s="80"/>
      <c r="Q1462" s="26">
        <f t="shared" si="284"/>
        <v>1316</v>
      </c>
      <c r="R1462" s="26">
        <f t="shared" si="279"/>
        <v>0</v>
      </c>
      <c r="S1462" s="26">
        <f t="shared" si="280"/>
        <v>1316</v>
      </c>
    </row>
    <row r="1463" spans="2:19" x14ac:dyDescent="0.2">
      <c r="B1463" s="79">
        <f t="shared" si="283"/>
        <v>716</v>
      </c>
      <c r="C1463" s="4"/>
      <c r="D1463" s="4"/>
      <c r="E1463" s="4"/>
      <c r="F1463" s="56" t="s">
        <v>81</v>
      </c>
      <c r="G1463" s="4">
        <v>635</v>
      </c>
      <c r="H1463" s="4" t="s">
        <v>138</v>
      </c>
      <c r="I1463" s="26">
        <v>645</v>
      </c>
      <c r="J1463" s="26"/>
      <c r="K1463" s="26">
        <f t="shared" si="281"/>
        <v>645</v>
      </c>
      <c r="L1463" s="80"/>
      <c r="M1463" s="26"/>
      <c r="N1463" s="26"/>
      <c r="O1463" s="26">
        <f t="shared" si="282"/>
        <v>0</v>
      </c>
      <c r="P1463" s="80"/>
      <c r="Q1463" s="26">
        <f t="shared" si="284"/>
        <v>645</v>
      </c>
      <c r="R1463" s="26">
        <f t="shared" si="279"/>
        <v>0</v>
      </c>
      <c r="S1463" s="26">
        <f t="shared" si="280"/>
        <v>645</v>
      </c>
    </row>
    <row r="1464" spans="2:19" x14ac:dyDescent="0.2">
      <c r="B1464" s="79">
        <f t="shared" si="283"/>
        <v>717</v>
      </c>
      <c r="C1464" s="4"/>
      <c r="D1464" s="4"/>
      <c r="E1464" s="4"/>
      <c r="F1464" s="56" t="s">
        <v>81</v>
      </c>
      <c r="G1464" s="4">
        <v>637</v>
      </c>
      <c r="H1464" s="4" t="s">
        <v>129</v>
      </c>
      <c r="I1464" s="26">
        <v>1505</v>
      </c>
      <c r="J1464" s="26"/>
      <c r="K1464" s="26">
        <f t="shared" si="281"/>
        <v>1505</v>
      </c>
      <c r="L1464" s="80"/>
      <c r="M1464" s="26"/>
      <c r="N1464" s="26"/>
      <c r="O1464" s="26">
        <f t="shared" si="282"/>
        <v>0</v>
      </c>
      <c r="P1464" s="80"/>
      <c r="Q1464" s="26">
        <f t="shared" si="284"/>
        <v>1505</v>
      </c>
      <c r="R1464" s="26">
        <f t="shared" si="279"/>
        <v>0</v>
      </c>
      <c r="S1464" s="26">
        <f t="shared" si="280"/>
        <v>1505</v>
      </c>
    </row>
    <row r="1465" spans="2:19" x14ac:dyDescent="0.2">
      <c r="B1465" s="79">
        <f t="shared" si="283"/>
        <v>718</v>
      </c>
      <c r="C1465" s="15"/>
      <c r="D1465" s="15"/>
      <c r="E1465" s="15"/>
      <c r="F1465" s="55" t="s">
        <v>81</v>
      </c>
      <c r="G1465" s="15">
        <v>640</v>
      </c>
      <c r="H1465" s="15" t="s">
        <v>135</v>
      </c>
      <c r="I1465" s="52">
        <v>758</v>
      </c>
      <c r="J1465" s="52">
        <v>-500</v>
      </c>
      <c r="K1465" s="52">
        <f t="shared" si="281"/>
        <v>258</v>
      </c>
      <c r="L1465" s="126"/>
      <c r="M1465" s="52"/>
      <c r="N1465" s="52"/>
      <c r="O1465" s="52">
        <f t="shared" si="282"/>
        <v>0</v>
      </c>
      <c r="P1465" s="126"/>
      <c r="Q1465" s="52">
        <f t="shared" si="284"/>
        <v>758</v>
      </c>
      <c r="R1465" s="52">
        <f t="shared" si="279"/>
        <v>-500</v>
      </c>
      <c r="S1465" s="52">
        <f t="shared" si="280"/>
        <v>258</v>
      </c>
    </row>
    <row r="1466" spans="2:19" x14ac:dyDescent="0.2">
      <c r="B1466" s="79">
        <f t="shared" si="283"/>
        <v>719</v>
      </c>
      <c r="C1466" s="15"/>
      <c r="D1466" s="15"/>
      <c r="E1466" s="15"/>
      <c r="F1466" s="55" t="s">
        <v>271</v>
      </c>
      <c r="G1466" s="15">
        <v>610</v>
      </c>
      <c r="H1466" s="15" t="s">
        <v>136</v>
      </c>
      <c r="I1466" s="52">
        <f>28512+5015</f>
        <v>33527</v>
      </c>
      <c r="J1466" s="52"/>
      <c r="K1466" s="52">
        <f t="shared" si="281"/>
        <v>33527</v>
      </c>
      <c r="L1466" s="126"/>
      <c r="M1466" s="52"/>
      <c r="N1466" s="52"/>
      <c r="O1466" s="52">
        <f t="shared" si="282"/>
        <v>0</v>
      </c>
      <c r="P1466" s="126"/>
      <c r="Q1466" s="52">
        <f t="shared" si="284"/>
        <v>33527</v>
      </c>
      <c r="R1466" s="52">
        <f t="shared" si="279"/>
        <v>0</v>
      </c>
      <c r="S1466" s="52">
        <f t="shared" si="280"/>
        <v>33527</v>
      </c>
    </row>
    <row r="1467" spans="2:19" x14ac:dyDescent="0.2">
      <c r="B1467" s="79">
        <f t="shared" si="283"/>
        <v>720</v>
      </c>
      <c r="C1467" s="15"/>
      <c r="D1467" s="15"/>
      <c r="E1467" s="15"/>
      <c r="F1467" s="55" t="s">
        <v>271</v>
      </c>
      <c r="G1467" s="15">
        <v>620</v>
      </c>
      <c r="H1467" s="15" t="s">
        <v>131</v>
      </c>
      <c r="I1467" s="52">
        <f>10581+1765</f>
        <v>12346</v>
      </c>
      <c r="J1467" s="52"/>
      <c r="K1467" s="52">
        <f t="shared" si="281"/>
        <v>12346</v>
      </c>
      <c r="L1467" s="126"/>
      <c r="M1467" s="52"/>
      <c r="N1467" s="52"/>
      <c r="O1467" s="52">
        <f t="shared" si="282"/>
        <v>0</v>
      </c>
      <c r="P1467" s="126"/>
      <c r="Q1467" s="52">
        <f t="shared" si="284"/>
        <v>12346</v>
      </c>
      <c r="R1467" s="52">
        <f t="shared" si="279"/>
        <v>0</v>
      </c>
      <c r="S1467" s="52">
        <f t="shared" si="280"/>
        <v>12346</v>
      </c>
    </row>
    <row r="1468" spans="2:19" x14ac:dyDescent="0.2">
      <c r="B1468" s="79">
        <f t="shared" si="283"/>
        <v>721</v>
      </c>
      <c r="C1468" s="15"/>
      <c r="D1468" s="15"/>
      <c r="E1468" s="15"/>
      <c r="F1468" s="55" t="s">
        <v>271</v>
      </c>
      <c r="G1468" s="15">
        <v>630</v>
      </c>
      <c r="H1468" s="15" t="s">
        <v>128</v>
      </c>
      <c r="I1468" s="52">
        <f>I1472+I1471+I1470+I1469</f>
        <v>7049</v>
      </c>
      <c r="J1468" s="52">
        <f>J1472+J1471+J1470+J1469</f>
        <v>3882</v>
      </c>
      <c r="K1468" s="52">
        <f t="shared" si="281"/>
        <v>10931</v>
      </c>
      <c r="L1468" s="126"/>
      <c r="M1468" s="52">
        <f>M1472+M1471+M1470+M1469</f>
        <v>0</v>
      </c>
      <c r="N1468" s="52">
        <f>N1472+N1471+N1470+N1469</f>
        <v>0</v>
      </c>
      <c r="O1468" s="52">
        <f t="shared" si="282"/>
        <v>0</v>
      </c>
      <c r="P1468" s="126"/>
      <c r="Q1468" s="52">
        <f t="shared" si="284"/>
        <v>7049</v>
      </c>
      <c r="R1468" s="52">
        <f t="shared" ref="R1468:R1531" si="285">N1468+J1468</f>
        <v>3882</v>
      </c>
      <c r="S1468" s="52">
        <f t="shared" ref="S1468:S1531" si="286">O1468+K1468</f>
        <v>10931</v>
      </c>
    </row>
    <row r="1469" spans="2:19" x14ac:dyDescent="0.2">
      <c r="B1469" s="79">
        <f t="shared" si="283"/>
        <v>722</v>
      </c>
      <c r="C1469" s="4"/>
      <c r="D1469" s="4"/>
      <c r="E1469" s="4"/>
      <c r="F1469" s="56" t="s">
        <v>271</v>
      </c>
      <c r="G1469" s="4">
        <v>632</v>
      </c>
      <c r="H1469" s="4" t="s">
        <v>139</v>
      </c>
      <c r="I1469" s="26">
        <v>1710</v>
      </c>
      <c r="J1469" s="26">
        <v>1900</v>
      </c>
      <c r="K1469" s="26">
        <f t="shared" si="281"/>
        <v>3610</v>
      </c>
      <c r="L1469" s="80"/>
      <c r="M1469" s="26"/>
      <c r="N1469" s="26"/>
      <c r="O1469" s="26">
        <f t="shared" si="282"/>
        <v>0</v>
      </c>
      <c r="P1469" s="80"/>
      <c r="Q1469" s="26">
        <f t="shared" si="284"/>
        <v>1710</v>
      </c>
      <c r="R1469" s="26">
        <f t="shared" si="285"/>
        <v>1900</v>
      </c>
      <c r="S1469" s="26">
        <f t="shared" si="286"/>
        <v>3610</v>
      </c>
    </row>
    <row r="1470" spans="2:19" x14ac:dyDescent="0.2">
      <c r="B1470" s="79">
        <f t="shared" si="283"/>
        <v>723</v>
      </c>
      <c r="C1470" s="4"/>
      <c r="D1470" s="4"/>
      <c r="E1470" s="4"/>
      <c r="F1470" s="56" t="s">
        <v>271</v>
      </c>
      <c r="G1470" s="4">
        <v>633</v>
      </c>
      <c r="H1470" s="4" t="s">
        <v>132</v>
      </c>
      <c r="I1470" s="26">
        <f>1744+745</f>
        <v>2489</v>
      </c>
      <c r="J1470" s="26">
        <v>82</v>
      </c>
      <c r="K1470" s="26">
        <f t="shared" si="281"/>
        <v>2571</v>
      </c>
      <c r="L1470" s="80"/>
      <c r="M1470" s="26"/>
      <c r="N1470" s="26"/>
      <c r="O1470" s="26">
        <f t="shared" si="282"/>
        <v>0</v>
      </c>
      <c r="P1470" s="80"/>
      <c r="Q1470" s="26">
        <f t="shared" si="284"/>
        <v>2489</v>
      </c>
      <c r="R1470" s="26">
        <f t="shared" si="285"/>
        <v>82</v>
      </c>
      <c r="S1470" s="26">
        <f t="shared" si="286"/>
        <v>2571</v>
      </c>
    </row>
    <row r="1471" spans="2:19" x14ac:dyDescent="0.2">
      <c r="B1471" s="79">
        <f t="shared" si="283"/>
        <v>724</v>
      </c>
      <c r="C1471" s="4"/>
      <c r="D1471" s="4"/>
      <c r="E1471" s="4"/>
      <c r="F1471" s="56" t="s">
        <v>271</v>
      </c>
      <c r="G1471" s="4">
        <v>635</v>
      </c>
      <c r="H1471" s="4" t="s">
        <v>138</v>
      </c>
      <c r="I1471" s="26">
        <v>855</v>
      </c>
      <c r="J1471" s="26">
        <v>1900</v>
      </c>
      <c r="K1471" s="26">
        <f t="shared" si="281"/>
        <v>2755</v>
      </c>
      <c r="L1471" s="80"/>
      <c r="M1471" s="26"/>
      <c r="N1471" s="26"/>
      <c r="O1471" s="26">
        <f t="shared" si="282"/>
        <v>0</v>
      </c>
      <c r="P1471" s="80"/>
      <c r="Q1471" s="26">
        <f t="shared" si="284"/>
        <v>855</v>
      </c>
      <c r="R1471" s="26">
        <f t="shared" si="285"/>
        <v>1900</v>
      </c>
      <c r="S1471" s="26">
        <f t="shared" si="286"/>
        <v>2755</v>
      </c>
    </row>
    <row r="1472" spans="2:19" x14ac:dyDescent="0.2">
      <c r="B1472" s="79">
        <f t="shared" si="283"/>
        <v>725</v>
      </c>
      <c r="C1472" s="4"/>
      <c r="D1472" s="4"/>
      <c r="E1472" s="4"/>
      <c r="F1472" s="56" t="s">
        <v>271</v>
      </c>
      <c r="G1472" s="4">
        <v>637</v>
      </c>
      <c r="H1472" s="4" t="s">
        <v>129</v>
      </c>
      <c r="I1472" s="26">
        <v>1995</v>
      </c>
      <c r="J1472" s="26"/>
      <c r="K1472" s="26">
        <f t="shared" ref="K1472:K1535" si="287">I1472+J1472</f>
        <v>1995</v>
      </c>
      <c r="L1472" s="80"/>
      <c r="M1472" s="26"/>
      <c r="N1472" s="26"/>
      <c r="O1472" s="26">
        <f t="shared" ref="O1472:O1535" si="288">M1472+N1472</f>
        <v>0</v>
      </c>
      <c r="P1472" s="80"/>
      <c r="Q1472" s="26">
        <f t="shared" si="284"/>
        <v>1995</v>
      </c>
      <c r="R1472" s="26">
        <f t="shared" si="285"/>
        <v>0</v>
      </c>
      <c r="S1472" s="26">
        <f t="shared" si="286"/>
        <v>1995</v>
      </c>
    </row>
    <row r="1473" spans="2:19" x14ac:dyDescent="0.2">
      <c r="B1473" s="79">
        <f t="shared" ref="B1473:B1536" si="289">B1472+1</f>
        <v>726</v>
      </c>
      <c r="C1473" s="15"/>
      <c r="D1473" s="15"/>
      <c r="E1473" s="15"/>
      <c r="F1473" s="55" t="s">
        <v>271</v>
      </c>
      <c r="G1473" s="15">
        <v>640</v>
      </c>
      <c r="H1473" s="15" t="s">
        <v>135</v>
      </c>
      <c r="I1473" s="52">
        <v>982</v>
      </c>
      <c r="J1473" s="52">
        <v>-500</v>
      </c>
      <c r="K1473" s="52">
        <f t="shared" si="287"/>
        <v>482</v>
      </c>
      <c r="L1473" s="126"/>
      <c r="M1473" s="52"/>
      <c r="N1473" s="52"/>
      <c r="O1473" s="52">
        <f t="shared" si="288"/>
        <v>0</v>
      </c>
      <c r="P1473" s="126"/>
      <c r="Q1473" s="52">
        <f t="shared" si="284"/>
        <v>982</v>
      </c>
      <c r="R1473" s="52">
        <f t="shared" si="285"/>
        <v>-500</v>
      </c>
      <c r="S1473" s="52">
        <f t="shared" si="286"/>
        <v>482</v>
      </c>
    </row>
    <row r="1474" spans="2:19" ht="15" x14ac:dyDescent="0.25">
      <c r="B1474" s="79">
        <f t="shared" si="289"/>
        <v>727</v>
      </c>
      <c r="C1474" s="18"/>
      <c r="D1474" s="18"/>
      <c r="E1474" s="18">
        <v>8</v>
      </c>
      <c r="F1474" s="53"/>
      <c r="G1474" s="18"/>
      <c r="H1474" s="18" t="s">
        <v>315</v>
      </c>
      <c r="I1474" s="50">
        <f>I1475+I1477</f>
        <v>114240</v>
      </c>
      <c r="J1474" s="50">
        <f>J1475+J1477</f>
        <v>0</v>
      </c>
      <c r="K1474" s="50">
        <f t="shared" si="287"/>
        <v>114240</v>
      </c>
      <c r="L1474" s="203"/>
      <c r="M1474" s="50">
        <f>M1475+M1477</f>
        <v>0</v>
      </c>
      <c r="N1474" s="50">
        <f>N1475+N1477</f>
        <v>0</v>
      </c>
      <c r="O1474" s="50">
        <f t="shared" si="288"/>
        <v>0</v>
      </c>
      <c r="P1474" s="203"/>
      <c r="Q1474" s="50">
        <f t="shared" si="284"/>
        <v>114240</v>
      </c>
      <c r="R1474" s="50">
        <f t="shared" si="285"/>
        <v>0</v>
      </c>
      <c r="S1474" s="50">
        <f t="shared" si="286"/>
        <v>114240</v>
      </c>
    </row>
    <row r="1475" spans="2:19" x14ac:dyDescent="0.2">
      <c r="B1475" s="79">
        <f t="shared" si="289"/>
        <v>728</v>
      </c>
      <c r="C1475" s="15"/>
      <c r="D1475" s="15"/>
      <c r="E1475" s="15"/>
      <c r="F1475" s="55" t="s">
        <v>81</v>
      </c>
      <c r="G1475" s="15">
        <v>630</v>
      </c>
      <c r="H1475" s="15" t="s">
        <v>128</v>
      </c>
      <c r="I1475" s="52">
        <f>I1476</f>
        <v>45696</v>
      </c>
      <c r="J1475" s="52">
        <f>J1476</f>
        <v>0</v>
      </c>
      <c r="K1475" s="52">
        <f t="shared" si="287"/>
        <v>45696</v>
      </c>
      <c r="L1475" s="126"/>
      <c r="M1475" s="52">
        <f>M1476</f>
        <v>0</v>
      </c>
      <c r="N1475" s="52">
        <f>N1476</f>
        <v>0</v>
      </c>
      <c r="O1475" s="52">
        <f t="shared" si="288"/>
        <v>0</v>
      </c>
      <c r="P1475" s="126"/>
      <c r="Q1475" s="52">
        <f t="shared" si="284"/>
        <v>45696</v>
      </c>
      <c r="R1475" s="52">
        <f t="shared" si="285"/>
        <v>0</v>
      </c>
      <c r="S1475" s="52">
        <f t="shared" si="286"/>
        <v>45696</v>
      </c>
    </row>
    <row r="1476" spans="2:19" x14ac:dyDescent="0.2">
      <c r="B1476" s="79">
        <f t="shared" si="289"/>
        <v>729</v>
      </c>
      <c r="C1476" s="4"/>
      <c r="D1476" s="4"/>
      <c r="E1476" s="4"/>
      <c r="F1476" s="56" t="s">
        <v>81</v>
      </c>
      <c r="G1476" s="4">
        <v>637</v>
      </c>
      <c r="H1476" s="4" t="s">
        <v>129</v>
      </c>
      <c r="I1476" s="26">
        <v>45696</v>
      </c>
      <c r="J1476" s="26"/>
      <c r="K1476" s="26">
        <f t="shared" si="287"/>
        <v>45696</v>
      </c>
      <c r="L1476" s="80"/>
      <c r="M1476" s="26"/>
      <c r="N1476" s="26"/>
      <c r="O1476" s="26">
        <f t="shared" si="288"/>
        <v>0</v>
      </c>
      <c r="P1476" s="80"/>
      <c r="Q1476" s="26">
        <f t="shared" si="284"/>
        <v>45696</v>
      </c>
      <c r="R1476" s="26">
        <f t="shared" si="285"/>
        <v>0</v>
      </c>
      <c r="S1476" s="26">
        <f t="shared" si="286"/>
        <v>45696</v>
      </c>
    </row>
    <row r="1477" spans="2:19" x14ac:dyDescent="0.2">
      <c r="B1477" s="79">
        <f t="shared" si="289"/>
        <v>730</v>
      </c>
      <c r="C1477" s="15"/>
      <c r="D1477" s="15"/>
      <c r="E1477" s="15"/>
      <c r="F1477" s="55" t="s">
        <v>271</v>
      </c>
      <c r="G1477" s="15">
        <v>630</v>
      </c>
      <c r="H1477" s="15" t="s">
        <v>128</v>
      </c>
      <c r="I1477" s="52">
        <f>I1478</f>
        <v>68544</v>
      </c>
      <c r="J1477" s="52">
        <f>J1478</f>
        <v>0</v>
      </c>
      <c r="K1477" s="52">
        <f t="shared" si="287"/>
        <v>68544</v>
      </c>
      <c r="L1477" s="126"/>
      <c r="M1477" s="52">
        <f>M1478</f>
        <v>0</v>
      </c>
      <c r="N1477" s="52">
        <f>N1478</f>
        <v>0</v>
      </c>
      <c r="O1477" s="52">
        <f t="shared" si="288"/>
        <v>0</v>
      </c>
      <c r="P1477" s="126"/>
      <c r="Q1477" s="52">
        <f t="shared" si="284"/>
        <v>68544</v>
      </c>
      <c r="R1477" s="52">
        <f t="shared" si="285"/>
        <v>0</v>
      </c>
      <c r="S1477" s="52">
        <f t="shared" si="286"/>
        <v>68544</v>
      </c>
    </row>
    <row r="1478" spans="2:19" x14ac:dyDescent="0.2">
      <c r="B1478" s="79">
        <f t="shared" si="289"/>
        <v>731</v>
      </c>
      <c r="C1478" s="4"/>
      <c r="D1478" s="4"/>
      <c r="E1478" s="4"/>
      <c r="F1478" s="56" t="s">
        <v>271</v>
      </c>
      <c r="G1478" s="4">
        <v>637</v>
      </c>
      <c r="H1478" s="4" t="s">
        <v>129</v>
      </c>
      <c r="I1478" s="26">
        <v>68544</v>
      </c>
      <c r="J1478" s="26"/>
      <c r="K1478" s="26">
        <f t="shared" si="287"/>
        <v>68544</v>
      </c>
      <c r="L1478" s="80"/>
      <c r="M1478" s="26"/>
      <c r="N1478" s="26"/>
      <c r="O1478" s="26">
        <f t="shared" si="288"/>
        <v>0</v>
      </c>
      <c r="P1478" s="80"/>
      <c r="Q1478" s="26">
        <f t="shared" si="284"/>
        <v>68544</v>
      </c>
      <c r="R1478" s="26">
        <f t="shared" si="285"/>
        <v>0</v>
      </c>
      <c r="S1478" s="26">
        <f t="shared" si="286"/>
        <v>68544</v>
      </c>
    </row>
    <row r="1479" spans="2:19" ht="15" x14ac:dyDescent="0.25">
      <c r="B1479" s="79">
        <f t="shared" si="289"/>
        <v>732</v>
      </c>
      <c r="C1479" s="18"/>
      <c r="D1479" s="18"/>
      <c r="E1479" s="18">
        <v>9</v>
      </c>
      <c r="F1479" s="53"/>
      <c r="G1479" s="18"/>
      <c r="H1479" s="18" t="s">
        <v>274</v>
      </c>
      <c r="I1479" s="50">
        <f>I1480+I1481+I1482+I1488+I1489+I1490+I1487+I1495</f>
        <v>77392</v>
      </c>
      <c r="J1479" s="50">
        <f>J1480+J1481+J1482+J1488+J1489+J1490+J1487+J1495</f>
        <v>3227</v>
      </c>
      <c r="K1479" s="50">
        <f t="shared" si="287"/>
        <v>80619</v>
      </c>
      <c r="L1479" s="203"/>
      <c r="M1479" s="50">
        <f>M1480+M1481+M1482+M1488+M1489+M1490</f>
        <v>0</v>
      </c>
      <c r="N1479" s="50">
        <f>N1480+N1481+N1482+N1488+N1489+N1490</f>
        <v>0</v>
      </c>
      <c r="O1479" s="50">
        <f t="shared" si="288"/>
        <v>0</v>
      </c>
      <c r="P1479" s="203"/>
      <c r="Q1479" s="50">
        <f t="shared" si="284"/>
        <v>77392</v>
      </c>
      <c r="R1479" s="50">
        <f t="shared" si="285"/>
        <v>3227</v>
      </c>
      <c r="S1479" s="50">
        <f t="shared" si="286"/>
        <v>80619</v>
      </c>
    </row>
    <row r="1480" spans="2:19" x14ac:dyDescent="0.2">
      <c r="B1480" s="79">
        <f t="shared" si="289"/>
        <v>733</v>
      </c>
      <c r="C1480" s="15"/>
      <c r="D1480" s="15"/>
      <c r="E1480" s="15"/>
      <c r="F1480" s="55" t="s">
        <v>81</v>
      </c>
      <c r="G1480" s="15">
        <v>610</v>
      </c>
      <c r="H1480" s="15" t="s">
        <v>136</v>
      </c>
      <c r="I1480" s="52">
        <f>19004-71</f>
        <v>18933</v>
      </c>
      <c r="J1480" s="52">
        <v>-95</v>
      </c>
      <c r="K1480" s="52">
        <f t="shared" si="287"/>
        <v>18838</v>
      </c>
      <c r="L1480" s="126"/>
      <c r="M1480" s="52"/>
      <c r="N1480" s="52"/>
      <c r="O1480" s="52">
        <f t="shared" si="288"/>
        <v>0</v>
      </c>
      <c r="P1480" s="126"/>
      <c r="Q1480" s="52">
        <f t="shared" si="284"/>
        <v>18933</v>
      </c>
      <c r="R1480" s="52">
        <f t="shared" si="285"/>
        <v>-95</v>
      </c>
      <c r="S1480" s="52">
        <f t="shared" si="286"/>
        <v>18838</v>
      </c>
    </row>
    <row r="1481" spans="2:19" x14ac:dyDescent="0.2">
      <c r="B1481" s="79">
        <f t="shared" si="289"/>
        <v>734</v>
      </c>
      <c r="C1481" s="15"/>
      <c r="D1481" s="15"/>
      <c r="E1481" s="15"/>
      <c r="F1481" s="55" t="s">
        <v>81</v>
      </c>
      <c r="G1481" s="15">
        <v>620</v>
      </c>
      <c r="H1481" s="15" t="s">
        <v>131</v>
      </c>
      <c r="I1481" s="52">
        <v>6642</v>
      </c>
      <c r="J1481" s="52"/>
      <c r="K1481" s="52">
        <f t="shared" si="287"/>
        <v>6642</v>
      </c>
      <c r="L1481" s="126"/>
      <c r="M1481" s="52"/>
      <c r="N1481" s="52"/>
      <c r="O1481" s="52">
        <f t="shared" si="288"/>
        <v>0</v>
      </c>
      <c r="P1481" s="126"/>
      <c r="Q1481" s="52">
        <f t="shared" si="284"/>
        <v>6642</v>
      </c>
      <c r="R1481" s="52">
        <f t="shared" si="285"/>
        <v>0</v>
      </c>
      <c r="S1481" s="52">
        <f t="shared" si="286"/>
        <v>6642</v>
      </c>
    </row>
    <row r="1482" spans="2:19" x14ac:dyDescent="0.2">
      <c r="B1482" s="79">
        <f t="shared" si="289"/>
        <v>735</v>
      </c>
      <c r="C1482" s="15"/>
      <c r="D1482" s="15"/>
      <c r="E1482" s="15"/>
      <c r="F1482" s="55" t="s">
        <v>81</v>
      </c>
      <c r="G1482" s="15">
        <v>630</v>
      </c>
      <c r="H1482" s="15" t="s">
        <v>128</v>
      </c>
      <c r="I1482" s="52">
        <f>I1486+I1485+I1484+I1483</f>
        <v>13050</v>
      </c>
      <c r="J1482" s="52">
        <f>J1486+J1485+J1484+J1483</f>
        <v>900</v>
      </c>
      <c r="K1482" s="52">
        <f t="shared" si="287"/>
        <v>13950</v>
      </c>
      <c r="L1482" s="126"/>
      <c r="M1482" s="52">
        <f>M1486+M1485+M1484+M1483</f>
        <v>0</v>
      </c>
      <c r="N1482" s="52">
        <f>N1486+N1485+N1484+N1483</f>
        <v>0</v>
      </c>
      <c r="O1482" s="52">
        <f t="shared" si="288"/>
        <v>0</v>
      </c>
      <c r="P1482" s="126"/>
      <c r="Q1482" s="52">
        <f t="shared" si="284"/>
        <v>13050</v>
      </c>
      <c r="R1482" s="52">
        <f t="shared" si="285"/>
        <v>900</v>
      </c>
      <c r="S1482" s="52">
        <f t="shared" si="286"/>
        <v>13950</v>
      </c>
    </row>
    <row r="1483" spans="2:19" x14ac:dyDescent="0.2">
      <c r="B1483" s="79">
        <f t="shared" si="289"/>
        <v>736</v>
      </c>
      <c r="C1483" s="4"/>
      <c r="D1483" s="4"/>
      <c r="E1483" s="4"/>
      <c r="F1483" s="56" t="s">
        <v>81</v>
      </c>
      <c r="G1483" s="4">
        <v>632</v>
      </c>
      <c r="H1483" s="4" t="s">
        <v>139</v>
      </c>
      <c r="I1483" s="26">
        <v>8464</v>
      </c>
      <c r="J1483" s="26">
        <v>-1500</v>
      </c>
      <c r="K1483" s="26">
        <f t="shared" si="287"/>
        <v>6964</v>
      </c>
      <c r="L1483" s="80"/>
      <c r="M1483" s="26"/>
      <c r="N1483" s="26"/>
      <c r="O1483" s="26">
        <f t="shared" si="288"/>
        <v>0</v>
      </c>
      <c r="P1483" s="80"/>
      <c r="Q1483" s="26">
        <f t="shared" si="284"/>
        <v>8464</v>
      </c>
      <c r="R1483" s="26">
        <f t="shared" si="285"/>
        <v>-1500</v>
      </c>
      <c r="S1483" s="26">
        <f t="shared" si="286"/>
        <v>6964</v>
      </c>
    </row>
    <row r="1484" spans="2:19" x14ac:dyDescent="0.2">
      <c r="B1484" s="79">
        <f t="shared" si="289"/>
        <v>737</v>
      </c>
      <c r="C1484" s="4"/>
      <c r="D1484" s="4"/>
      <c r="E1484" s="4"/>
      <c r="F1484" s="56" t="s">
        <v>81</v>
      </c>
      <c r="G1484" s="4">
        <v>633</v>
      </c>
      <c r="H1484" s="4" t="s">
        <v>132</v>
      </c>
      <c r="I1484" s="26">
        <v>2060</v>
      </c>
      <c r="J1484" s="26">
        <v>-800</v>
      </c>
      <c r="K1484" s="26">
        <f t="shared" si="287"/>
        <v>1260</v>
      </c>
      <c r="L1484" s="80"/>
      <c r="M1484" s="26"/>
      <c r="N1484" s="26"/>
      <c r="O1484" s="26">
        <f t="shared" si="288"/>
        <v>0</v>
      </c>
      <c r="P1484" s="80"/>
      <c r="Q1484" s="26">
        <f t="shared" si="284"/>
        <v>2060</v>
      </c>
      <c r="R1484" s="26">
        <f t="shared" si="285"/>
        <v>-800</v>
      </c>
      <c r="S1484" s="26">
        <f t="shared" si="286"/>
        <v>1260</v>
      </c>
    </row>
    <row r="1485" spans="2:19" x14ac:dyDescent="0.2">
      <c r="B1485" s="79">
        <f t="shared" si="289"/>
        <v>738</v>
      </c>
      <c r="C1485" s="4"/>
      <c r="D1485" s="4"/>
      <c r="E1485" s="4"/>
      <c r="F1485" s="56" t="s">
        <v>81</v>
      </c>
      <c r="G1485" s="4">
        <v>635</v>
      </c>
      <c r="H1485" s="4" t="s">
        <v>138</v>
      </c>
      <c r="I1485" s="26">
        <v>900</v>
      </c>
      <c r="J1485" s="26">
        <v>2017</v>
      </c>
      <c r="K1485" s="26">
        <f t="shared" si="287"/>
        <v>2917</v>
      </c>
      <c r="L1485" s="80"/>
      <c r="M1485" s="26"/>
      <c r="N1485" s="26"/>
      <c r="O1485" s="26">
        <f t="shared" si="288"/>
        <v>0</v>
      </c>
      <c r="P1485" s="80"/>
      <c r="Q1485" s="26">
        <f t="shared" si="284"/>
        <v>900</v>
      </c>
      <c r="R1485" s="26">
        <f t="shared" si="285"/>
        <v>2017</v>
      </c>
      <c r="S1485" s="26">
        <f t="shared" si="286"/>
        <v>2917</v>
      </c>
    </row>
    <row r="1486" spans="2:19" x14ac:dyDescent="0.2">
      <c r="B1486" s="79">
        <f t="shared" si="289"/>
        <v>739</v>
      </c>
      <c r="C1486" s="4"/>
      <c r="D1486" s="4"/>
      <c r="E1486" s="4"/>
      <c r="F1486" s="56" t="s">
        <v>81</v>
      </c>
      <c r="G1486" s="4">
        <v>637</v>
      </c>
      <c r="H1486" s="4" t="s">
        <v>129</v>
      </c>
      <c r="I1486" s="26">
        <v>1626</v>
      </c>
      <c r="J1486" s="26">
        <v>1183</v>
      </c>
      <c r="K1486" s="26">
        <f t="shared" si="287"/>
        <v>2809</v>
      </c>
      <c r="L1486" s="80"/>
      <c r="M1486" s="26"/>
      <c r="N1486" s="26"/>
      <c r="O1486" s="26">
        <f t="shared" si="288"/>
        <v>0</v>
      </c>
      <c r="P1486" s="80"/>
      <c r="Q1486" s="26">
        <f t="shared" si="284"/>
        <v>1626</v>
      </c>
      <c r="R1486" s="26">
        <f t="shared" si="285"/>
        <v>1183</v>
      </c>
      <c r="S1486" s="26">
        <f t="shared" si="286"/>
        <v>2809</v>
      </c>
    </row>
    <row r="1487" spans="2:19" x14ac:dyDescent="0.2">
      <c r="B1487" s="79">
        <f t="shared" si="289"/>
        <v>740</v>
      </c>
      <c r="C1487" s="4"/>
      <c r="D1487" s="4"/>
      <c r="E1487" s="4"/>
      <c r="F1487" s="106" t="s">
        <v>81</v>
      </c>
      <c r="G1487" s="3">
        <v>640</v>
      </c>
      <c r="H1487" s="3" t="s">
        <v>135</v>
      </c>
      <c r="I1487" s="25">
        <v>71</v>
      </c>
      <c r="J1487" s="25">
        <v>95</v>
      </c>
      <c r="K1487" s="25">
        <f t="shared" si="287"/>
        <v>166</v>
      </c>
      <c r="L1487" s="126"/>
      <c r="M1487" s="25"/>
      <c r="N1487" s="25"/>
      <c r="O1487" s="25">
        <f t="shared" si="288"/>
        <v>0</v>
      </c>
      <c r="P1487" s="126"/>
      <c r="Q1487" s="25">
        <f t="shared" si="284"/>
        <v>71</v>
      </c>
      <c r="R1487" s="25">
        <f t="shared" si="285"/>
        <v>95</v>
      </c>
      <c r="S1487" s="25">
        <f t="shared" si="286"/>
        <v>166</v>
      </c>
    </row>
    <row r="1488" spans="2:19" x14ac:dyDescent="0.2">
      <c r="B1488" s="79">
        <f t="shared" si="289"/>
        <v>741</v>
      </c>
      <c r="C1488" s="15"/>
      <c r="D1488" s="15"/>
      <c r="E1488" s="15"/>
      <c r="F1488" s="55" t="s">
        <v>271</v>
      </c>
      <c r="G1488" s="15">
        <v>610</v>
      </c>
      <c r="H1488" s="15" t="s">
        <v>136</v>
      </c>
      <c r="I1488" s="52">
        <f>19004-71</f>
        <v>18933</v>
      </c>
      <c r="J1488" s="52">
        <v>-95</v>
      </c>
      <c r="K1488" s="52">
        <f t="shared" si="287"/>
        <v>18838</v>
      </c>
      <c r="L1488" s="126"/>
      <c r="M1488" s="52"/>
      <c r="N1488" s="52"/>
      <c r="O1488" s="52">
        <f t="shared" si="288"/>
        <v>0</v>
      </c>
      <c r="P1488" s="126"/>
      <c r="Q1488" s="52">
        <f t="shared" si="284"/>
        <v>18933</v>
      </c>
      <c r="R1488" s="52">
        <f t="shared" si="285"/>
        <v>-95</v>
      </c>
      <c r="S1488" s="52">
        <f t="shared" si="286"/>
        <v>18838</v>
      </c>
    </row>
    <row r="1489" spans="2:19" x14ac:dyDescent="0.2">
      <c r="B1489" s="79">
        <f t="shared" si="289"/>
        <v>742</v>
      </c>
      <c r="C1489" s="15"/>
      <c r="D1489" s="15"/>
      <c r="E1489" s="15"/>
      <c r="F1489" s="55" t="s">
        <v>271</v>
      </c>
      <c r="G1489" s="15">
        <v>620</v>
      </c>
      <c r="H1489" s="15" t="s">
        <v>131</v>
      </c>
      <c r="I1489" s="52">
        <v>6642</v>
      </c>
      <c r="J1489" s="52"/>
      <c r="K1489" s="52">
        <f t="shared" si="287"/>
        <v>6642</v>
      </c>
      <c r="L1489" s="126"/>
      <c r="M1489" s="52"/>
      <c r="N1489" s="52"/>
      <c r="O1489" s="52">
        <f t="shared" si="288"/>
        <v>0</v>
      </c>
      <c r="P1489" s="126"/>
      <c r="Q1489" s="52">
        <f t="shared" si="284"/>
        <v>6642</v>
      </c>
      <c r="R1489" s="52">
        <f t="shared" si="285"/>
        <v>0</v>
      </c>
      <c r="S1489" s="52">
        <f t="shared" si="286"/>
        <v>6642</v>
      </c>
    </row>
    <row r="1490" spans="2:19" x14ac:dyDescent="0.2">
      <c r="B1490" s="79">
        <f t="shared" si="289"/>
        <v>743</v>
      </c>
      <c r="C1490" s="15"/>
      <c r="D1490" s="15"/>
      <c r="E1490" s="15"/>
      <c r="F1490" s="55" t="s">
        <v>271</v>
      </c>
      <c r="G1490" s="15">
        <v>630</v>
      </c>
      <c r="H1490" s="15" t="s">
        <v>128</v>
      </c>
      <c r="I1490" s="52">
        <f>I1494+I1493+I1492+I1491</f>
        <v>13050</v>
      </c>
      <c r="J1490" s="52">
        <f>J1494+J1493+J1492+J1491</f>
        <v>2327</v>
      </c>
      <c r="K1490" s="52">
        <f t="shared" si="287"/>
        <v>15377</v>
      </c>
      <c r="L1490" s="126"/>
      <c r="M1490" s="52">
        <f>M1494+M1493+M1492+M1491</f>
        <v>0</v>
      </c>
      <c r="N1490" s="52">
        <f>N1494+N1493+N1492+N1491</f>
        <v>0</v>
      </c>
      <c r="O1490" s="52">
        <f t="shared" si="288"/>
        <v>0</v>
      </c>
      <c r="P1490" s="126"/>
      <c r="Q1490" s="52">
        <f t="shared" si="284"/>
        <v>13050</v>
      </c>
      <c r="R1490" s="52">
        <f t="shared" si="285"/>
        <v>2327</v>
      </c>
      <c r="S1490" s="52">
        <f t="shared" si="286"/>
        <v>15377</v>
      </c>
    </row>
    <row r="1491" spans="2:19" x14ac:dyDescent="0.2">
      <c r="B1491" s="79">
        <f t="shared" si="289"/>
        <v>744</v>
      </c>
      <c r="C1491" s="4"/>
      <c r="D1491" s="4"/>
      <c r="E1491" s="4"/>
      <c r="F1491" s="56" t="s">
        <v>271</v>
      </c>
      <c r="G1491" s="4">
        <v>632</v>
      </c>
      <c r="H1491" s="4" t="s">
        <v>139</v>
      </c>
      <c r="I1491" s="26">
        <v>8464</v>
      </c>
      <c r="J1491" s="26">
        <v>-1500</v>
      </c>
      <c r="K1491" s="26">
        <f t="shared" si="287"/>
        <v>6964</v>
      </c>
      <c r="L1491" s="80"/>
      <c r="M1491" s="26"/>
      <c r="N1491" s="26"/>
      <c r="O1491" s="26">
        <f t="shared" si="288"/>
        <v>0</v>
      </c>
      <c r="P1491" s="80"/>
      <c r="Q1491" s="26">
        <f t="shared" si="284"/>
        <v>8464</v>
      </c>
      <c r="R1491" s="26">
        <f t="shared" si="285"/>
        <v>-1500</v>
      </c>
      <c r="S1491" s="26">
        <f t="shared" si="286"/>
        <v>6964</v>
      </c>
    </row>
    <row r="1492" spans="2:19" x14ac:dyDescent="0.2">
      <c r="B1492" s="79">
        <f t="shared" si="289"/>
        <v>745</v>
      </c>
      <c r="C1492" s="4"/>
      <c r="D1492" s="4"/>
      <c r="E1492" s="4"/>
      <c r="F1492" s="56" t="s">
        <v>271</v>
      </c>
      <c r="G1492" s="4">
        <v>633</v>
      </c>
      <c r="H1492" s="4" t="s">
        <v>132</v>
      </c>
      <c r="I1492" s="26">
        <v>2060</v>
      </c>
      <c r="J1492" s="26">
        <v>627</v>
      </c>
      <c r="K1492" s="26">
        <f t="shared" si="287"/>
        <v>2687</v>
      </c>
      <c r="L1492" s="80"/>
      <c r="M1492" s="26"/>
      <c r="N1492" s="26"/>
      <c r="O1492" s="26">
        <f t="shared" si="288"/>
        <v>0</v>
      </c>
      <c r="P1492" s="80"/>
      <c r="Q1492" s="26">
        <f t="shared" si="284"/>
        <v>2060</v>
      </c>
      <c r="R1492" s="26">
        <f t="shared" si="285"/>
        <v>627</v>
      </c>
      <c r="S1492" s="26">
        <f t="shared" si="286"/>
        <v>2687</v>
      </c>
    </row>
    <row r="1493" spans="2:19" x14ac:dyDescent="0.2">
      <c r="B1493" s="79">
        <f t="shared" si="289"/>
        <v>746</v>
      </c>
      <c r="C1493" s="4"/>
      <c r="D1493" s="4"/>
      <c r="E1493" s="4"/>
      <c r="F1493" s="56" t="s">
        <v>271</v>
      </c>
      <c r="G1493" s="4">
        <v>635</v>
      </c>
      <c r="H1493" s="4" t="s">
        <v>138</v>
      </c>
      <c r="I1493" s="26">
        <v>900</v>
      </c>
      <c r="J1493" s="26">
        <v>2017</v>
      </c>
      <c r="K1493" s="26">
        <f t="shared" si="287"/>
        <v>2917</v>
      </c>
      <c r="L1493" s="80"/>
      <c r="M1493" s="26"/>
      <c r="N1493" s="26"/>
      <c r="O1493" s="26">
        <f t="shared" si="288"/>
        <v>0</v>
      </c>
      <c r="P1493" s="80"/>
      <c r="Q1493" s="26">
        <f t="shared" si="284"/>
        <v>900</v>
      </c>
      <c r="R1493" s="26">
        <f t="shared" si="285"/>
        <v>2017</v>
      </c>
      <c r="S1493" s="26">
        <f t="shared" si="286"/>
        <v>2917</v>
      </c>
    </row>
    <row r="1494" spans="2:19" x14ac:dyDescent="0.2">
      <c r="B1494" s="79">
        <f t="shared" si="289"/>
        <v>747</v>
      </c>
      <c r="C1494" s="4"/>
      <c r="D1494" s="4"/>
      <c r="E1494" s="4"/>
      <c r="F1494" s="56" t="s">
        <v>271</v>
      </c>
      <c r="G1494" s="4">
        <v>637</v>
      </c>
      <c r="H1494" s="4" t="s">
        <v>129</v>
      </c>
      <c r="I1494" s="26">
        <v>1626</v>
      </c>
      <c r="J1494" s="26">
        <v>1183</v>
      </c>
      <c r="K1494" s="26">
        <f t="shared" si="287"/>
        <v>2809</v>
      </c>
      <c r="L1494" s="80"/>
      <c r="M1494" s="26"/>
      <c r="N1494" s="26"/>
      <c r="O1494" s="26">
        <f t="shared" si="288"/>
        <v>0</v>
      </c>
      <c r="P1494" s="80"/>
      <c r="Q1494" s="26">
        <f t="shared" si="284"/>
        <v>1626</v>
      </c>
      <c r="R1494" s="26">
        <f t="shared" si="285"/>
        <v>1183</v>
      </c>
      <c r="S1494" s="26">
        <f t="shared" si="286"/>
        <v>2809</v>
      </c>
    </row>
    <row r="1495" spans="2:19" x14ac:dyDescent="0.2">
      <c r="B1495" s="79">
        <f t="shared" si="289"/>
        <v>748</v>
      </c>
      <c r="C1495" s="4"/>
      <c r="D1495" s="4"/>
      <c r="E1495" s="4"/>
      <c r="F1495" s="106" t="s">
        <v>271</v>
      </c>
      <c r="G1495" s="3">
        <v>640</v>
      </c>
      <c r="H1495" s="3" t="s">
        <v>135</v>
      </c>
      <c r="I1495" s="25">
        <v>71</v>
      </c>
      <c r="J1495" s="25">
        <v>95</v>
      </c>
      <c r="K1495" s="25">
        <f t="shared" si="287"/>
        <v>166</v>
      </c>
      <c r="L1495" s="126"/>
      <c r="M1495" s="25"/>
      <c r="N1495" s="25"/>
      <c r="O1495" s="25">
        <f t="shared" si="288"/>
        <v>0</v>
      </c>
      <c r="P1495" s="126"/>
      <c r="Q1495" s="25">
        <f t="shared" si="284"/>
        <v>71</v>
      </c>
      <c r="R1495" s="25">
        <f t="shared" si="285"/>
        <v>95</v>
      </c>
      <c r="S1495" s="25">
        <f t="shared" si="286"/>
        <v>166</v>
      </c>
    </row>
    <row r="1496" spans="2:19" ht="15" x14ac:dyDescent="0.25">
      <c r="B1496" s="79">
        <f t="shared" si="289"/>
        <v>749</v>
      </c>
      <c r="C1496" s="18"/>
      <c r="D1496" s="18"/>
      <c r="E1496" s="18">
        <v>10</v>
      </c>
      <c r="F1496" s="53"/>
      <c r="G1496" s="18"/>
      <c r="H1496" s="18" t="s">
        <v>256</v>
      </c>
      <c r="I1496" s="50">
        <f>I1497+I1498+I1499+I1504+I1505+I1506+I1507+I1512</f>
        <v>99068</v>
      </c>
      <c r="J1496" s="50">
        <f>J1497+J1498+J1499+J1504+J1505+J1506+J1507+J1512</f>
        <v>9383</v>
      </c>
      <c r="K1496" s="50">
        <f t="shared" si="287"/>
        <v>108451</v>
      </c>
      <c r="L1496" s="203"/>
      <c r="M1496" s="50">
        <f>M1497+M1498+M1499+M1504+M1505+M1506+M1507+M1512</f>
        <v>0</v>
      </c>
      <c r="N1496" s="50">
        <f>N1497+N1498+N1499+N1504+N1505+N1506+N1507+N1512</f>
        <v>0</v>
      </c>
      <c r="O1496" s="50">
        <f t="shared" si="288"/>
        <v>0</v>
      </c>
      <c r="P1496" s="203"/>
      <c r="Q1496" s="50">
        <f t="shared" si="284"/>
        <v>99068</v>
      </c>
      <c r="R1496" s="50">
        <f t="shared" si="285"/>
        <v>9383</v>
      </c>
      <c r="S1496" s="50">
        <f t="shared" si="286"/>
        <v>108451</v>
      </c>
    </row>
    <row r="1497" spans="2:19" x14ac:dyDescent="0.2">
      <c r="B1497" s="79">
        <f t="shared" si="289"/>
        <v>750</v>
      </c>
      <c r="C1497" s="15"/>
      <c r="D1497" s="15"/>
      <c r="E1497" s="15"/>
      <c r="F1497" s="55" t="s">
        <v>81</v>
      </c>
      <c r="G1497" s="15">
        <v>610</v>
      </c>
      <c r="H1497" s="15" t="s">
        <v>136</v>
      </c>
      <c r="I1497" s="52">
        <v>19970</v>
      </c>
      <c r="J1497" s="52">
        <v>625</v>
      </c>
      <c r="K1497" s="52">
        <f t="shared" si="287"/>
        <v>20595</v>
      </c>
      <c r="L1497" s="126"/>
      <c r="M1497" s="52"/>
      <c r="N1497" s="52"/>
      <c r="O1497" s="52">
        <f t="shared" si="288"/>
        <v>0</v>
      </c>
      <c r="P1497" s="126"/>
      <c r="Q1497" s="52">
        <f t="shared" si="284"/>
        <v>19970</v>
      </c>
      <c r="R1497" s="52">
        <f t="shared" si="285"/>
        <v>625</v>
      </c>
      <c r="S1497" s="52">
        <f t="shared" si="286"/>
        <v>20595</v>
      </c>
    </row>
    <row r="1498" spans="2:19" x14ac:dyDescent="0.2">
      <c r="B1498" s="79">
        <f t="shared" si="289"/>
        <v>751</v>
      </c>
      <c r="C1498" s="15"/>
      <c r="D1498" s="15"/>
      <c r="E1498" s="15"/>
      <c r="F1498" s="55" t="s">
        <v>81</v>
      </c>
      <c r="G1498" s="15">
        <v>620</v>
      </c>
      <c r="H1498" s="15" t="s">
        <v>131</v>
      </c>
      <c r="I1498" s="52">
        <f>6986+300</f>
        <v>7286</v>
      </c>
      <c r="J1498" s="52">
        <v>-525</v>
      </c>
      <c r="K1498" s="52">
        <f t="shared" si="287"/>
        <v>6761</v>
      </c>
      <c r="L1498" s="126"/>
      <c r="M1498" s="52"/>
      <c r="N1498" s="52"/>
      <c r="O1498" s="52">
        <f t="shared" si="288"/>
        <v>0</v>
      </c>
      <c r="P1498" s="126"/>
      <c r="Q1498" s="52">
        <f t="shared" si="284"/>
        <v>7286</v>
      </c>
      <c r="R1498" s="52">
        <f t="shared" si="285"/>
        <v>-525</v>
      </c>
      <c r="S1498" s="52">
        <f t="shared" si="286"/>
        <v>6761</v>
      </c>
    </row>
    <row r="1499" spans="2:19" x14ac:dyDescent="0.2">
      <c r="B1499" s="79">
        <f t="shared" si="289"/>
        <v>752</v>
      </c>
      <c r="C1499" s="15"/>
      <c r="D1499" s="15"/>
      <c r="E1499" s="15"/>
      <c r="F1499" s="55" t="s">
        <v>81</v>
      </c>
      <c r="G1499" s="15">
        <v>630</v>
      </c>
      <c r="H1499" s="15" t="s">
        <v>128</v>
      </c>
      <c r="I1499" s="52">
        <f>I1503+I1502+I1501+I1500</f>
        <v>17391</v>
      </c>
      <c r="J1499" s="52">
        <f>J1503+J1502+J1501+J1500</f>
        <v>4222</v>
      </c>
      <c r="K1499" s="52">
        <f t="shared" si="287"/>
        <v>21613</v>
      </c>
      <c r="L1499" s="126"/>
      <c r="M1499" s="52">
        <f>M1503+M1502+M1501+M1500</f>
        <v>0</v>
      </c>
      <c r="N1499" s="52">
        <f>N1503+N1502+N1501+N1500</f>
        <v>0</v>
      </c>
      <c r="O1499" s="52">
        <f t="shared" si="288"/>
        <v>0</v>
      </c>
      <c r="P1499" s="126"/>
      <c r="Q1499" s="52">
        <f t="shared" ref="Q1499:Q1556" si="290">M1499+I1499</f>
        <v>17391</v>
      </c>
      <c r="R1499" s="52">
        <f t="shared" si="285"/>
        <v>4222</v>
      </c>
      <c r="S1499" s="52">
        <f t="shared" si="286"/>
        <v>21613</v>
      </c>
    </row>
    <row r="1500" spans="2:19" x14ac:dyDescent="0.2">
      <c r="B1500" s="79">
        <f t="shared" si="289"/>
        <v>753</v>
      </c>
      <c r="C1500" s="4"/>
      <c r="D1500" s="4"/>
      <c r="E1500" s="4"/>
      <c r="F1500" s="56" t="s">
        <v>81</v>
      </c>
      <c r="G1500" s="4">
        <v>632</v>
      </c>
      <c r="H1500" s="4" t="s">
        <v>139</v>
      </c>
      <c r="I1500" s="26">
        <v>12840</v>
      </c>
      <c r="J1500" s="26"/>
      <c r="K1500" s="26">
        <f t="shared" si="287"/>
        <v>12840</v>
      </c>
      <c r="L1500" s="80"/>
      <c r="M1500" s="26"/>
      <c r="N1500" s="26"/>
      <c r="O1500" s="26">
        <f t="shared" si="288"/>
        <v>0</v>
      </c>
      <c r="P1500" s="80"/>
      <c r="Q1500" s="26">
        <f t="shared" si="290"/>
        <v>12840</v>
      </c>
      <c r="R1500" s="26">
        <f t="shared" si="285"/>
        <v>0</v>
      </c>
      <c r="S1500" s="26">
        <f t="shared" si="286"/>
        <v>12840</v>
      </c>
    </row>
    <row r="1501" spans="2:19" x14ac:dyDescent="0.2">
      <c r="B1501" s="79">
        <f t="shared" si="289"/>
        <v>754</v>
      </c>
      <c r="C1501" s="4"/>
      <c r="D1501" s="4"/>
      <c r="E1501" s="4"/>
      <c r="F1501" s="56" t="s">
        <v>81</v>
      </c>
      <c r="G1501" s="4">
        <v>633</v>
      </c>
      <c r="H1501" s="4" t="s">
        <v>132</v>
      </c>
      <c r="I1501" s="26">
        <v>1795</v>
      </c>
      <c r="J1501" s="26">
        <v>4222</v>
      </c>
      <c r="K1501" s="26">
        <f t="shared" si="287"/>
        <v>6017</v>
      </c>
      <c r="L1501" s="80"/>
      <c r="M1501" s="26"/>
      <c r="N1501" s="26"/>
      <c r="O1501" s="26">
        <f t="shared" si="288"/>
        <v>0</v>
      </c>
      <c r="P1501" s="80"/>
      <c r="Q1501" s="26">
        <f t="shared" si="290"/>
        <v>1795</v>
      </c>
      <c r="R1501" s="26">
        <f t="shared" si="285"/>
        <v>4222</v>
      </c>
      <c r="S1501" s="26">
        <f t="shared" si="286"/>
        <v>6017</v>
      </c>
    </row>
    <row r="1502" spans="2:19" x14ac:dyDescent="0.2">
      <c r="B1502" s="79">
        <f t="shared" si="289"/>
        <v>755</v>
      </c>
      <c r="C1502" s="4"/>
      <c r="D1502" s="4"/>
      <c r="E1502" s="4"/>
      <c r="F1502" s="56" t="s">
        <v>81</v>
      </c>
      <c r="G1502" s="4">
        <v>635</v>
      </c>
      <c r="H1502" s="4" t="s">
        <v>138</v>
      </c>
      <c r="I1502" s="26">
        <v>410</v>
      </c>
      <c r="J1502" s="26"/>
      <c r="K1502" s="26">
        <f t="shared" si="287"/>
        <v>410</v>
      </c>
      <c r="L1502" s="80"/>
      <c r="M1502" s="26"/>
      <c r="N1502" s="26"/>
      <c r="O1502" s="26">
        <f t="shared" si="288"/>
        <v>0</v>
      </c>
      <c r="P1502" s="80"/>
      <c r="Q1502" s="26">
        <f t="shared" si="290"/>
        <v>410</v>
      </c>
      <c r="R1502" s="26">
        <f t="shared" si="285"/>
        <v>0</v>
      </c>
      <c r="S1502" s="26">
        <f t="shared" si="286"/>
        <v>410</v>
      </c>
    </row>
    <row r="1503" spans="2:19" x14ac:dyDescent="0.2">
      <c r="B1503" s="79">
        <f t="shared" si="289"/>
        <v>756</v>
      </c>
      <c r="C1503" s="4"/>
      <c r="D1503" s="4"/>
      <c r="E1503" s="4"/>
      <c r="F1503" s="56" t="s">
        <v>81</v>
      </c>
      <c r="G1503" s="4">
        <v>637</v>
      </c>
      <c r="H1503" s="4" t="s">
        <v>129</v>
      </c>
      <c r="I1503" s="26">
        <v>2346</v>
      </c>
      <c r="J1503" s="26"/>
      <c r="K1503" s="26">
        <f t="shared" si="287"/>
        <v>2346</v>
      </c>
      <c r="L1503" s="80"/>
      <c r="M1503" s="26"/>
      <c r="N1503" s="26"/>
      <c r="O1503" s="26">
        <f t="shared" si="288"/>
        <v>0</v>
      </c>
      <c r="P1503" s="80"/>
      <c r="Q1503" s="26">
        <f t="shared" si="290"/>
        <v>2346</v>
      </c>
      <c r="R1503" s="26">
        <f t="shared" si="285"/>
        <v>0</v>
      </c>
      <c r="S1503" s="26">
        <f t="shared" si="286"/>
        <v>2346</v>
      </c>
    </row>
    <row r="1504" spans="2:19" x14ac:dyDescent="0.2">
      <c r="B1504" s="79">
        <f t="shared" si="289"/>
        <v>757</v>
      </c>
      <c r="C1504" s="15"/>
      <c r="D1504" s="15"/>
      <c r="E1504" s="15"/>
      <c r="F1504" s="55" t="s">
        <v>81</v>
      </c>
      <c r="G1504" s="15">
        <v>640</v>
      </c>
      <c r="H1504" s="15" t="s">
        <v>135</v>
      </c>
      <c r="I1504" s="52">
        <f>100+856</f>
        <v>956</v>
      </c>
      <c r="J1504" s="52">
        <v>-100</v>
      </c>
      <c r="K1504" s="52">
        <f t="shared" si="287"/>
        <v>856</v>
      </c>
      <c r="L1504" s="126"/>
      <c r="M1504" s="52"/>
      <c r="N1504" s="52"/>
      <c r="O1504" s="52">
        <f t="shared" si="288"/>
        <v>0</v>
      </c>
      <c r="P1504" s="126"/>
      <c r="Q1504" s="52">
        <f t="shared" si="290"/>
        <v>956</v>
      </c>
      <c r="R1504" s="52">
        <f t="shared" si="285"/>
        <v>-100</v>
      </c>
      <c r="S1504" s="52">
        <f t="shared" si="286"/>
        <v>856</v>
      </c>
    </row>
    <row r="1505" spans="2:19" x14ac:dyDescent="0.2">
      <c r="B1505" s="79">
        <f t="shared" si="289"/>
        <v>758</v>
      </c>
      <c r="C1505" s="15"/>
      <c r="D1505" s="15"/>
      <c r="E1505" s="15"/>
      <c r="F1505" s="55" t="s">
        <v>271</v>
      </c>
      <c r="G1505" s="15">
        <v>610</v>
      </c>
      <c r="H1505" s="15" t="s">
        <v>136</v>
      </c>
      <c r="I1505" s="52">
        <v>24655</v>
      </c>
      <c r="J1505" s="52">
        <v>463</v>
      </c>
      <c r="K1505" s="52">
        <f t="shared" si="287"/>
        <v>25118</v>
      </c>
      <c r="L1505" s="126"/>
      <c r="M1505" s="52"/>
      <c r="N1505" s="52"/>
      <c r="O1505" s="52">
        <f t="shared" si="288"/>
        <v>0</v>
      </c>
      <c r="P1505" s="126"/>
      <c r="Q1505" s="52">
        <f t="shared" si="290"/>
        <v>24655</v>
      </c>
      <c r="R1505" s="52">
        <f t="shared" si="285"/>
        <v>463</v>
      </c>
      <c r="S1505" s="52">
        <f t="shared" si="286"/>
        <v>25118</v>
      </c>
    </row>
    <row r="1506" spans="2:19" x14ac:dyDescent="0.2">
      <c r="B1506" s="79">
        <f t="shared" si="289"/>
        <v>759</v>
      </c>
      <c r="C1506" s="15"/>
      <c r="D1506" s="15"/>
      <c r="E1506" s="15"/>
      <c r="F1506" s="55" t="s">
        <v>271</v>
      </c>
      <c r="G1506" s="15">
        <v>620</v>
      </c>
      <c r="H1506" s="15" t="s">
        <v>131</v>
      </c>
      <c r="I1506" s="52">
        <v>8611</v>
      </c>
      <c r="J1506" s="52">
        <v>-363</v>
      </c>
      <c r="K1506" s="52">
        <f t="shared" si="287"/>
        <v>8248</v>
      </c>
      <c r="L1506" s="126"/>
      <c r="M1506" s="52"/>
      <c r="N1506" s="52"/>
      <c r="O1506" s="52">
        <f t="shared" si="288"/>
        <v>0</v>
      </c>
      <c r="P1506" s="126"/>
      <c r="Q1506" s="52">
        <f t="shared" si="290"/>
        <v>8611</v>
      </c>
      <c r="R1506" s="52">
        <f t="shared" si="285"/>
        <v>-363</v>
      </c>
      <c r="S1506" s="52">
        <f t="shared" si="286"/>
        <v>8248</v>
      </c>
    </row>
    <row r="1507" spans="2:19" x14ac:dyDescent="0.2">
      <c r="B1507" s="79">
        <f t="shared" si="289"/>
        <v>760</v>
      </c>
      <c r="C1507" s="15"/>
      <c r="D1507" s="15"/>
      <c r="E1507" s="15"/>
      <c r="F1507" s="55" t="s">
        <v>271</v>
      </c>
      <c r="G1507" s="15">
        <v>630</v>
      </c>
      <c r="H1507" s="15" t="s">
        <v>128</v>
      </c>
      <c r="I1507" s="52">
        <f>I1511+I1510+I1509+I1508</f>
        <v>20099</v>
      </c>
      <c r="J1507" s="52">
        <f>J1511+J1510+J1509+J1508</f>
        <v>5161</v>
      </c>
      <c r="K1507" s="52">
        <f t="shared" si="287"/>
        <v>25260</v>
      </c>
      <c r="L1507" s="126"/>
      <c r="M1507" s="52">
        <f>M1511+M1510+M1509+M1508</f>
        <v>0</v>
      </c>
      <c r="N1507" s="52">
        <f>N1511+N1510+N1509+N1508</f>
        <v>0</v>
      </c>
      <c r="O1507" s="52">
        <f t="shared" si="288"/>
        <v>0</v>
      </c>
      <c r="P1507" s="126"/>
      <c r="Q1507" s="52">
        <f t="shared" si="290"/>
        <v>20099</v>
      </c>
      <c r="R1507" s="52">
        <f t="shared" si="285"/>
        <v>5161</v>
      </c>
      <c r="S1507" s="52">
        <f t="shared" si="286"/>
        <v>25260</v>
      </c>
    </row>
    <row r="1508" spans="2:19" x14ac:dyDescent="0.2">
      <c r="B1508" s="79">
        <f t="shared" si="289"/>
        <v>761</v>
      </c>
      <c r="C1508" s="4"/>
      <c r="D1508" s="4"/>
      <c r="E1508" s="4"/>
      <c r="F1508" s="56" t="s">
        <v>271</v>
      </c>
      <c r="G1508" s="4">
        <v>632</v>
      </c>
      <c r="H1508" s="4" t="s">
        <v>139</v>
      </c>
      <c r="I1508" s="26">
        <v>15150</v>
      </c>
      <c r="J1508" s="26"/>
      <c r="K1508" s="26">
        <f t="shared" si="287"/>
        <v>15150</v>
      </c>
      <c r="L1508" s="80"/>
      <c r="M1508" s="26"/>
      <c r="N1508" s="26"/>
      <c r="O1508" s="26">
        <f t="shared" si="288"/>
        <v>0</v>
      </c>
      <c r="P1508" s="80"/>
      <c r="Q1508" s="26">
        <f t="shared" si="290"/>
        <v>15150</v>
      </c>
      <c r="R1508" s="26">
        <f t="shared" si="285"/>
        <v>0</v>
      </c>
      <c r="S1508" s="26">
        <f t="shared" si="286"/>
        <v>15150</v>
      </c>
    </row>
    <row r="1509" spans="2:19" x14ac:dyDescent="0.2">
      <c r="B1509" s="79">
        <f t="shared" si="289"/>
        <v>762</v>
      </c>
      <c r="C1509" s="4"/>
      <c r="D1509" s="4"/>
      <c r="E1509" s="4"/>
      <c r="F1509" s="56" t="s">
        <v>271</v>
      </c>
      <c r="G1509" s="4">
        <v>633</v>
      </c>
      <c r="H1509" s="4" t="s">
        <v>132</v>
      </c>
      <c r="I1509" s="26">
        <v>1725</v>
      </c>
      <c r="J1509" s="26">
        <v>5161</v>
      </c>
      <c r="K1509" s="26">
        <f t="shared" si="287"/>
        <v>6886</v>
      </c>
      <c r="L1509" s="80"/>
      <c r="M1509" s="26"/>
      <c r="N1509" s="26"/>
      <c r="O1509" s="26">
        <f t="shared" si="288"/>
        <v>0</v>
      </c>
      <c r="P1509" s="80"/>
      <c r="Q1509" s="26">
        <f t="shared" si="290"/>
        <v>1725</v>
      </c>
      <c r="R1509" s="26">
        <f t="shared" si="285"/>
        <v>5161</v>
      </c>
      <c r="S1509" s="26">
        <f t="shared" si="286"/>
        <v>6886</v>
      </c>
    </row>
    <row r="1510" spans="2:19" x14ac:dyDescent="0.2">
      <c r="B1510" s="79">
        <f t="shared" si="289"/>
        <v>763</v>
      </c>
      <c r="C1510" s="4"/>
      <c r="D1510" s="4"/>
      <c r="E1510" s="4"/>
      <c r="F1510" s="56" t="s">
        <v>271</v>
      </c>
      <c r="G1510" s="4">
        <v>635</v>
      </c>
      <c r="H1510" s="4" t="s">
        <v>138</v>
      </c>
      <c r="I1510" s="26">
        <v>663</v>
      </c>
      <c r="J1510" s="26"/>
      <c r="K1510" s="26">
        <f t="shared" si="287"/>
        <v>663</v>
      </c>
      <c r="L1510" s="80"/>
      <c r="M1510" s="26"/>
      <c r="N1510" s="26"/>
      <c r="O1510" s="26">
        <f t="shared" si="288"/>
        <v>0</v>
      </c>
      <c r="P1510" s="80"/>
      <c r="Q1510" s="26">
        <f t="shared" si="290"/>
        <v>663</v>
      </c>
      <c r="R1510" s="26">
        <f t="shared" si="285"/>
        <v>0</v>
      </c>
      <c r="S1510" s="26">
        <f t="shared" si="286"/>
        <v>663</v>
      </c>
    </row>
    <row r="1511" spans="2:19" x14ac:dyDescent="0.2">
      <c r="B1511" s="79">
        <f t="shared" si="289"/>
        <v>764</v>
      </c>
      <c r="C1511" s="4"/>
      <c r="D1511" s="4"/>
      <c r="E1511" s="4"/>
      <c r="F1511" s="56" t="s">
        <v>271</v>
      </c>
      <c r="G1511" s="4">
        <v>637</v>
      </c>
      <c r="H1511" s="4" t="s">
        <v>129</v>
      </c>
      <c r="I1511" s="26">
        <v>2561</v>
      </c>
      <c r="J1511" s="26"/>
      <c r="K1511" s="26">
        <f t="shared" si="287"/>
        <v>2561</v>
      </c>
      <c r="L1511" s="80"/>
      <c r="M1511" s="26"/>
      <c r="N1511" s="26"/>
      <c r="O1511" s="26">
        <f t="shared" si="288"/>
        <v>0</v>
      </c>
      <c r="P1511" s="80"/>
      <c r="Q1511" s="26">
        <f t="shared" si="290"/>
        <v>2561</v>
      </c>
      <c r="R1511" s="26">
        <f t="shared" si="285"/>
        <v>0</v>
      </c>
      <c r="S1511" s="26">
        <f t="shared" si="286"/>
        <v>2561</v>
      </c>
    </row>
    <row r="1512" spans="2:19" x14ac:dyDescent="0.2">
      <c r="B1512" s="79">
        <f t="shared" si="289"/>
        <v>765</v>
      </c>
      <c r="C1512" s="15"/>
      <c r="D1512" s="15"/>
      <c r="E1512" s="15"/>
      <c r="F1512" s="55" t="s">
        <v>271</v>
      </c>
      <c r="G1512" s="15">
        <v>640</v>
      </c>
      <c r="H1512" s="15" t="s">
        <v>135</v>
      </c>
      <c r="I1512" s="52">
        <v>100</v>
      </c>
      <c r="J1512" s="52">
        <v>-100</v>
      </c>
      <c r="K1512" s="52">
        <f t="shared" si="287"/>
        <v>0</v>
      </c>
      <c r="L1512" s="126"/>
      <c r="M1512" s="52"/>
      <c r="N1512" s="52"/>
      <c r="O1512" s="52">
        <f t="shared" si="288"/>
        <v>0</v>
      </c>
      <c r="P1512" s="126"/>
      <c r="Q1512" s="52">
        <f t="shared" si="290"/>
        <v>100</v>
      </c>
      <c r="R1512" s="52">
        <f t="shared" si="285"/>
        <v>-100</v>
      </c>
      <c r="S1512" s="52">
        <f t="shared" si="286"/>
        <v>0</v>
      </c>
    </row>
    <row r="1513" spans="2:19" ht="15" x14ac:dyDescent="0.25">
      <c r="B1513" s="79">
        <f t="shared" si="289"/>
        <v>766</v>
      </c>
      <c r="C1513" s="18"/>
      <c r="D1513" s="18"/>
      <c r="E1513" s="18">
        <v>11</v>
      </c>
      <c r="F1513" s="53"/>
      <c r="G1513" s="18"/>
      <c r="H1513" s="18" t="s">
        <v>273</v>
      </c>
      <c r="I1513" s="50">
        <f>I1514+I1515+I1516+I1522+I1523+I1524+I1531+I1525</f>
        <v>104990</v>
      </c>
      <c r="J1513" s="50">
        <f>J1514+J1515+J1516+J1522+J1523+J1524+J1531+J1525</f>
        <v>6845</v>
      </c>
      <c r="K1513" s="50">
        <f t="shared" si="287"/>
        <v>111835</v>
      </c>
      <c r="L1513" s="203"/>
      <c r="M1513" s="50">
        <f>M1514+M1515+M1516+M1522+M1523+M1524+M1531+M1525+M1532</f>
        <v>20000</v>
      </c>
      <c r="N1513" s="50">
        <f>N1514+N1515+N1516+N1522+N1523+N1524+N1531+N1525+N1532</f>
        <v>0</v>
      </c>
      <c r="O1513" s="50">
        <f t="shared" si="288"/>
        <v>20000</v>
      </c>
      <c r="P1513" s="203"/>
      <c r="Q1513" s="50">
        <f t="shared" si="290"/>
        <v>124990</v>
      </c>
      <c r="R1513" s="50">
        <f t="shared" si="285"/>
        <v>6845</v>
      </c>
      <c r="S1513" s="50">
        <f t="shared" si="286"/>
        <v>131835</v>
      </c>
    </row>
    <row r="1514" spans="2:19" x14ac:dyDescent="0.2">
      <c r="B1514" s="79">
        <f t="shared" si="289"/>
        <v>767</v>
      </c>
      <c r="C1514" s="15"/>
      <c r="D1514" s="15"/>
      <c r="E1514" s="15"/>
      <c r="F1514" s="55" t="s">
        <v>81</v>
      </c>
      <c r="G1514" s="15">
        <v>610</v>
      </c>
      <c r="H1514" s="15" t="s">
        <v>136</v>
      </c>
      <c r="I1514" s="52">
        <v>24537</v>
      </c>
      <c r="J1514" s="52">
        <v>3575</v>
      </c>
      <c r="K1514" s="52">
        <f t="shared" si="287"/>
        <v>28112</v>
      </c>
      <c r="L1514" s="126"/>
      <c r="M1514" s="52"/>
      <c r="N1514" s="52"/>
      <c r="O1514" s="52">
        <f t="shared" si="288"/>
        <v>0</v>
      </c>
      <c r="P1514" s="126"/>
      <c r="Q1514" s="52">
        <f t="shared" si="290"/>
        <v>24537</v>
      </c>
      <c r="R1514" s="52">
        <f t="shared" si="285"/>
        <v>3575</v>
      </c>
      <c r="S1514" s="52">
        <f t="shared" si="286"/>
        <v>28112</v>
      </c>
    </row>
    <row r="1515" spans="2:19" x14ac:dyDescent="0.2">
      <c r="B1515" s="79">
        <f t="shared" si="289"/>
        <v>768</v>
      </c>
      <c r="C1515" s="15"/>
      <c r="D1515" s="15"/>
      <c r="E1515" s="15"/>
      <c r="F1515" s="55" t="s">
        <v>81</v>
      </c>
      <c r="G1515" s="15">
        <v>620</v>
      </c>
      <c r="H1515" s="15" t="s">
        <v>131</v>
      </c>
      <c r="I1515" s="52">
        <v>8588</v>
      </c>
      <c r="J1515" s="52">
        <v>1547</v>
      </c>
      <c r="K1515" s="52">
        <f t="shared" si="287"/>
        <v>10135</v>
      </c>
      <c r="L1515" s="126"/>
      <c r="M1515" s="52"/>
      <c r="N1515" s="52"/>
      <c r="O1515" s="52">
        <f t="shared" si="288"/>
        <v>0</v>
      </c>
      <c r="P1515" s="126"/>
      <c r="Q1515" s="52">
        <f t="shared" si="290"/>
        <v>8588</v>
      </c>
      <c r="R1515" s="52">
        <f t="shared" si="285"/>
        <v>1547</v>
      </c>
      <c r="S1515" s="52">
        <f t="shared" si="286"/>
        <v>10135</v>
      </c>
    </row>
    <row r="1516" spans="2:19" x14ac:dyDescent="0.2">
      <c r="B1516" s="79">
        <f t="shared" si="289"/>
        <v>769</v>
      </c>
      <c r="C1516" s="15"/>
      <c r="D1516" s="15"/>
      <c r="E1516" s="15"/>
      <c r="F1516" s="55" t="s">
        <v>81</v>
      </c>
      <c r="G1516" s="15">
        <v>630</v>
      </c>
      <c r="H1516" s="15" t="s">
        <v>128</v>
      </c>
      <c r="I1516" s="52">
        <f>I1521+I1520+I1519+I1518+I1517</f>
        <v>5975</v>
      </c>
      <c r="J1516" s="52">
        <f>J1521+J1520+J1519+J1518+J1517</f>
        <v>2587</v>
      </c>
      <c r="K1516" s="52">
        <f t="shared" si="287"/>
        <v>8562</v>
      </c>
      <c r="L1516" s="126"/>
      <c r="M1516" s="52">
        <f>M1521+M1520+M1519+M1518+M1517</f>
        <v>0</v>
      </c>
      <c r="N1516" s="52">
        <f>N1521+N1520+N1519+N1518+N1517</f>
        <v>0</v>
      </c>
      <c r="O1516" s="52">
        <f t="shared" si="288"/>
        <v>0</v>
      </c>
      <c r="P1516" s="126"/>
      <c r="Q1516" s="52">
        <f t="shared" si="290"/>
        <v>5975</v>
      </c>
      <c r="R1516" s="52">
        <f t="shared" si="285"/>
        <v>2587</v>
      </c>
      <c r="S1516" s="52">
        <f t="shared" si="286"/>
        <v>8562</v>
      </c>
    </row>
    <row r="1517" spans="2:19" x14ac:dyDescent="0.2">
      <c r="B1517" s="79">
        <f t="shared" si="289"/>
        <v>770</v>
      </c>
      <c r="C1517" s="4"/>
      <c r="D1517" s="4"/>
      <c r="E1517" s="4"/>
      <c r="F1517" s="56" t="s">
        <v>81</v>
      </c>
      <c r="G1517" s="4">
        <v>631</v>
      </c>
      <c r="H1517" s="4" t="s">
        <v>134</v>
      </c>
      <c r="I1517" s="26">
        <v>20</v>
      </c>
      <c r="J1517" s="26">
        <v>-20</v>
      </c>
      <c r="K1517" s="26">
        <f t="shared" si="287"/>
        <v>0</v>
      </c>
      <c r="L1517" s="80"/>
      <c r="M1517" s="26"/>
      <c r="N1517" s="26"/>
      <c r="O1517" s="26">
        <f t="shared" si="288"/>
        <v>0</v>
      </c>
      <c r="P1517" s="80"/>
      <c r="Q1517" s="26">
        <f t="shared" si="290"/>
        <v>20</v>
      </c>
      <c r="R1517" s="26">
        <f t="shared" si="285"/>
        <v>-20</v>
      </c>
      <c r="S1517" s="26">
        <f t="shared" si="286"/>
        <v>0</v>
      </c>
    </row>
    <row r="1518" spans="2:19" x14ac:dyDescent="0.2">
      <c r="B1518" s="79">
        <f t="shared" si="289"/>
        <v>771</v>
      </c>
      <c r="C1518" s="4"/>
      <c r="D1518" s="4"/>
      <c r="E1518" s="4"/>
      <c r="F1518" s="56" t="s">
        <v>81</v>
      </c>
      <c r="G1518" s="4">
        <v>632</v>
      </c>
      <c r="H1518" s="4" t="s">
        <v>139</v>
      </c>
      <c r="I1518" s="26">
        <v>1860</v>
      </c>
      <c r="J1518" s="26"/>
      <c r="K1518" s="26">
        <f t="shared" si="287"/>
        <v>1860</v>
      </c>
      <c r="L1518" s="80"/>
      <c r="M1518" s="26"/>
      <c r="N1518" s="26"/>
      <c r="O1518" s="26">
        <f t="shared" si="288"/>
        <v>0</v>
      </c>
      <c r="P1518" s="80"/>
      <c r="Q1518" s="26">
        <f t="shared" si="290"/>
        <v>1860</v>
      </c>
      <c r="R1518" s="26">
        <f t="shared" si="285"/>
        <v>0</v>
      </c>
      <c r="S1518" s="26">
        <f t="shared" si="286"/>
        <v>1860</v>
      </c>
    </row>
    <row r="1519" spans="2:19" x14ac:dyDescent="0.2">
      <c r="B1519" s="79">
        <f t="shared" si="289"/>
        <v>772</v>
      </c>
      <c r="C1519" s="4"/>
      <c r="D1519" s="4"/>
      <c r="E1519" s="4"/>
      <c r="F1519" s="56" t="s">
        <v>81</v>
      </c>
      <c r="G1519" s="4">
        <v>633</v>
      </c>
      <c r="H1519" s="4" t="s">
        <v>132</v>
      </c>
      <c r="I1519" s="26">
        <v>1561</v>
      </c>
      <c r="J1519" s="26">
        <v>1636</v>
      </c>
      <c r="K1519" s="26">
        <f t="shared" si="287"/>
        <v>3197</v>
      </c>
      <c r="L1519" s="80"/>
      <c r="M1519" s="26"/>
      <c r="N1519" s="26"/>
      <c r="O1519" s="26">
        <f t="shared" si="288"/>
        <v>0</v>
      </c>
      <c r="P1519" s="80"/>
      <c r="Q1519" s="26">
        <f t="shared" si="290"/>
        <v>1561</v>
      </c>
      <c r="R1519" s="26">
        <f t="shared" si="285"/>
        <v>1636</v>
      </c>
      <c r="S1519" s="26">
        <f t="shared" si="286"/>
        <v>3197</v>
      </c>
    </row>
    <row r="1520" spans="2:19" x14ac:dyDescent="0.2">
      <c r="B1520" s="79">
        <f t="shared" si="289"/>
        <v>773</v>
      </c>
      <c r="C1520" s="4"/>
      <c r="D1520" s="4"/>
      <c r="E1520" s="4"/>
      <c r="F1520" s="56" t="s">
        <v>81</v>
      </c>
      <c r="G1520" s="4">
        <v>635</v>
      </c>
      <c r="H1520" s="4" t="s">
        <v>138</v>
      </c>
      <c r="I1520" s="26">
        <v>347</v>
      </c>
      <c r="J1520" s="26">
        <v>208</v>
      </c>
      <c r="K1520" s="26">
        <f t="shared" si="287"/>
        <v>555</v>
      </c>
      <c r="L1520" s="80"/>
      <c r="M1520" s="26"/>
      <c r="N1520" s="26"/>
      <c r="O1520" s="26">
        <f t="shared" si="288"/>
        <v>0</v>
      </c>
      <c r="P1520" s="80"/>
      <c r="Q1520" s="26">
        <f t="shared" si="290"/>
        <v>347</v>
      </c>
      <c r="R1520" s="26">
        <f t="shared" si="285"/>
        <v>208</v>
      </c>
      <c r="S1520" s="26">
        <f t="shared" si="286"/>
        <v>555</v>
      </c>
    </row>
    <row r="1521" spans="2:19" x14ac:dyDescent="0.2">
      <c r="B1521" s="79">
        <f t="shared" si="289"/>
        <v>774</v>
      </c>
      <c r="C1521" s="4"/>
      <c r="D1521" s="4"/>
      <c r="E1521" s="4"/>
      <c r="F1521" s="56" t="s">
        <v>81</v>
      </c>
      <c r="G1521" s="4">
        <v>637</v>
      </c>
      <c r="H1521" s="4" t="s">
        <v>129</v>
      </c>
      <c r="I1521" s="26">
        <v>2187</v>
      </c>
      <c r="J1521" s="26">
        <v>763</v>
      </c>
      <c r="K1521" s="26">
        <f t="shared" si="287"/>
        <v>2950</v>
      </c>
      <c r="L1521" s="80"/>
      <c r="M1521" s="26"/>
      <c r="N1521" s="26"/>
      <c r="O1521" s="26">
        <f t="shared" si="288"/>
        <v>0</v>
      </c>
      <c r="P1521" s="80"/>
      <c r="Q1521" s="26">
        <f t="shared" si="290"/>
        <v>2187</v>
      </c>
      <c r="R1521" s="26">
        <f t="shared" si="285"/>
        <v>763</v>
      </c>
      <c r="S1521" s="26">
        <f t="shared" si="286"/>
        <v>2950</v>
      </c>
    </row>
    <row r="1522" spans="2:19" x14ac:dyDescent="0.2">
      <c r="B1522" s="79">
        <f t="shared" si="289"/>
        <v>775</v>
      </c>
      <c r="C1522" s="15"/>
      <c r="D1522" s="15"/>
      <c r="E1522" s="15"/>
      <c r="F1522" s="55" t="s">
        <v>81</v>
      </c>
      <c r="G1522" s="15">
        <v>640</v>
      </c>
      <c r="H1522" s="15" t="s">
        <v>135</v>
      </c>
      <c r="I1522" s="52">
        <v>107</v>
      </c>
      <c r="J1522" s="52">
        <v>935</v>
      </c>
      <c r="K1522" s="52">
        <f t="shared" si="287"/>
        <v>1042</v>
      </c>
      <c r="L1522" s="126"/>
      <c r="M1522" s="52"/>
      <c r="N1522" s="52"/>
      <c r="O1522" s="52">
        <f t="shared" si="288"/>
        <v>0</v>
      </c>
      <c r="P1522" s="126"/>
      <c r="Q1522" s="52">
        <f t="shared" si="290"/>
        <v>107</v>
      </c>
      <c r="R1522" s="52">
        <f t="shared" si="285"/>
        <v>935</v>
      </c>
      <c r="S1522" s="52">
        <f t="shared" si="286"/>
        <v>1042</v>
      </c>
    </row>
    <row r="1523" spans="2:19" x14ac:dyDescent="0.2">
      <c r="B1523" s="79">
        <f t="shared" si="289"/>
        <v>776</v>
      </c>
      <c r="C1523" s="15"/>
      <c r="D1523" s="15"/>
      <c r="E1523" s="15"/>
      <c r="F1523" s="55" t="s">
        <v>271</v>
      </c>
      <c r="G1523" s="15">
        <v>610</v>
      </c>
      <c r="H1523" s="15" t="s">
        <v>136</v>
      </c>
      <c r="I1523" s="52">
        <f>36806+5163</f>
        <v>41969</v>
      </c>
      <c r="J1523" s="52">
        <v>-3552</v>
      </c>
      <c r="K1523" s="52">
        <f t="shared" si="287"/>
        <v>38417</v>
      </c>
      <c r="L1523" s="126"/>
      <c r="M1523" s="52"/>
      <c r="N1523" s="52"/>
      <c r="O1523" s="52">
        <f t="shared" si="288"/>
        <v>0</v>
      </c>
      <c r="P1523" s="126"/>
      <c r="Q1523" s="52">
        <f t="shared" si="290"/>
        <v>41969</v>
      </c>
      <c r="R1523" s="52">
        <f t="shared" si="285"/>
        <v>-3552</v>
      </c>
      <c r="S1523" s="52">
        <f t="shared" si="286"/>
        <v>38417</v>
      </c>
    </row>
    <row r="1524" spans="2:19" x14ac:dyDescent="0.2">
      <c r="B1524" s="79">
        <f t="shared" si="289"/>
        <v>777</v>
      </c>
      <c r="C1524" s="15"/>
      <c r="D1524" s="15"/>
      <c r="E1524" s="15"/>
      <c r="F1524" s="55" t="s">
        <v>271</v>
      </c>
      <c r="G1524" s="15">
        <v>620</v>
      </c>
      <c r="H1524" s="15" t="s">
        <v>131</v>
      </c>
      <c r="I1524" s="52">
        <f>12882+1808</f>
        <v>14690</v>
      </c>
      <c r="J1524" s="52">
        <v>-1570</v>
      </c>
      <c r="K1524" s="52">
        <f t="shared" si="287"/>
        <v>13120</v>
      </c>
      <c r="L1524" s="126"/>
      <c r="M1524" s="52"/>
      <c r="N1524" s="52"/>
      <c r="O1524" s="52">
        <f t="shared" si="288"/>
        <v>0</v>
      </c>
      <c r="P1524" s="126"/>
      <c r="Q1524" s="52">
        <f t="shared" si="290"/>
        <v>14690</v>
      </c>
      <c r="R1524" s="52">
        <f t="shared" si="285"/>
        <v>-1570</v>
      </c>
      <c r="S1524" s="52">
        <f t="shared" si="286"/>
        <v>13120</v>
      </c>
    </row>
    <row r="1525" spans="2:19" x14ac:dyDescent="0.2">
      <c r="B1525" s="79">
        <f t="shared" si="289"/>
        <v>778</v>
      </c>
      <c r="C1525" s="15"/>
      <c r="D1525" s="15"/>
      <c r="E1525" s="15"/>
      <c r="F1525" s="55" t="s">
        <v>271</v>
      </c>
      <c r="G1525" s="15">
        <v>630</v>
      </c>
      <c r="H1525" s="15" t="s">
        <v>128</v>
      </c>
      <c r="I1525" s="52">
        <f>I1530+I1529+I1528+I1527+I1526</f>
        <v>8963</v>
      </c>
      <c r="J1525" s="52">
        <f>J1530+J1529+J1528+J1527+J1526</f>
        <v>3408</v>
      </c>
      <c r="K1525" s="52">
        <f t="shared" si="287"/>
        <v>12371</v>
      </c>
      <c r="L1525" s="126"/>
      <c r="M1525" s="52">
        <f>M1530+M1529+M1528+M1527+M1526</f>
        <v>0</v>
      </c>
      <c r="N1525" s="52">
        <f>N1530+N1529+N1528+N1527+N1526</f>
        <v>0</v>
      </c>
      <c r="O1525" s="52">
        <f t="shared" si="288"/>
        <v>0</v>
      </c>
      <c r="P1525" s="126"/>
      <c r="Q1525" s="52">
        <f t="shared" si="290"/>
        <v>8963</v>
      </c>
      <c r="R1525" s="52">
        <f t="shared" si="285"/>
        <v>3408</v>
      </c>
      <c r="S1525" s="52">
        <f t="shared" si="286"/>
        <v>12371</v>
      </c>
    </row>
    <row r="1526" spans="2:19" x14ac:dyDescent="0.2">
      <c r="B1526" s="79">
        <f t="shared" si="289"/>
        <v>779</v>
      </c>
      <c r="C1526" s="4"/>
      <c r="D1526" s="4"/>
      <c r="E1526" s="4"/>
      <c r="F1526" s="56" t="s">
        <v>271</v>
      </c>
      <c r="G1526" s="4">
        <v>631</v>
      </c>
      <c r="H1526" s="4" t="s">
        <v>134</v>
      </c>
      <c r="I1526" s="26">
        <v>31</v>
      </c>
      <c r="J1526" s="26">
        <v>-31</v>
      </c>
      <c r="K1526" s="26">
        <f t="shared" si="287"/>
        <v>0</v>
      </c>
      <c r="L1526" s="80"/>
      <c r="M1526" s="26"/>
      <c r="N1526" s="26"/>
      <c r="O1526" s="26">
        <f t="shared" si="288"/>
        <v>0</v>
      </c>
      <c r="P1526" s="80"/>
      <c r="Q1526" s="26">
        <f t="shared" si="290"/>
        <v>31</v>
      </c>
      <c r="R1526" s="26">
        <f t="shared" si="285"/>
        <v>-31</v>
      </c>
      <c r="S1526" s="26">
        <f t="shared" si="286"/>
        <v>0</v>
      </c>
    </row>
    <row r="1527" spans="2:19" x14ac:dyDescent="0.2">
      <c r="B1527" s="79">
        <f t="shared" si="289"/>
        <v>780</v>
      </c>
      <c r="C1527" s="4"/>
      <c r="D1527" s="4"/>
      <c r="E1527" s="4"/>
      <c r="F1527" s="56" t="s">
        <v>271</v>
      </c>
      <c r="G1527" s="4">
        <v>632</v>
      </c>
      <c r="H1527" s="4" t="s">
        <v>139</v>
      </c>
      <c r="I1527" s="26">
        <v>2791</v>
      </c>
      <c r="J1527" s="26"/>
      <c r="K1527" s="26">
        <f t="shared" si="287"/>
        <v>2791</v>
      </c>
      <c r="L1527" s="80"/>
      <c r="M1527" s="26"/>
      <c r="N1527" s="26"/>
      <c r="O1527" s="26">
        <f t="shared" si="288"/>
        <v>0</v>
      </c>
      <c r="P1527" s="80"/>
      <c r="Q1527" s="26">
        <f t="shared" si="290"/>
        <v>2791</v>
      </c>
      <c r="R1527" s="26">
        <f t="shared" si="285"/>
        <v>0</v>
      </c>
      <c r="S1527" s="26">
        <f t="shared" si="286"/>
        <v>2791</v>
      </c>
    </row>
    <row r="1528" spans="2:19" x14ac:dyDescent="0.2">
      <c r="B1528" s="79">
        <f t="shared" si="289"/>
        <v>781</v>
      </c>
      <c r="C1528" s="4"/>
      <c r="D1528" s="4"/>
      <c r="E1528" s="4"/>
      <c r="F1528" s="56" t="s">
        <v>271</v>
      </c>
      <c r="G1528" s="4">
        <v>633</v>
      </c>
      <c r="H1528" s="4" t="s">
        <v>132</v>
      </c>
      <c r="I1528" s="26">
        <v>2341</v>
      </c>
      <c r="J1528" s="26">
        <v>2456</v>
      </c>
      <c r="K1528" s="26">
        <f t="shared" si="287"/>
        <v>4797</v>
      </c>
      <c r="L1528" s="80"/>
      <c r="M1528" s="26"/>
      <c r="N1528" s="26"/>
      <c r="O1528" s="26">
        <f t="shared" si="288"/>
        <v>0</v>
      </c>
      <c r="P1528" s="80"/>
      <c r="Q1528" s="26">
        <f t="shared" si="290"/>
        <v>2341</v>
      </c>
      <c r="R1528" s="26">
        <f t="shared" si="285"/>
        <v>2456</v>
      </c>
      <c r="S1528" s="26">
        <f t="shared" si="286"/>
        <v>4797</v>
      </c>
    </row>
    <row r="1529" spans="2:19" x14ac:dyDescent="0.2">
      <c r="B1529" s="79">
        <f t="shared" si="289"/>
        <v>782</v>
      </c>
      <c r="C1529" s="4"/>
      <c r="D1529" s="4"/>
      <c r="E1529" s="4"/>
      <c r="F1529" s="56" t="s">
        <v>271</v>
      </c>
      <c r="G1529" s="4">
        <v>635</v>
      </c>
      <c r="H1529" s="4" t="s">
        <v>138</v>
      </c>
      <c r="I1529" s="26">
        <v>520</v>
      </c>
      <c r="J1529" s="26">
        <v>312</v>
      </c>
      <c r="K1529" s="26">
        <f t="shared" si="287"/>
        <v>832</v>
      </c>
      <c r="L1529" s="80"/>
      <c r="M1529" s="26"/>
      <c r="N1529" s="26"/>
      <c r="O1529" s="26">
        <f t="shared" si="288"/>
        <v>0</v>
      </c>
      <c r="P1529" s="80"/>
      <c r="Q1529" s="26">
        <f t="shared" si="290"/>
        <v>520</v>
      </c>
      <c r="R1529" s="26">
        <f t="shared" si="285"/>
        <v>312</v>
      </c>
      <c r="S1529" s="26">
        <f t="shared" si="286"/>
        <v>832</v>
      </c>
    </row>
    <row r="1530" spans="2:19" x14ac:dyDescent="0.2">
      <c r="B1530" s="79">
        <f t="shared" si="289"/>
        <v>783</v>
      </c>
      <c r="C1530" s="4"/>
      <c r="D1530" s="4"/>
      <c r="E1530" s="4"/>
      <c r="F1530" s="56" t="s">
        <v>271</v>
      </c>
      <c r="G1530" s="4">
        <v>637</v>
      </c>
      <c r="H1530" s="4" t="s">
        <v>129</v>
      </c>
      <c r="I1530" s="26">
        <v>3280</v>
      </c>
      <c r="J1530" s="26">
        <v>671</v>
      </c>
      <c r="K1530" s="26">
        <f t="shared" si="287"/>
        <v>3951</v>
      </c>
      <c r="L1530" s="80"/>
      <c r="M1530" s="26"/>
      <c r="N1530" s="26"/>
      <c r="O1530" s="26">
        <f t="shared" si="288"/>
        <v>0</v>
      </c>
      <c r="P1530" s="80"/>
      <c r="Q1530" s="26">
        <f t="shared" si="290"/>
        <v>3280</v>
      </c>
      <c r="R1530" s="26">
        <f t="shared" si="285"/>
        <v>671</v>
      </c>
      <c r="S1530" s="26">
        <f t="shared" si="286"/>
        <v>3951</v>
      </c>
    </row>
    <row r="1531" spans="2:19" x14ac:dyDescent="0.2">
      <c r="B1531" s="79">
        <f t="shared" si="289"/>
        <v>784</v>
      </c>
      <c r="C1531" s="15"/>
      <c r="D1531" s="15"/>
      <c r="E1531" s="15"/>
      <c r="F1531" s="55" t="s">
        <v>271</v>
      </c>
      <c r="G1531" s="15">
        <v>640</v>
      </c>
      <c r="H1531" s="15" t="s">
        <v>135</v>
      </c>
      <c r="I1531" s="52">
        <v>161</v>
      </c>
      <c r="J1531" s="52">
        <v>-85</v>
      </c>
      <c r="K1531" s="52">
        <f t="shared" si="287"/>
        <v>76</v>
      </c>
      <c r="L1531" s="126"/>
      <c r="M1531" s="52"/>
      <c r="N1531" s="52"/>
      <c r="O1531" s="52">
        <f t="shared" si="288"/>
        <v>0</v>
      </c>
      <c r="P1531" s="126"/>
      <c r="Q1531" s="52">
        <f t="shared" si="290"/>
        <v>161</v>
      </c>
      <c r="R1531" s="52">
        <f t="shared" si="285"/>
        <v>-85</v>
      </c>
      <c r="S1531" s="52">
        <f t="shared" si="286"/>
        <v>76</v>
      </c>
    </row>
    <row r="1532" spans="2:19" x14ac:dyDescent="0.2">
      <c r="B1532" s="79">
        <f t="shared" si="289"/>
        <v>785</v>
      </c>
      <c r="C1532" s="15"/>
      <c r="D1532" s="15"/>
      <c r="E1532" s="15"/>
      <c r="F1532" s="177" t="s">
        <v>271</v>
      </c>
      <c r="G1532" s="129">
        <v>713</v>
      </c>
      <c r="H1532" s="129" t="s">
        <v>681</v>
      </c>
      <c r="I1532" s="128"/>
      <c r="J1532" s="128"/>
      <c r="K1532" s="128">
        <f t="shared" si="287"/>
        <v>0</v>
      </c>
      <c r="L1532" s="80"/>
      <c r="M1532" s="128">
        <f>10000+10000</f>
        <v>20000</v>
      </c>
      <c r="N1532" s="128"/>
      <c r="O1532" s="128">
        <f t="shared" si="288"/>
        <v>20000</v>
      </c>
      <c r="P1532" s="80"/>
      <c r="Q1532" s="128">
        <f t="shared" ref="Q1532" si="291">I1532+M1532</f>
        <v>20000</v>
      </c>
      <c r="R1532" s="128">
        <f t="shared" ref="R1532" si="292">J1532+N1532</f>
        <v>0</v>
      </c>
      <c r="S1532" s="128">
        <f t="shared" ref="S1532" si="293">K1532+O1532</f>
        <v>20000</v>
      </c>
    </row>
    <row r="1533" spans="2:19" x14ac:dyDescent="0.2">
      <c r="B1533" s="79">
        <f t="shared" si="289"/>
        <v>786</v>
      </c>
      <c r="C1533" s="15"/>
      <c r="D1533" s="15"/>
      <c r="E1533" s="15"/>
      <c r="F1533" s="55"/>
      <c r="G1533" s="15"/>
      <c r="H1533" s="15"/>
      <c r="I1533" s="52"/>
      <c r="J1533" s="52"/>
      <c r="K1533" s="52">
        <f t="shared" si="287"/>
        <v>0</v>
      </c>
      <c r="L1533" s="126"/>
      <c r="M1533" s="52"/>
      <c r="N1533" s="52"/>
      <c r="O1533" s="52">
        <f t="shared" si="288"/>
        <v>0</v>
      </c>
      <c r="P1533" s="126"/>
      <c r="Q1533" s="52"/>
      <c r="R1533" s="52"/>
      <c r="S1533" s="52"/>
    </row>
    <row r="1534" spans="2:19" ht="15" x14ac:dyDescent="0.25">
      <c r="B1534" s="79">
        <f t="shared" si="289"/>
        <v>787</v>
      </c>
      <c r="C1534" s="18"/>
      <c r="D1534" s="18"/>
      <c r="E1534" s="18">
        <v>12</v>
      </c>
      <c r="F1534" s="53"/>
      <c r="G1534" s="18"/>
      <c r="H1534" s="18" t="s">
        <v>272</v>
      </c>
      <c r="I1534" s="50">
        <f>I1535+I1536+I1537+I1543+I1544+I1545+I1546+I1552+I1553</f>
        <v>88146</v>
      </c>
      <c r="J1534" s="50">
        <f>J1535+J1536+J1537+J1543+J1544+J1545+J1546+J1552+J1553</f>
        <v>0</v>
      </c>
      <c r="K1534" s="50">
        <f t="shared" si="287"/>
        <v>88146</v>
      </c>
      <c r="L1534" s="203"/>
      <c r="M1534" s="50">
        <f>M1535+M1536+M1537+M1543+M1544+M1545+M1546+M1552+M1553</f>
        <v>40000</v>
      </c>
      <c r="N1534" s="50">
        <f>N1535+N1536+N1537+N1543+N1544+N1545+N1546+N1552+N1553</f>
        <v>0</v>
      </c>
      <c r="O1534" s="50">
        <f t="shared" si="288"/>
        <v>40000</v>
      </c>
      <c r="P1534" s="203"/>
      <c r="Q1534" s="50">
        <f t="shared" si="290"/>
        <v>128146</v>
      </c>
      <c r="R1534" s="50">
        <f t="shared" ref="R1534:R1553" si="294">N1534+J1534</f>
        <v>0</v>
      </c>
      <c r="S1534" s="50">
        <f t="shared" ref="S1534:S1553" si="295">O1534+K1534</f>
        <v>128146</v>
      </c>
    </row>
    <row r="1535" spans="2:19" x14ac:dyDescent="0.2">
      <c r="B1535" s="79">
        <f t="shared" si="289"/>
        <v>788</v>
      </c>
      <c r="C1535" s="15"/>
      <c r="D1535" s="15"/>
      <c r="E1535" s="15"/>
      <c r="F1535" s="55" t="s">
        <v>81</v>
      </c>
      <c r="G1535" s="15">
        <v>610</v>
      </c>
      <c r="H1535" s="15" t="s">
        <v>136</v>
      </c>
      <c r="I1535" s="52">
        <v>23606</v>
      </c>
      <c r="J1535" s="52"/>
      <c r="K1535" s="52">
        <f t="shared" si="287"/>
        <v>23606</v>
      </c>
      <c r="L1535" s="126"/>
      <c r="M1535" s="52"/>
      <c r="N1535" s="52"/>
      <c r="O1535" s="52">
        <f t="shared" si="288"/>
        <v>0</v>
      </c>
      <c r="P1535" s="126"/>
      <c r="Q1535" s="52">
        <f t="shared" si="290"/>
        <v>23606</v>
      </c>
      <c r="R1535" s="52">
        <f t="shared" si="294"/>
        <v>0</v>
      </c>
      <c r="S1535" s="52">
        <f t="shared" si="295"/>
        <v>23606</v>
      </c>
    </row>
    <row r="1536" spans="2:19" x14ac:dyDescent="0.2">
      <c r="B1536" s="79">
        <f t="shared" si="289"/>
        <v>789</v>
      </c>
      <c r="C1536" s="15"/>
      <c r="D1536" s="15"/>
      <c r="E1536" s="15"/>
      <c r="F1536" s="55" t="s">
        <v>81</v>
      </c>
      <c r="G1536" s="15">
        <v>620</v>
      </c>
      <c r="H1536" s="15" t="s">
        <v>131</v>
      </c>
      <c r="I1536" s="52">
        <v>8900</v>
      </c>
      <c r="J1536" s="52"/>
      <c r="K1536" s="52">
        <f t="shared" ref="K1536:K1599" si="296">I1536+J1536</f>
        <v>8900</v>
      </c>
      <c r="L1536" s="126"/>
      <c r="M1536" s="52"/>
      <c r="N1536" s="52"/>
      <c r="O1536" s="52">
        <f t="shared" ref="O1536:O1599" si="297">M1536+N1536</f>
        <v>0</v>
      </c>
      <c r="P1536" s="126"/>
      <c r="Q1536" s="52">
        <f t="shared" si="290"/>
        <v>8900</v>
      </c>
      <c r="R1536" s="52">
        <f t="shared" si="294"/>
        <v>0</v>
      </c>
      <c r="S1536" s="52">
        <f t="shared" si="295"/>
        <v>8900</v>
      </c>
    </row>
    <row r="1537" spans="2:19" x14ac:dyDescent="0.2">
      <c r="B1537" s="79">
        <f t="shared" ref="B1537:B1600" si="298">B1536+1</f>
        <v>790</v>
      </c>
      <c r="C1537" s="15"/>
      <c r="D1537" s="15"/>
      <c r="E1537" s="15"/>
      <c r="F1537" s="55" t="s">
        <v>81</v>
      </c>
      <c r="G1537" s="15">
        <v>630</v>
      </c>
      <c r="H1537" s="15" t="s">
        <v>128</v>
      </c>
      <c r="I1537" s="52">
        <f>I1542+I1541+I1540+I1539+I1538</f>
        <v>6932</v>
      </c>
      <c r="J1537" s="52">
        <f>J1542+J1541+J1540+J1539+J1538</f>
        <v>-510</v>
      </c>
      <c r="K1537" s="52">
        <f t="shared" si="296"/>
        <v>6422</v>
      </c>
      <c r="L1537" s="126"/>
      <c r="M1537" s="52">
        <f>M1542+M1541+M1540+M1539+M1538</f>
        <v>0</v>
      </c>
      <c r="N1537" s="52">
        <f>N1542+N1541+N1540+N1539+N1538</f>
        <v>0</v>
      </c>
      <c r="O1537" s="52">
        <f t="shared" si="297"/>
        <v>0</v>
      </c>
      <c r="P1537" s="126"/>
      <c r="Q1537" s="52">
        <f t="shared" si="290"/>
        <v>6932</v>
      </c>
      <c r="R1537" s="52">
        <f t="shared" si="294"/>
        <v>-510</v>
      </c>
      <c r="S1537" s="52">
        <f t="shared" si="295"/>
        <v>6422</v>
      </c>
    </row>
    <row r="1538" spans="2:19" x14ac:dyDescent="0.2">
      <c r="B1538" s="79">
        <f t="shared" si="298"/>
        <v>791</v>
      </c>
      <c r="C1538" s="4"/>
      <c r="D1538" s="4"/>
      <c r="E1538" s="4"/>
      <c r="F1538" s="56" t="s">
        <v>81</v>
      </c>
      <c r="G1538" s="4">
        <v>631</v>
      </c>
      <c r="H1538" s="4" t="s">
        <v>134</v>
      </c>
      <c r="I1538" s="26">
        <v>21</v>
      </c>
      <c r="J1538" s="26"/>
      <c r="K1538" s="26">
        <f t="shared" si="296"/>
        <v>21</v>
      </c>
      <c r="L1538" s="80"/>
      <c r="M1538" s="26"/>
      <c r="N1538" s="26"/>
      <c r="O1538" s="26">
        <f t="shared" si="297"/>
        <v>0</v>
      </c>
      <c r="P1538" s="80"/>
      <c r="Q1538" s="26">
        <f t="shared" si="290"/>
        <v>21</v>
      </c>
      <c r="R1538" s="26">
        <f t="shared" si="294"/>
        <v>0</v>
      </c>
      <c r="S1538" s="26">
        <f t="shared" si="295"/>
        <v>21</v>
      </c>
    </row>
    <row r="1539" spans="2:19" x14ac:dyDescent="0.2">
      <c r="B1539" s="79">
        <f t="shared" si="298"/>
        <v>792</v>
      </c>
      <c r="C1539" s="4"/>
      <c r="D1539" s="4"/>
      <c r="E1539" s="4"/>
      <c r="F1539" s="56" t="s">
        <v>81</v>
      </c>
      <c r="G1539" s="4">
        <v>632</v>
      </c>
      <c r="H1539" s="4" t="s">
        <v>139</v>
      </c>
      <c r="I1539" s="26">
        <v>3259</v>
      </c>
      <c r="J1539" s="26"/>
      <c r="K1539" s="26">
        <f t="shared" si="296"/>
        <v>3259</v>
      </c>
      <c r="L1539" s="80"/>
      <c r="M1539" s="26"/>
      <c r="N1539" s="26"/>
      <c r="O1539" s="26">
        <f t="shared" si="297"/>
        <v>0</v>
      </c>
      <c r="P1539" s="80"/>
      <c r="Q1539" s="26">
        <f t="shared" si="290"/>
        <v>3259</v>
      </c>
      <c r="R1539" s="26">
        <f t="shared" si="294"/>
        <v>0</v>
      </c>
      <c r="S1539" s="26">
        <f t="shared" si="295"/>
        <v>3259</v>
      </c>
    </row>
    <row r="1540" spans="2:19" x14ac:dyDescent="0.2">
      <c r="B1540" s="79">
        <f t="shared" si="298"/>
        <v>793</v>
      </c>
      <c r="C1540" s="4"/>
      <c r="D1540" s="4"/>
      <c r="E1540" s="4"/>
      <c r="F1540" s="56" t="s">
        <v>81</v>
      </c>
      <c r="G1540" s="4">
        <v>633</v>
      </c>
      <c r="H1540" s="4" t="s">
        <v>132</v>
      </c>
      <c r="I1540" s="26">
        <v>1240</v>
      </c>
      <c r="J1540" s="26"/>
      <c r="K1540" s="26">
        <f t="shared" si="296"/>
        <v>1240</v>
      </c>
      <c r="L1540" s="80"/>
      <c r="M1540" s="26"/>
      <c r="N1540" s="26"/>
      <c r="O1540" s="26">
        <f t="shared" si="297"/>
        <v>0</v>
      </c>
      <c r="P1540" s="80"/>
      <c r="Q1540" s="26">
        <f t="shared" si="290"/>
        <v>1240</v>
      </c>
      <c r="R1540" s="26">
        <f t="shared" si="294"/>
        <v>0</v>
      </c>
      <c r="S1540" s="26">
        <f t="shared" si="295"/>
        <v>1240</v>
      </c>
    </row>
    <row r="1541" spans="2:19" x14ac:dyDescent="0.2">
      <c r="B1541" s="79">
        <f t="shared" si="298"/>
        <v>794</v>
      </c>
      <c r="C1541" s="4"/>
      <c r="D1541" s="4"/>
      <c r="E1541" s="4"/>
      <c r="F1541" s="56" t="s">
        <v>81</v>
      </c>
      <c r="G1541" s="4">
        <v>635</v>
      </c>
      <c r="H1541" s="4" t="s">
        <v>138</v>
      </c>
      <c r="I1541" s="26">
        <v>1560</v>
      </c>
      <c r="J1541" s="26">
        <v>-510</v>
      </c>
      <c r="K1541" s="26">
        <f t="shared" si="296"/>
        <v>1050</v>
      </c>
      <c r="L1541" s="80"/>
      <c r="M1541" s="26"/>
      <c r="N1541" s="26"/>
      <c r="O1541" s="26">
        <f t="shared" si="297"/>
        <v>0</v>
      </c>
      <c r="P1541" s="80"/>
      <c r="Q1541" s="26">
        <f t="shared" si="290"/>
        <v>1560</v>
      </c>
      <c r="R1541" s="26">
        <f t="shared" si="294"/>
        <v>-510</v>
      </c>
      <c r="S1541" s="26">
        <f t="shared" si="295"/>
        <v>1050</v>
      </c>
    </row>
    <row r="1542" spans="2:19" x14ac:dyDescent="0.2">
      <c r="B1542" s="79">
        <f t="shared" si="298"/>
        <v>795</v>
      </c>
      <c r="C1542" s="4"/>
      <c r="D1542" s="4"/>
      <c r="E1542" s="4"/>
      <c r="F1542" s="56" t="s">
        <v>81</v>
      </c>
      <c r="G1542" s="4">
        <v>637</v>
      </c>
      <c r="H1542" s="4" t="s">
        <v>129</v>
      </c>
      <c r="I1542" s="26">
        <v>852</v>
      </c>
      <c r="J1542" s="26"/>
      <c r="K1542" s="26">
        <f t="shared" si="296"/>
        <v>852</v>
      </c>
      <c r="L1542" s="80"/>
      <c r="M1542" s="26"/>
      <c r="N1542" s="26"/>
      <c r="O1542" s="26">
        <f t="shared" si="297"/>
        <v>0</v>
      </c>
      <c r="P1542" s="80"/>
      <c r="Q1542" s="26">
        <f t="shared" si="290"/>
        <v>852</v>
      </c>
      <c r="R1542" s="26">
        <f t="shared" si="294"/>
        <v>0</v>
      </c>
      <c r="S1542" s="26">
        <f t="shared" si="295"/>
        <v>852</v>
      </c>
    </row>
    <row r="1543" spans="2:19" x14ac:dyDescent="0.2">
      <c r="B1543" s="79">
        <f t="shared" si="298"/>
        <v>796</v>
      </c>
      <c r="C1543" s="15"/>
      <c r="D1543" s="15"/>
      <c r="E1543" s="15"/>
      <c r="F1543" s="55" t="s">
        <v>81</v>
      </c>
      <c r="G1543" s="15">
        <v>640</v>
      </c>
      <c r="H1543" s="15" t="s">
        <v>135</v>
      </c>
      <c r="I1543" s="52">
        <v>118</v>
      </c>
      <c r="J1543" s="52"/>
      <c r="K1543" s="52">
        <f t="shared" si="296"/>
        <v>118</v>
      </c>
      <c r="L1543" s="126"/>
      <c r="M1543" s="52"/>
      <c r="N1543" s="52"/>
      <c r="O1543" s="52">
        <f t="shared" si="297"/>
        <v>0</v>
      </c>
      <c r="P1543" s="126"/>
      <c r="Q1543" s="52">
        <f t="shared" si="290"/>
        <v>118</v>
      </c>
      <c r="R1543" s="52">
        <f t="shared" si="294"/>
        <v>0</v>
      </c>
      <c r="S1543" s="52">
        <f t="shared" si="295"/>
        <v>118</v>
      </c>
    </row>
    <row r="1544" spans="2:19" x14ac:dyDescent="0.2">
      <c r="B1544" s="79">
        <f t="shared" si="298"/>
        <v>797</v>
      </c>
      <c r="C1544" s="15"/>
      <c r="D1544" s="15"/>
      <c r="E1544" s="15"/>
      <c r="F1544" s="55" t="s">
        <v>271</v>
      </c>
      <c r="G1544" s="15">
        <v>610</v>
      </c>
      <c r="H1544" s="15" t="s">
        <v>136</v>
      </c>
      <c r="I1544" s="52">
        <v>28925</v>
      </c>
      <c r="J1544" s="52"/>
      <c r="K1544" s="52">
        <f t="shared" si="296"/>
        <v>28925</v>
      </c>
      <c r="L1544" s="126"/>
      <c r="M1544" s="52"/>
      <c r="N1544" s="52"/>
      <c r="O1544" s="52">
        <f t="shared" si="297"/>
        <v>0</v>
      </c>
      <c r="P1544" s="126"/>
      <c r="Q1544" s="52">
        <f t="shared" si="290"/>
        <v>28925</v>
      </c>
      <c r="R1544" s="52">
        <f t="shared" si="294"/>
        <v>0</v>
      </c>
      <c r="S1544" s="52">
        <f t="shared" si="295"/>
        <v>28925</v>
      </c>
    </row>
    <row r="1545" spans="2:19" x14ac:dyDescent="0.2">
      <c r="B1545" s="79">
        <f t="shared" si="298"/>
        <v>798</v>
      </c>
      <c r="C1545" s="15"/>
      <c r="D1545" s="15"/>
      <c r="E1545" s="15"/>
      <c r="F1545" s="55" t="s">
        <v>271</v>
      </c>
      <c r="G1545" s="15">
        <v>620</v>
      </c>
      <c r="H1545" s="15" t="s">
        <v>131</v>
      </c>
      <c r="I1545" s="52">
        <v>10876</v>
      </c>
      <c r="J1545" s="52"/>
      <c r="K1545" s="52">
        <f t="shared" si="296"/>
        <v>10876</v>
      </c>
      <c r="L1545" s="126"/>
      <c r="M1545" s="52"/>
      <c r="N1545" s="52"/>
      <c r="O1545" s="52">
        <f t="shared" si="297"/>
        <v>0</v>
      </c>
      <c r="P1545" s="126"/>
      <c r="Q1545" s="52">
        <f t="shared" si="290"/>
        <v>10876</v>
      </c>
      <c r="R1545" s="52">
        <f t="shared" si="294"/>
        <v>0</v>
      </c>
      <c r="S1545" s="52">
        <f t="shared" si="295"/>
        <v>10876</v>
      </c>
    </row>
    <row r="1546" spans="2:19" x14ac:dyDescent="0.2">
      <c r="B1546" s="79">
        <f t="shared" si="298"/>
        <v>799</v>
      </c>
      <c r="C1546" s="15"/>
      <c r="D1546" s="15"/>
      <c r="E1546" s="15"/>
      <c r="F1546" s="55" t="s">
        <v>271</v>
      </c>
      <c r="G1546" s="15">
        <v>630</v>
      </c>
      <c r="H1546" s="15" t="s">
        <v>128</v>
      </c>
      <c r="I1546" s="52">
        <f>I1551+I1550+I1549+I1548+I1547</f>
        <v>8639</v>
      </c>
      <c r="J1546" s="52">
        <f>J1551+J1550+J1549+J1548+J1547</f>
        <v>210</v>
      </c>
      <c r="K1546" s="52">
        <f t="shared" si="296"/>
        <v>8849</v>
      </c>
      <c r="L1546" s="126"/>
      <c r="M1546" s="52">
        <f>M1551+M1550+M1549+M1548+M1547</f>
        <v>0</v>
      </c>
      <c r="N1546" s="52">
        <f>N1551+N1550+N1549+N1548+N1547</f>
        <v>0</v>
      </c>
      <c r="O1546" s="52">
        <f t="shared" si="297"/>
        <v>0</v>
      </c>
      <c r="P1546" s="126"/>
      <c r="Q1546" s="52">
        <f t="shared" si="290"/>
        <v>8639</v>
      </c>
      <c r="R1546" s="52">
        <f t="shared" si="294"/>
        <v>210</v>
      </c>
      <c r="S1546" s="52">
        <f t="shared" si="295"/>
        <v>8849</v>
      </c>
    </row>
    <row r="1547" spans="2:19" x14ac:dyDescent="0.2">
      <c r="B1547" s="79">
        <f t="shared" si="298"/>
        <v>800</v>
      </c>
      <c r="C1547" s="4"/>
      <c r="D1547" s="4"/>
      <c r="E1547" s="4"/>
      <c r="F1547" s="56" t="s">
        <v>271</v>
      </c>
      <c r="G1547" s="4">
        <v>631</v>
      </c>
      <c r="H1547" s="4" t="s">
        <v>134</v>
      </c>
      <c r="I1547" s="26">
        <v>31</v>
      </c>
      <c r="J1547" s="26">
        <v>-31</v>
      </c>
      <c r="K1547" s="26">
        <f t="shared" si="296"/>
        <v>0</v>
      </c>
      <c r="L1547" s="80"/>
      <c r="M1547" s="26"/>
      <c r="N1547" s="26"/>
      <c r="O1547" s="26">
        <f t="shared" si="297"/>
        <v>0</v>
      </c>
      <c r="P1547" s="80"/>
      <c r="Q1547" s="26">
        <f t="shared" si="290"/>
        <v>31</v>
      </c>
      <c r="R1547" s="26">
        <f t="shared" si="294"/>
        <v>-31</v>
      </c>
      <c r="S1547" s="26">
        <f t="shared" si="295"/>
        <v>0</v>
      </c>
    </row>
    <row r="1548" spans="2:19" x14ac:dyDescent="0.2">
      <c r="B1548" s="79">
        <f t="shared" si="298"/>
        <v>801</v>
      </c>
      <c r="C1548" s="4"/>
      <c r="D1548" s="4"/>
      <c r="E1548" s="4"/>
      <c r="F1548" s="56" t="s">
        <v>271</v>
      </c>
      <c r="G1548" s="4">
        <v>632</v>
      </c>
      <c r="H1548" s="4" t="s">
        <v>139</v>
      </c>
      <c r="I1548" s="26">
        <v>4147</v>
      </c>
      <c r="J1548" s="26">
        <v>131</v>
      </c>
      <c r="K1548" s="26">
        <f t="shared" si="296"/>
        <v>4278</v>
      </c>
      <c r="L1548" s="80"/>
      <c r="M1548" s="26"/>
      <c r="N1548" s="26"/>
      <c r="O1548" s="26">
        <f t="shared" si="297"/>
        <v>0</v>
      </c>
      <c r="P1548" s="80"/>
      <c r="Q1548" s="26">
        <f t="shared" si="290"/>
        <v>4147</v>
      </c>
      <c r="R1548" s="26">
        <f t="shared" si="294"/>
        <v>131</v>
      </c>
      <c r="S1548" s="26">
        <f t="shared" si="295"/>
        <v>4278</v>
      </c>
    </row>
    <row r="1549" spans="2:19" x14ac:dyDescent="0.2">
      <c r="B1549" s="79">
        <f t="shared" si="298"/>
        <v>802</v>
      </c>
      <c r="C1549" s="4"/>
      <c r="D1549" s="4"/>
      <c r="E1549" s="4"/>
      <c r="F1549" s="56" t="s">
        <v>271</v>
      </c>
      <c r="G1549" s="4">
        <v>633</v>
      </c>
      <c r="H1549" s="4" t="s">
        <v>132</v>
      </c>
      <c r="I1549" s="26">
        <v>1515</v>
      </c>
      <c r="J1549" s="26">
        <v>-30</v>
      </c>
      <c r="K1549" s="26">
        <f t="shared" si="296"/>
        <v>1485</v>
      </c>
      <c r="L1549" s="80"/>
      <c r="M1549" s="26"/>
      <c r="N1549" s="26"/>
      <c r="O1549" s="26">
        <f t="shared" si="297"/>
        <v>0</v>
      </c>
      <c r="P1549" s="80"/>
      <c r="Q1549" s="26">
        <f t="shared" si="290"/>
        <v>1515</v>
      </c>
      <c r="R1549" s="26">
        <f t="shared" si="294"/>
        <v>-30</v>
      </c>
      <c r="S1549" s="26">
        <f t="shared" si="295"/>
        <v>1485</v>
      </c>
    </row>
    <row r="1550" spans="2:19" x14ac:dyDescent="0.2">
      <c r="B1550" s="79">
        <f t="shared" si="298"/>
        <v>803</v>
      </c>
      <c r="C1550" s="4"/>
      <c r="D1550" s="4"/>
      <c r="E1550" s="4"/>
      <c r="F1550" s="56" t="s">
        <v>271</v>
      </c>
      <c r="G1550" s="4">
        <v>635</v>
      </c>
      <c r="H1550" s="4" t="s">
        <v>138</v>
      </c>
      <c r="I1550" s="26">
        <v>1910</v>
      </c>
      <c r="J1550" s="26"/>
      <c r="K1550" s="26">
        <f t="shared" si="296"/>
        <v>1910</v>
      </c>
      <c r="L1550" s="80"/>
      <c r="M1550" s="26"/>
      <c r="N1550" s="26"/>
      <c r="O1550" s="26">
        <f t="shared" si="297"/>
        <v>0</v>
      </c>
      <c r="P1550" s="80"/>
      <c r="Q1550" s="26">
        <f t="shared" si="290"/>
        <v>1910</v>
      </c>
      <c r="R1550" s="26">
        <f t="shared" si="294"/>
        <v>0</v>
      </c>
      <c r="S1550" s="26">
        <f t="shared" si="295"/>
        <v>1910</v>
      </c>
    </row>
    <row r="1551" spans="2:19" x14ac:dyDescent="0.2">
      <c r="B1551" s="79">
        <f t="shared" si="298"/>
        <v>804</v>
      </c>
      <c r="C1551" s="4"/>
      <c r="D1551" s="4"/>
      <c r="E1551" s="4"/>
      <c r="F1551" s="56" t="s">
        <v>271</v>
      </c>
      <c r="G1551" s="4">
        <v>637</v>
      </c>
      <c r="H1551" s="4" t="s">
        <v>129</v>
      </c>
      <c r="I1551" s="26">
        <v>1036</v>
      </c>
      <c r="J1551" s="26">
        <v>140</v>
      </c>
      <c r="K1551" s="26">
        <f t="shared" si="296"/>
        <v>1176</v>
      </c>
      <c r="L1551" s="80"/>
      <c r="M1551" s="26"/>
      <c r="N1551" s="26"/>
      <c r="O1551" s="26">
        <f t="shared" si="297"/>
        <v>0</v>
      </c>
      <c r="P1551" s="80"/>
      <c r="Q1551" s="26">
        <f t="shared" si="290"/>
        <v>1036</v>
      </c>
      <c r="R1551" s="26">
        <f t="shared" si="294"/>
        <v>140</v>
      </c>
      <c r="S1551" s="26">
        <f t="shared" si="295"/>
        <v>1176</v>
      </c>
    </row>
    <row r="1552" spans="2:19" x14ac:dyDescent="0.2">
      <c r="B1552" s="79">
        <f t="shared" si="298"/>
        <v>805</v>
      </c>
      <c r="C1552" s="15"/>
      <c r="D1552" s="15"/>
      <c r="E1552" s="15"/>
      <c r="F1552" s="55" t="s">
        <v>271</v>
      </c>
      <c r="G1552" s="15">
        <v>640</v>
      </c>
      <c r="H1552" s="15" t="s">
        <v>135</v>
      </c>
      <c r="I1552" s="52">
        <v>150</v>
      </c>
      <c r="J1552" s="52">
        <v>300</v>
      </c>
      <c r="K1552" s="52">
        <f t="shared" si="296"/>
        <v>450</v>
      </c>
      <c r="L1552" s="126"/>
      <c r="M1552" s="52"/>
      <c r="N1552" s="52"/>
      <c r="O1552" s="52">
        <f t="shared" si="297"/>
        <v>0</v>
      </c>
      <c r="P1552" s="126"/>
      <c r="Q1552" s="52">
        <f t="shared" si="290"/>
        <v>150</v>
      </c>
      <c r="R1552" s="52">
        <f t="shared" si="294"/>
        <v>300</v>
      </c>
      <c r="S1552" s="52">
        <f t="shared" si="295"/>
        <v>450</v>
      </c>
    </row>
    <row r="1553" spans="2:19" x14ac:dyDescent="0.2">
      <c r="B1553" s="79">
        <f t="shared" si="298"/>
        <v>806</v>
      </c>
      <c r="C1553" s="15"/>
      <c r="D1553" s="15"/>
      <c r="E1553" s="15"/>
      <c r="F1553" s="55" t="s">
        <v>271</v>
      </c>
      <c r="G1553" s="15">
        <v>710</v>
      </c>
      <c r="H1553" s="15" t="s">
        <v>184</v>
      </c>
      <c r="I1553" s="52">
        <f>I1556</f>
        <v>0</v>
      </c>
      <c r="J1553" s="52">
        <f>J1556</f>
        <v>0</v>
      </c>
      <c r="K1553" s="52">
        <f t="shared" si="296"/>
        <v>0</v>
      </c>
      <c r="L1553" s="126"/>
      <c r="M1553" s="52">
        <f>M1556+M1554</f>
        <v>40000</v>
      </c>
      <c r="N1553" s="52">
        <f>N1556+N1554</f>
        <v>0</v>
      </c>
      <c r="O1553" s="52">
        <f t="shared" si="297"/>
        <v>40000</v>
      </c>
      <c r="P1553" s="126"/>
      <c r="Q1553" s="52">
        <f t="shared" si="290"/>
        <v>40000</v>
      </c>
      <c r="R1553" s="52">
        <f t="shared" si="294"/>
        <v>0</v>
      </c>
      <c r="S1553" s="52">
        <f t="shared" si="295"/>
        <v>40000</v>
      </c>
    </row>
    <row r="1554" spans="2:19" x14ac:dyDescent="0.2">
      <c r="B1554" s="79">
        <f t="shared" si="298"/>
        <v>807</v>
      </c>
      <c r="C1554" s="15"/>
      <c r="D1554" s="15"/>
      <c r="E1554" s="15"/>
      <c r="F1554" s="89" t="s">
        <v>271</v>
      </c>
      <c r="G1554" s="90">
        <v>716</v>
      </c>
      <c r="H1554" s="90" t="s">
        <v>0</v>
      </c>
      <c r="I1554" s="91"/>
      <c r="J1554" s="91"/>
      <c r="K1554" s="91">
        <f t="shared" si="296"/>
        <v>0</v>
      </c>
      <c r="L1554" s="80"/>
      <c r="M1554" s="91">
        <f>M1555</f>
        <v>5000</v>
      </c>
      <c r="N1554" s="91">
        <f>N1555</f>
        <v>0</v>
      </c>
      <c r="O1554" s="91">
        <f t="shared" si="297"/>
        <v>5000</v>
      </c>
      <c r="P1554" s="80"/>
      <c r="Q1554" s="91">
        <f t="shared" ref="Q1554:Q1555" si="299">I1554+M1554</f>
        <v>5000</v>
      </c>
      <c r="R1554" s="91">
        <f t="shared" ref="R1554:R1555" si="300">J1554+N1554</f>
        <v>0</v>
      </c>
      <c r="S1554" s="91">
        <f t="shared" ref="S1554:S1555" si="301">K1554+O1554</f>
        <v>5000</v>
      </c>
    </row>
    <row r="1555" spans="2:19" x14ac:dyDescent="0.2">
      <c r="B1555" s="79">
        <f t="shared" si="298"/>
        <v>808</v>
      </c>
      <c r="C1555" s="15"/>
      <c r="D1555" s="15"/>
      <c r="E1555" s="15"/>
      <c r="F1555" s="56"/>
      <c r="G1555" s="4"/>
      <c r="H1555" s="4" t="s">
        <v>594</v>
      </c>
      <c r="I1555" s="26"/>
      <c r="J1555" s="26"/>
      <c r="K1555" s="26">
        <f t="shared" si="296"/>
        <v>0</v>
      </c>
      <c r="L1555" s="80"/>
      <c r="M1555" s="26">
        <v>5000</v>
      </c>
      <c r="N1555" s="26"/>
      <c r="O1555" s="26">
        <f t="shared" si="297"/>
        <v>5000</v>
      </c>
      <c r="P1555" s="80"/>
      <c r="Q1555" s="26">
        <f t="shared" si="299"/>
        <v>5000</v>
      </c>
      <c r="R1555" s="26">
        <f t="shared" si="300"/>
        <v>0</v>
      </c>
      <c r="S1555" s="26">
        <f t="shared" si="301"/>
        <v>5000</v>
      </c>
    </row>
    <row r="1556" spans="2:19" x14ac:dyDescent="0.2">
      <c r="B1556" s="79">
        <f t="shared" si="298"/>
        <v>809</v>
      </c>
      <c r="C1556" s="4"/>
      <c r="D1556" s="4"/>
      <c r="E1556" s="4"/>
      <c r="F1556" s="89" t="s">
        <v>271</v>
      </c>
      <c r="G1556" s="90">
        <v>717</v>
      </c>
      <c r="H1556" s="90" t="s">
        <v>194</v>
      </c>
      <c r="I1556" s="91"/>
      <c r="J1556" s="91"/>
      <c r="K1556" s="91">
        <f t="shared" si="296"/>
        <v>0</v>
      </c>
      <c r="L1556" s="80"/>
      <c r="M1556" s="91">
        <f>M1557</f>
        <v>35000</v>
      </c>
      <c r="N1556" s="91">
        <f>N1557</f>
        <v>0</v>
      </c>
      <c r="O1556" s="91">
        <f t="shared" si="297"/>
        <v>35000</v>
      </c>
      <c r="P1556" s="80"/>
      <c r="Q1556" s="91">
        <f t="shared" si="290"/>
        <v>35000</v>
      </c>
      <c r="R1556" s="91">
        <f t="shared" ref="R1556" si="302">N1556+J1556</f>
        <v>0</v>
      </c>
      <c r="S1556" s="91">
        <f t="shared" ref="S1556" si="303">O1556+K1556</f>
        <v>35000</v>
      </c>
    </row>
    <row r="1557" spans="2:19" x14ac:dyDescent="0.2">
      <c r="B1557" s="79">
        <f t="shared" si="298"/>
        <v>810</v>
      </c>
      <c r="C1557" s="4"/>
      <c r="D1557" s="4"/>
      <c r="E1557" s="4"/>
      <c r="F1557" s="68"/>
      <c r="G1557" s="64"/>
      <c r="H1557" s="64" t="s">
        <v>425</v>
      </c>
      <c r="I1557" s="62"/>
      <c r="J1557" s="62"/>
      <c r="K1557" s="62">
        <f t="shared" si="296"/>
        <v>0</v>
      </c>
      <c r="L1557" s="80"/>
      <c r="M1557" s="62">
        <f>40000-5000</f>
        <v>35000</v>
      </c>
      <c r="N1557" s="62"/>
      <c r="O1557" s="62">
        <f t="shared" si="297"/>
        <v>35000</v>
      </c>
      <c r="P1557" s="80"/>
      <c r="Q1557" s="62">
        <f>M1557</f>
        <v>35000</v>
      </c>
      <c r="R1557" s="62">
        <f t="shared" ref="R1557:S1557" si="304">N1557</f>
        <v>0</v>
      </c>
      <c r="S1557" s="62">
        <f t="shared" si="304"/>
        <v>35000</v>
      </c>
    </row>
    <row r="1558" spans="2:19" ht="15" x14ac:dyDescent="0.25">
      <c r="B1558" s="79">
        <f t="shared" si="298"/>
        <v>811</v>
      </c>
      <c r="C1558" s="18"/>
      <c r="D1558" s="18"/>
      <c r="E1558" s="18">
        <v>13</v>
      </c>
      <c r="F1558" s="53"/>
      <c r="G1558" s="18"/>
      <c r="H1558" s="18" t="s">
        <v>255</v>
      </c>
      <c r="I1558" s="50">
        <f>I1559+I1560+I1561+I1565+I1566+I1567+I1568+I1574</f>
        <v>75299</v>
      </c>
      <c r="J1558" s="50">
        <f>J1559+J1560+J1561+J1565+J1566+J1567+J1568+J1574</f>
        <v>32</v>
      </c>
      <c r="K1558" s="50">
        <f t="shared" si="296"/>
        <v>75331</v>
      </c>
      <c r="L1558" s="203"/>
      <c r="M1558" s="50">
        <f>M1559+M1560+M1561+M1565+M1566+M1567+M1568+M1574</f>
        <v>0</v>
      </c>
      <c r="N1558" s="50">
        <f>N1559+N1560+N1561+N1565+N1566+N1567+N1568+N1574</f>
        <v>0</v>
      </c>
      <c r="O1558" s="50">
        <f t="shared" si="297"/>
        <v>0</v>
      </c>
      <c r="P1558" s="203"/>
      <c r="Q1558" s="50">
        <f t="shared" ref="Q1558:Q1596" si="305">M1558+I1558</f>
        <v>75299</v>
      </c>
      <c r="R1558" s="50">
        <f t="shared" ref="R1558:R1596" si="306">N1558+J1558</f>
        <v>32</v>
      </c>
      <c r="S1558" s="50">
        <f t="shared" ref="S1558:S1596" si="307">O1558+K1558</f>
        <v>75331</v>
      </c>
    </row>
    <row r="1559" spans="2:19" x14ac:dyDescent="0.2">
      <c r="B1559" s="79">
        <f t="shared" si="298"/>
        <v>812</v>
      </c>
      <c r="C1559" s="15"/>
      <c r="D1559" s="15"/>
      <c r="E1559" s="15"/>
      <c r="F1559" s="55" t="s">
        <v>81</v>
      </c>
      <c r="G1559" s="15">
        <v>610</v>
      </c>
      <c r="H1559" s="15" t="s">
        <v>136</v>
      </c>
      <c r="I1559" s="52">
        <f>19666</f>
        <v>19666</v>
      </c>
      <c r="J1559" s="52">
        <v>-1416</v>
      </c>
      <c r="K1559" s="52">
        <f t="shared" si="296"/>
        <v>18250</v>
      </c>
      <c r="L1559" s="126"/>
      <c r="M1559" s="52"/>
      <c r="N1559" s="52"/>
      <c r="O1559" s="52">
        <f t="shared" si="297"/>
        <v>0</v>
      </c>
      <c r="P1559" s="126"/>
      <c r="Q1559" s="52">
        <f t="shared" si="305"/>
        <v>19666</v>
      </c>
      <c r="R1559" s="52">
        <f t="shared" si="306"/>
        <v>-1416</v>
      </c>
      <c r="S1559" s="52">
        <f t="shared" si="307"/>
        <v>18250</v>
      </c>
    </row>
    <row r="1560" spans="2:19" x14ac:dyDescent="0.2">
      <c r="B1560" s="79">
        <f t="shared" si="298"/>
        <v>813</v>
      </c>
      <c r="C1560" s="15"/>
      <c r="D1560" s="15"/>
      <c r="E1560" s="15"/>
      <c r="F1560" s="55" t="s">
        <v>81</v>
      </c>
      <c r="G1560" s="15">
        <v>620</v>
      </c>
      <c r="H1560" s="15" t="s">
        <v>131</v>
      </c>
      <c r="I1560" s="52">
        <f>7142</f>
        <v>7142</v>
      </c>
      <c r="J1560" s="52">
        <v>-1584</v>
      </c>
      <c r="K1560" s="52">
        <f t="shared" si="296"/>
        <v>5558</v>
      </c>
      <c r="L1560" s="126"/>
      <c r="M1560" s="52"/>
      <c r="N1560" s="52"/>
      <c r="O1560" s="52">
        <f t="shared" si="297"/>
        <v>0</v>
      </c>
      <c r="P1560" s="126"/>
      <c r="Q1560" s="52">
        <f t="shared" si="305"/>
        <v>7142</v>
      </c>
      <c r="R1560" s="52">
        <f t="shared" si="306"/>
        <v>-1584</v>
      </c>
      <c r="S1560" s="52">
        <f t="shared" si="307"/>
        <v>5558</v>
      </c>
    </row>
    <row r="1561" spans="2:19" x14ac:dyDescent="0.2">
      <c r="B1561" s="79">
        <f t="shared" si="298"/>
        <v>814</v>
      </c>
      <c r="C1561" s="15"/>
      <c r="D1561" s="15"/>
      <c r="E1561" s="15"/>
      <c r="F1561" s="55" t="s">
        <v>81</v>
      </c>
      <c r="G1561" s="15">
        <v>630</v>
      </c>
      <c r="H1561" s="15" t="s">
        <v>128</v>
      </c>
      <c r="I1561" s="52">
        <f>I1564+I1563+I1562</f>
        <v>6711</v>
      </c>
      <c r="J1561" s="52">
        <f>J1564+J1563+J1562</f>
        <v>2950</v>
      </c>
      <c r="K1561" s="52">
        <f t="shared" si="296"/>
        <v>9661</v>
      </c>
      <c r="L1561" s="126"/>
      <c r="M1561" s="52">
        <f>M1564+M1563+M1562</f>
        <v>0</v>
      </c>
      <c r="N1561" s="52">
        <f>N1564+N1563+N1562</f>
        <v>0</v>
      </c>
      <c r="O1561" s="52">
        <f t="shared" si="297"/>
        <v>0</v>
      </c>
      <c r="P1561" s="126"/>
      <c r="Q1561" s="52">
        <f t="shared" si="305"/>
        <v>6711</v>
      </c>
      <c r="R1561" s="52">
        <f t="shared" si="306"/>
        <v>2950</v>
      </c>
      <c r="S1561" s="52">
        <f t="shared" si="307"/>
        <v>9661</v>
      </c>
    </row>
    <row r="1562" spans="2:19" x14ac:dyDescent="0.2">
      <c r="B1562" s="79">
        <f t="shared" si="298"/>
        <v>815</v>
      </c>
      <c r="C1562" s="4"/>
      <c r="D1562" s="4"/>
      <c r="E1562" s="4"/>
      <c r="F1562" s="56" t="s">
        <v>81</v>
      </c>
      <c r="G1562" s="4">
        <v>632</v>
      </c>
      <c r="H1562" s="4" t="s">
        <v>139</v>
      </c>
      <c r="I1562" s="26">
        <v>2190</v>
      </c>
      <c r="J1562" s="26">
        <v>2000</v>
      </c>
      <c r="K1562" s="26">
        <f t="shared" si="296"/>
        <v>4190</v>
      </c>
      <c r="L1562" s="80"/>
      <c r="M1562" s="26"/>
      <c r="N1562" s="26"/>
      <c r="O1562" s="26">
        <f t="shared" si="297"/>
        <v>0</v>
      </c>
      <c r="P1562" s="80"/>
      <c r="Q1562" s="26">
        <f t="shared" si="305"/>
        <v>2190</v>
      </c>
      <c r="R1562" s="26">
        <f t="shared" si="306"/>
        <v>2000</v>
      </c>
      <c r="S1562" s="26">
        <f t="shared" si="307"/>
        <v>4190</v>
      </c>
    </row>
    <row r="1563" spans="2:19" x14ac:dyDescent="0.2">
      <c r="B1563" s="79">
        <f t="shared" si="298"/>
        <v>816</v>
      </c>
      <c r="C1563" s="4"/>
      <c r="D1563" s="4"/>
      <c r="E1563" s="4"/>
      <c r="F1563" s="56" t="s">
        <v>81</v>
      </c>
      <c r="G1563" s="4">
        <v>633</v>
      </c>
      <c r="H1563" s="4" t="s">
        <v>132</v>
      </c>
      <c r="I1563" s="26">
        <v>3030</v>
      </c>
      <c r="J1563" s="26"/>
      <c r="K1563" s="26">
        <f t="shared" si="296"/>
        <v>3030</v>
      </c>
      <c r="L1563" s="80"/>
      <c r="M1563" s="26"/>
      <c r="N1563" s="26"/>
      <c r="O1563" s="26">
        <f t="shared" si="297"/>
        <v>0</v>
      </c>
      <c r="P1563" s="80"/>
      <c r="Q1563" s="26">
        <f t="shared" si="305"/>
        <v>3030</v>
      </c>
      <c r="R1563" s="26">
        <f t="shared" si="306"/>
        <v>0</v>
      </c>
      <c r="S1563" s="26">
        <f t="shared" si="307"/>
        <v>3030</v>
      </c>
    </row>
    <row r="1564" spans="2:19" x14ac:dyDescent="0.2">
      <c r="B1564" s="79">
        <f t="shared" si="298"/>
        <v>817</v>
      </c>
      <c r="C1564" s="4"/>
      <c r="D1564" s="4"/>
      <c r="E1564" s="4"/>
      <c r="F1564" s="56" t="s">
        <v>81</v>
      </c>
      <c r="G1564" s="4">
        <v>637</v>
      </c>
      <c r="H1564" s="4" t="s">
        <v>129</v>
      </c>
      <c r="I1564" s="26">
        <v>1491</v>
      </c>
      <c r="J1564" s="26">
        <v>950</v>
      </c>
      <c r="K1564" s="26">
        <f t="shared" si="296"/>
        <v>2441</v>
      </c>
      <c r="L1564" s="80"/>
      <c r="M1564" s="26"/>
      <c r="N1564" s="26"/>
      <c r="O1564" s="26">
        <f t="shared" si="297"/>
        <v>0</v>
      </c>
      <c r="P1564" s="80"/>
      <c r="Q1564" s="26">
        <f t="shared" si="305"/>
        <v>1491</v>
      </c>
      <c r="R1564" s="26">
        <f t="shared" si="306"/>
        <v>950</v>
      </c>
      <c r="S1564" s="26">
        <f t="shared" si="307"/>
        <v>2441</v>
      </c>
    </row>
    <row r="1565" spans="2:19" x14ac:dyDescent="0.2">
      <c r="B1565" s="79">
        <f t="shared" si="298"/>
        <v>818</v>
      </c>
      <c r="C1565" s="15"/>
      <c r="D1565" s="15"/>
      <c r="E1565" s="15"/>
      <c r="F1565" s="55" t="s">
        <v>81</v>
      </c>
      <c r="G1565" s="15">
        <v>640</v>
      </c>
      <c r="H1565" s="15" t="s">
        <v>135</v>
      </c>
      <c r="I1565" s="52">
        <v>20</v>
      </c>
      <c r="J1565" s="52">
        <v>50</v>
      </c>
      <c r="K1565" s="52">
        <f t="shared" si="296"/>
        <v>70</v>
      </c>
      <c r="L1565" s="126"/>
      <c r="M1565" s="52"/>
      <c r="N1565" s="52"/>
      <c r="O1565" s="52">
        <f t="shared" si="297"/>
        <v>0</v>
      </c>
      <c r="P1565" s="126"/>
      <c r="Q1565" s="52">
        <f t="shared" si="305"/>
        <v>20</v>
      </c>
      <c r="R1565" s="52">
        <f t="shared" si="306"/>
        <v>50</v>
      </c>
      <c r="S1565" s="52">
        <f t="shared" si="307"/>
        <v>70</v>
      </c>
    </row>
    <row r="1566" spans="2:19" x14ac:dyDescent="0.2">
      <c r="B1566" s="79">
        <f t="shared" si="298"/>
        <v>819</v>
      </c>
      <c r="C1566" s="15"/>
      <c r="D1566" s="15"/>
      <c r="E1566" s="15"/>
      <c r="F1566" s="55" t="s">
        <v>271</v>
      </c>
      <c r="G1566" s="15">
        <v>610</v>
      </c>
      <c r="H1566" s="15" t="s">
        <v>136</v>
      </c>
      <c r="I1566" s="52">
        <f>24102-2230</f>
        <v>21872</v>
      </c>
      <c r="J1566" s="52">
        <v>630</v>
      </c>
      <c r="K1566" s="52">
        <f t="shared" si="296"/>
        <v>22502</v>
      </c>
      <c r="L1566" s="126"/>
      <c r="M1566" s="52"/>
      <c r="N1566" s="52"/>
      <c r="O1566" s="52">
        <f t="shared" si="297"/>
        <v>0</v>
      </c>
      <c r="P1566" s="126"/>
      <c r="Q1566" s="52">
        <f t="shared" si="305"/>
        <v>21872</v>
      </c>
      <c r="R1566" s="52">
        <f t="shared" si="306"/>
        <v>630</v>
      </c>
      <c r="S1566" s="52">
        <f t="shared" si="307"/>
        <v>22502</v>
      </c>
    </row>
    <row r="1567" spans="2:19" x14ac:dyDescent="0.2">
      <c r="B1567" s="79">
        <f t="shared" si="298"/>
        <v>820</v>
      </c>
      <c r="C1567" s="15"/>
      <c r="D1567" s="15"/>
      <c r="E1567" s="15"/>
      <c r="F1567" s="55" t="s">
        <v>271</v>
      </c>
      <c r="G1567" s="15">
        <v>620</v>
      </c>
      <c r="H1567" s="15" t="s">
        <v>131</v>
      </c>
      <c r="I1567" s="52">
        <f>8730-770</f>
        <v>7960</v>
      </c>
      <c r="J1567" s="52">
        <v>-630</v>
      </c>
      <c r="K1567" s="52">
        <f t="shared" si="296"/>
        <v>7330</v>
      </c>
      <c r="L1567" s="126"/>
      <c r="M1567" s="52"/>
      <c r="N1567" s="52"/>
      <c r="O1567" s="52">
        <f t="shared" si="297"/>
        <v>0</v>
      </c>
      <c r="P1567" s="126"/>
      <c r="Q1567" s="52">
        <f t="shared" si="305"/>
        <v>7960</v>
      </c>
      <c r="R1567" s="52">
        <f t="shared" si="306"/>
        <v>-630</v>
      </c>
      <c r="S1567" s="52">
        <f t="shared" si="307"/>
        <v>7330</v>
      </c>
    </row>
    <row r="1568" spans="2:19" x14ac:dyDescent="0.2">
      <c r="B1568" s="79">
        <f t="shared" si="298"/>
        <v>821</v>
      </c>
      <c r="C1568" s="15"/>
      <c r="D1568" s="15"/>
      <c r="E1568" s="15"/>
      <c r="F1568" s="55" t="s">
        <v>271</v>
      </c>
      <c r="G1568" s="15">
        <v>630</v>
      </c>
      <c r="H1568" s="15" t="s">
        <v>128</v>
      </c>
      <c r="I1568" s="52">
        <f>I1573+I1572+I1571+I1570+I1569</f>
        <v>11898</v>
      </c>
      <c r="J1568" s="52">
        <f>J1573+J1572+J1571+J1570+J1569</f>
        <v>62</v>
      </c>
      <c r="K1568" s="52">
        <f t="shared" si="296"/>
        <v>11960</v>
      </c>
      <c r="L1568" s="126"/>
      <c r="M1568" s="52">
        <f>M1573+M1572+M1571+M1570+M1569</f>
        <v>0</v>
      </c>
      <c r="N1568" s="52">
        <f>N1573+N1572+N1571+N1570+N1569</f>
        <v>0</v>
      </c>
      <c r="O1568" s="52">
        <f t="shared" si="297"/>
        <v>0</v>
      </c>
      <c r="P1568" s="126"/>
      <c r="Q1568" s="52">
        <f t="shared" si="305"/>
        <v>11898</v>
      </c>
      <c r="R1568" s="52">
        <f t="shared" si="306"/>
        <v>62</v>
      </c>
      <c r="S1568" s="52">
        <f t="shared" si="307"/>
        <v>11960</v>
      </c>
    </row>
    <row r="1569" spans="2:19" x14ac:dyDescent="0.2">
      <c r="B1569" s="79">
        <f t="shared" si="298"/>
        <v>822</v>
      </c>
      <c r="C1569" s="4"/>
      <c r="D1569" s="4"/>
      <c r="E1569" s="4"/>
      <c r="F1569" s="56" t="s">
        <v>271</v>
      </c>
      <c r="G1569" s="4">
        <v>631</v>
      </c>
      <c r="H1569" s="4" t="s">
        <v>134</v>
      </c>
      <c r="I1569" s="26">
        <v>51</v>
      </c>
      <c r="J1569" s="26">
        <v>-51</v>
      </c>
      <c r="K1569" s="26">
        <f t="shared" si="296"/>
        <v>0</v>
      </c>
      <c r="L1569" s="80"/>
      <c r="M1569" s="26"/>
      <c r="N1569" s="26"/>
      <c r="O1569" s="26">
        <f t="shared" si="297"/>
        <v>0</v>
      </c>
      <c r="P1569" s="80"/>
      <c r="Q1569" s="26">
        <f t="shared" si="305"/>
        <v>51</v>
      </c>
      <c r="R1569" s="26">
        <f t="shared" si="306"/>
        <v>-51</v>
      </c>
      <c r="S1569" s="26">
        <f t="shared" si="307"/>
        <v>0</v>
      </c>
    </row>
    <row r="1570" spans="2:19" x14ac:dyDescent="0.2">
      <c r="B1570" s="79">
        <f t="shared" si="298"/>
        <v>823</v>
      </c>
      <c r="C1570" s="4"/>
      <c r="D1570" s="4"/>
      <c r="E1570" s="4"/>
      <c r="F1570" s="56" t="s">
        <v>271</v>
      </c>
      <c r="G1570" s="4">
        <v>632</v>
      </c>
      <c r="H1570" s="4" t="s">
        <v>139</v>
      </c>
      <c r="I1570" s="26">
        <v>2675</v>
      </c>
      <c r="J1570" s="26">
        <v>2000</v>
      </c>
      <c r="K1570" s="26">
        <f t="shared" si="296"/>
        <v>4675</v>
      </c>
      <c r="L1570" s="80"/>
      <c r="M1570" s="26"/>
      <c r="N1570" s="26"/>
      <c r="O1570" s="26">
        <f t="shared" si="297"/>
        <v>0</v>
      </c>
      <c r="P1570" s="80"/>
      <c r="Q1570" s="26">
        <f t="shared" si="305"/>
        <v>2675</v>
      </c>
      <c r="R1570" s="26">
        <f t="shared" si="306"/>
        <v>2000</v>
      </c>
      <c r="S1570" s="26">
        <f t="shared" si="307"/>
        <v>4675</v>
      </c>
    </row>
    <row r="1571" spans="2:19" x14ac:dyDescent="0.2">
      <c r="B1571" s="79">
        <f t="shared" si="298"/>
        <v>824</v>
      </c>
      <c r="C1571" s="4"/>
      <c r="D1571" s="4"/>
      <c r="E1571" s="4"/>
      <c r="F1571" s="56" t="s">
        <v>271</v>
      </c>
      <c r="G1571" s="4">
        <v>633</v>
      </c>
      <c r="H1571" s="4" t="s">
        <v>132</v>
      </c>
      <c r="I1571" s="26">
        <f>3754+512+3000</f>
        <v>7266</v>
      </c>
      <c r="J1571" s="26">
        <v>-2568</v>
      </c>
      <c r="K1571" s="26">
        <f t="shared" si="296"/>
        <v>4698</v>
      </c>
      <c r="L1571" s="80"/>
      <c r="M1571" s="26"/>
      <c r="N1571" s="26"/>
      <c r="O1571" s="26">
        <f t="shared" si="297"/>
        <v>0</v>
      </c>
      <c r="P1571" s="80"/>
      <c r="Q1571" s="26">
        <f t="shared" si="305"/>
        <v>7266</v>
      </c>
      <c r="R1571" s="26">
        <f t="shared" si="306"/>
        <v>-2568</v>
      </c>
      <c r="S1571" s="26">
        <f t="shared" si="307"/>
        <v>4698</v>
      </c>
    </row>
    <row r="1572" spans="2:19" x14ac:dyDescent="0.2">
      <c r="B1572" s="79">
        <f t="shared" si="298"/>
        <v>825</v>
      </c>
      <c r="C1572" s="4"/>
      <c r="D1572" s="4"/>
      <c r="E1572" s="4"/>
      <c r="F1572" s="56" t="s">
        <v>271</v>
      </c>
      <c r="G1572" s="4">
        <v>635</v>
      </c>
      <c r="H1572" s="4" t="s">
        <v>138</v>
      </c>
      <c r="I1572" s="26">
        <v>82</v>
      </c>
      <c r="J1572" s="26"/>
      <c r="K1572" s="26">
        <f t="shared" si="296"/>
        <v>82</v>
      </c>
      <c r="L1572" s="80"/>
      <c r="M1572" s="26"/>
      <c r="N1572" s="26"/>
      <c r="O1572" s="26">
        <f t="shared" si="297"/>
        <v>0</v>
      </c>
      <c r="P1572" s="80"/>
      <c r="Q1572" s="26">
        <f t="shared" si="305"/>
        <v>82</v>
      </c>
      <c r="R1572" s="26">
        <f t="shared" si="306"/>
        <v>0</v>
      </c>
      <c r="S1572" s="26">
        <f t="shared" si="307"/>
        <v>82</v>
      </c>
    </row>
    <row r="1573" spans="2:19" x14ac:dyDescent="0.2">
      <c r="B1573" s="79">
        <f t="shared" si="298"/>
        <v>826</v>
      </c>
      <c r="C1573" s="4"/>
      <c r="D1573" s="4"/>
      <c r="E1573" s="4"/>
      <c r="F1573" s="56" t="s">
        <v>271</v>
      </c>
      <c r="G1573" s="4">
        <v>637</v>
      </c>
      <c r="H1573" s="4" t="s">
        <v>129</v>
      </c>
      <c r="I1573" s="26">
        <v>1824</v>
      </c>
      <c r="J1573" s="26">
        <v>681</v>
      </c>
      <c r="K1573" s="26">
        <f t="shared" si="296"/>
        <v>2505</v>
      </c>
      <c r="L1573" s="80"/>
      <c r="M1573" s="26"/>
      <c r="N1573" s="26"/>
      <c r="O1573" s="26">
        <f t="shared" si="297"/>
        <v>0</v>
      </c>
      <c r="P1573" s="80"/>
      <c r="Q1573" s="26">
        <f t="shared" si="305"/>
        <v>1824</v>
      </c>
      <c r="R1573" s="26">
        <f t="shared" si="306"/>
        <v>681</v>
      </c>
      <c r="S1573" s="26">
        <f t="shared" si="307"/>
        <v>2505</v>
      </c>
    </row>
    <row r="1574" spans="2:19" x14ac:dyDescent="0.2">
      <c r="B1574" s="79">
        <f t="shared" si="298"/>
        <v>827</v>
      </c>
      <c r="C1574" s="15"/>
      <c r="D1574" s="15"/>
      <c r="E1574" s="15"/>
      <c r="F1574" s="55" t="s">
        <v>271</v>
      </c>
      <c r="G1574" s="15">
        <v>640</v>
      </c>
      <c r="H1574" s="15" t="s">
        <v>135</v>
      </c>
      <c r="I1574" s="52">
        <v>30</v>
      </c>
      <c r="J1574" s="52">
        <v>-30</v>
      </c>
      <c r="K1574" s="52">
        <f t="shared" si="296"/>
        <v>0</v>
      </c>
      <c r="L1574" s="126"/>
      <c r="M1574" s="52"/>
      <c r="N1574" s="52"/>
      <c r="O1574" s="52">
        <f t="shared" si="297"/>
        <v>0</v>
      </c>
      <c r="P1574" s="126"/>
      <c r="Q1574" s="52">
        <f t="shared" si="305"/>
        <v>30</v>
      </c>
      <c r="R1574" s="52">
        <f t="shared" si="306"/>
        <v>-30</v>
      </c>
      <c r="S1574" s="52">
        <f t="shared" si="307"/>
        <v>0</v>
      </c>
    </row>
    <row r="1575" spans="2:19" ht="15" x14ac:dyDescent="0.2">
      <c r="B1575" s="79">
        <f t="shared" si="298"/>
        <v>828</v>
      </c>
      <c r="C1575" s="191">
        <v>5</v>
      </c>
      <c r="D1575" s="245" t="s">
        <v>127</v>
      </c>
      <c r="E1575" s="246"/>
      <c r="F1575" s="246"/>
      <c r="G1575" s="246"/>
      <c r="H1575" s="247"/>
      <c r="I1575" s="48">
        <f>I1576+I1579+I1585+I1597</f>
        <v>274779</v>
      </c>
      <c r="J1575" s="48">
        <f>J1576+J1579+J1585+J1597</f>
        <v>11826</v>
      </c>
      <c r="K1575" s="48">
        <f t="shared" si="296"/>
        <v>286605</v>
      </c>
      <c r="L1575" s="201"/>
      <c r="M1575" s="48">
        <f>M1576+M1579+M1585+M1597</f>
        <v>0</v>
      </c>
      <c r="N1575" s="48">
        <f>N1576+N1579+N1585+N1597</f>
        <v>0</v>
      </c>
      <c r="O1575" s="48">
        <f t="shared" si="297"/>
        <v>0</v>
      </c>
      <c r="P1575" s="201"/>
      <c r="Q1575" s="48">
        <f t="shared" si="305"/>
        <v>274779</v>
      </c>
      <c r="R1575" s="48">
        <f t="shared" si="306"/>
        <v>11826</v>
      </c>
      <c r="S1575" s="48">
        <f t="shared" si="307"/>
        <v>286605</v>
      </c>
    </row>
    <row r="1576" spans="2:19" x14ac:dyDescent="0.2">
      <c r="B1576" s="79">
        <f t="shared" si="298"/>
        <v>829</v>
      </c>
      <c r="C1576" s="14"/>
      <c r="D1576" s="14"/>
      <c r="E1576" s="14"/>
      <c r="F1576" s="54"/>
      <c r="G1576" s="14"/>
      <c r="H1576" s="14" t="s">
        <v>339</v>
      </c>
      <c r="I1576" s="51">
        <f>I1577</f>
        <v>3150</v>
      </c>
      <c r="J1576" s="51">
        <f>J1577</f>
        <v>0</v>
      </c>
      <c r="K1576" s="51">
        <f t="shared" si="296"/>
        <v>3150</v>
      </c>
      <c r="L1576" s="126"/>
      <c r="M1576" s="51">
        <f>M1577</f>
        <v>0</v>
      </c>
      <c r="N1576" s="51">
        <f>N1577</f>
        <v>0</v>
      </c>
      <c r="O1576" s="51">
        <f t="shared" si="297"/>
        <v>0</v>
      </c>
      <c r="P1576" s="126"/>
      <c r="Q1576" s="51">
        <f t="shared" si="305"/>
        <v>3150</v>
      </c>
      <c r="R1576" s="51">
        <f t="shared" si="306"/>
        <v>0</v>
      </c>
      <c r="S1576" s="51">
        <f t="shared" si="307"/>
        <v>3150</v>
      </c>
    </row>
    <row r="1577" spans="2:19" x14ac:dyDescent="0.2">
      <c r="B1577" s="79">
        <f t="shared" si="298"/>
        <v>830</v>
      </c>
      <c r="C1577" s="15"/>
      <c r="D1577" s="15"/>
      <c r="E1577" s="15"/>
      <c r="F1577" s="55" t="s">
        <v>126</v>
      </c>
      <c r="G1577" s="15">
        <v>630</v>
      </c>
      <c r="H1577" s="15" t="s">
        <v>128</v>
      </c>
      <c r="I1577" s="52">
        <f>I1578</f>
        <v>3150</v>
      </c>
      <c r="J1577" s="52">
        <f>J1578</f>
        <v>0</v>
      </c>
      <c r="K1577" s="52">
        <f t="shared" si="296"/>
        <v>3150</v>
      </c>
      <c r="L1577" s="126"/>
      <c r="M1577" s="52">
        <f>M1578</f>
        <v>0</v>
      </c>
      <c r="N1577" s="52">
        <f>N1578</f>
        <v>0</v>
      </c>
      <c r="O1577" s="52">
        <f t="shared" si="297"/>
        <v>0</v>
      </c>
      <c r="P1577" s="126"/>
      <c r="Q1577" s="52">
        <f t="shared" si="305"/>
        <v>3150</v>
      </c>
      <c r="R1577" s="52">
        <f t="shared" si="306"/>
        <v>0</v>
      </c>
      <c r="S1577" s="52">
        <f t="shared" si="307"/>
        <v>3150</v>
      </c>
    </row>
    <row r="1578" spans="2:19" x14ac:dyDescent="0.2">
      <c r="B1578" s="79">
        <f t="shared" si="298"/>
        <v>831</v>
      </c>
      <c r="C1578" s="4"/>
      <c r="D1578" s="4"/>
      <c r="E1578" s="4"/>
      <c r="F1578" s="56" t="s">
        <v>126</v>
      </c>
      <c r="G1578" s="4">
        <v>633</v>
      </c>
      <c r="H1578" s="4" t="s">
        <v>132</v>
      </c>
      <c r="I1578" s="26">
        <v>3150</v>
      </c>
      <c r="J1578" s="26"/>
      <c r="K1578" s="26">
        <f t="shared" si="296"/>
        <v>3150</v>
      </c>
      <c r="L1578" s="80"/>
      <c r="M1578" s="26"/>
      <c r="N1578" s="26"/>
      <c r="O1578" s="26">
        <f t="shared" si="297"/>
        <v>0</v>
      </c>
      <c r="P1578" s="80"/>
      <c r="Q1578" s="26">
        <f t="shared" si="305"/>
        <v>3150</v>
      </c>
      <c r="R1578" s="26">
        <f t="shared" si="306"/>
        <v>0</v>
      </c>
      <c r="S1578" s="26">
        <f t="shared" si="307"/>
        <v>3150</v>
      </c>
    </row>
    <row r="1579" spans="2:19" x14ac:dyDescent="0.2">
      <c r="B1579" s="79">
        <f t="shared" si="298"/>
        <v>832</v>
      </c>
      <c r="C1579" s="14"/>
      <c r="D1579" s="14"/>
      <c r="E1579" s="14"/>
      <c r="F1579" s="54"/>
      <c r="G1579" s="14"/>
      <c r="H1579" s="14" t="s">
        <v>340</v>
      </c>
      <c r="I1579" s="51">
        <f>I1580</f>
        <v>22000</v>
      </c>
      <c r="J1579" s="51">
        <f>J1580</f>
        <v>0</v>
      </c>
      <c r="K1579" s="51">
        <f t="shared" si="296"/>
        <v>22000</v>
      </c>
      <c r="L1579" s="126"/>
      <c r="M1579" s="51">
        <f>M1580</f>
        <v>0</v>
      </c>
      <c r="N1579" s="51">
        <f>N1580</f>
        <v>0</v>
      </c>
      <c r="O1579" s="51">
        <f t="shared" si="297"/>
        <v>0</v>
      </c>
      <c r="P1579" s="126"/>
      <c r="Q1579" s="51">
        <f t="shared" si="305"/>
        <v>22000</v>
      </c>
      <c r="R1579" s="51">
        <f t="shared" si="306"/>
        <v>0</v>
      </c>
      <c r="S1579" s="51">
        <f t="shared" si="307"/>
        <v>22000</v>
      </c>
    </row>
    <row r="1580" spans="2:19" x14ac:dyDescent="0.2">
      <c r="B1580" s="79">
        <f t="shared" si="298"/>
        <v>833</v>
      </c>
      <c r="C1580" s="15"/>
      <c r="D1580" s="15"/>
      <c r="E1580" s="15"/>
      <c r="F1580" s="55" t="s">
        <v>126</v>
      </c>
      <c r="G1580" s="15">
        <v>640</v>
      </c>
      <c r="H1580" s="15" t="s">
        <v>135</v>
      </c>
      <c r="I1580" s="52">
        <f>6000+I1582+I1583+I1584</f>
        <v>22000</v>
      </c>
      <c r="J1580" s="52"/>
      <c r="K1580" s="52">
        <f t="shared" si="296"/>
        <v>22000</v>
      </c>
      <c r="L1580" s="126"/>
      <c r="M1580" s="52"/>
      <c r="N1580" s="52"/>
      <c r="O1580" s="52">
        <f t="shared" si="297"/>
        <v>0</v>
      </c>
      <c r="P1580" s="126"/>
      <c r="Q1580" s="52">
        <f t="shared" si="305"/>
        <v>22000</v>
      </c>
      <c r="R1580" s="52">
        <f t="shared" si="306"/>
        <v>0</v>
      </c>
      <c r="S1580" s="52">
        <f t="shared" si="307"/>
        <v>22000</v>
      </c>
    </row>
    <row r="1581" spans="2:19" x14ac:dyDescent="0.2">
      <c r="B1581" s="79">
        <f t="shared" si="298"/>
        <v>834</v>
      </c>
      <c r="C1581" s="15"/>
      <c r="D1581" s="15"/>
      <c r="E1581" s="15"/>
      <c r="F1581" s="55"/>
      <c r="G1581" s="64">
        <v>640</v>
      </c>
      <c r="H1581" s="64" t="s">
        <v>340</v>
      </c>
      <c r="I1581" s="62">
        <v>6000</v>
      </c>
      <c r="J1581" s="62"/>
      <c r="K1581" s="62">
        <f t="shared" si="296"/>
        <v>6000</v>
      </c>
      <c r="L1581" s="80"/>
      <c r="M1581" s="52"/>
      <c r="N1581" s="52"/>
      <c r="O1581" s="52">
        <f t="shared" si="297"/>
        <v>0</v>
      </c>
      <c r="P1581" s="126"/>
      <c r="Q1581" s="62">
        <f t="shared" si="305"/>
        <v>6000</v>
      </c>
      <c r="R1581" s="62">
        <f t="shared" si="306"/>
        <v>0</v>
      </c>
      <c r="S1581" s="62">
        <f t="shared" si="307"/>
        <v>6000</v>
      </c>
    </row>
    <row r="1582" spans="2:19" x14ac:dyDescent="0.2">
      <c r="B1582" s="79">
        <f t="shared" si="298"/>
        <v>835</v>
      </c>
      <c r="C1582" s="15"/>
      <c r="D1582" s="15"/>
      <c r="E1582" s="15"/>
      <c r="F1582" s="55"/>
      <c r="G1582" s="64">
        <v>640</v>
      </c>
      <c r="H1582" s="64" t="s">
        <v>744</v>
      </c>
      <c r="I1582" s="62">
        <v>7000</v>
      </c>
      <c r="J1582" s="62"/>
      <c r="K1582" s="62">
        <f t="shared" si="296"/>
        <v>7000</v>
      </c>
      <c r="L1582" s="80"/>
      <c r="M1582" s="52"/>
      <c r="N1582" s="52"/>
      <c r="O1582" s="52">
        <f t="shared" si="297"/>
        <v>0</v>
      </c>
      <c r="P1582" s="126"/>
      <c r="Q1582" s="62">
        <f t="shared" si="305"/>
        <v>7000</v>
      </c>
      <c r="R1582" s="62">
        <f t="shared" si="306"/>
        <v>0</v>
      </c>
      <c r="S1582" s="62">
        <f t="shared" si="307"/>
        <v>7000</v>
      </c>
    </row>
    <row r="1583" spans="2:19" ht="24" x14ac:dyDescent="0.2">
      <c r="B1583" s="79">
        <f t="shared" si="298"/>
        <v>836</v>
      </c>
      <c r="C1583" s="15"/>
      <c r="D1583" s="15"/>
      <c r="E1583" s="15"/>
      <c r="F1583" s="55"/>
      <c r="G1583" s="88">
        <v>640</v>
      </c>
      <c r="H1583" s="93" t="s">
        <v>745</v>
      </c>
      <c r="I1583" s="62">
        <v>7000</v>
      </c>
      <c r="J1583" s="62"/>
      <c r="K1583" s="62">
        <f t="shared" si="296"/>
        <v>7000</v>
      </c>
      <c r="L1583" s="80"/>
      <c r="M1583" s="52"/>
      <c r="N1583" s="52"/>
      <c r="O1583" s="52">
        <f t="shared" si="297"/>
        <v>0</v>
      </c>
      <c r="P1583" s="126"/>
      <c r="Q1583" s="62">
        <f t="shared" si="305"/>
        <v>7000</v>
      </c>
      <c r="R1583" s="62">
        <f t="shared" si="306"/>
        <v>0</v>
      </c>
      <c r="S1583" s="62">
        <f t="shared" si="307"/>
        <v>7000</v>
      </c>
    </row>
    <row r="1584" spans="2:19" x14ac:dyDescent="0.2">
      <c r="B1584" s="79">
        <f t="shared" si="298"/>
        <v>837</v>
      </c>
      <c r="C1584" s="15"/>
      <c r="D1584" s="15"/>
      <c r="E1584" s="15"/>
      <c r="F1584" s="55"/>
      <c r="G1584" s="64">
        <v>640</v>
      </c>
      <c r="H1584" s="64" t="s">
        <v>746</v>
      </c>
      <c r="I1584" s="62">
        <v>2000</v>
      </c>
      <c r="J1584" s="62"/>
      <c r="K1584" s="62">
        <f t="shared" si="296"/>
        <v>2000</v>
      </c>
      <c r="L1584" s="80"/>
      <c r="M1584" s="52"/>
      <c r="N1584" s="52"/>
      <c r="O1584" s="52">
        <f t="shared" si="297"/>
        <v>0</v>
      </c>
      <c r="P1584" s="126"/>
      <c r="Q1584" s="62">
        <f t="shared" si="305"/>
        <v>2000</v>
      </c>
      <c r="R1584" s="62">
        <f t="shared" si="306"/>
        <v>0</v>
      </c>
      <c r="S1584" s="62">
        <f t="shared" si="307"/>
        <v>2000</v>
      </c>
    </row>
    <row r="1585" spans="2:19" x14ac:dyDescent="0.2">
      <c r="B1585" s="79">
        <f t="shared" si="298"/>
        <v>838</v>
      </c>
      <c r="C1585" s="14"/>
      <c r="D1585" s="14"/>
      <c r="E1585" s="14"/>
      <c r="F1585" s="54"/>
      <c r="G1585" s="14"/>
      <c r="H1585" s="14" t="s">
        <v>130</v>
      </c>
      <c r="I1585" s="51">
        <f>I1586+I1587+I1588+I1596</f>
        <v>42472</v>
      </c>
      <c r="J1585" s="51">
        <f>J1586+J1587+J1588+J1596</f>
        <v>0</v>
      </c>
      <c r="K1585" s="51">
        <f t="shared" si="296"/>
        <v>42472</v>
      </c>
      <c r="L1585" s="126"/>
      <c r="M1585" s="51">
        <f>M1586+M1587+M1588+M1596</f>
        <v>0</v>
      </c>
      <c r="N1585" s="51">
        <f>N1586+N1587+N1588+N1596</f>
        <v>0</v>
      </c>
      <c r="O1585" s="51">
        <f t="shared" si="297"/>
        <v>0</v>
      </c>
      <c r="P1585" s="126"/>
      <c r="Q1585" s="51">
        <f t="shared" si="305"/>
        <v>42472</v>
      </c>
      <c r="R1585" s="51">
        <f t="shared" si="306"/>
        <v>0</v>
      </c>
      <c r="S1585" s="51">
        <f t="shared" si="307"/>
        <v>42472</v>
      </c>
    </row>
    <row r="1586" spans="2:19" x14ac:dyDescent="0.2">
      <c r="B1586" s="79">
        <f t="shared" si="298"/>
        <v>839</v>
      </c>
      <c r="C1586" s="15"/>
      <c r="D1586" s="15"/>
      <c r="E1586" s="15"/>
      <c r="F1586" s="55" t="s">
        <v>277</v>
      </c>
      <c r="G1586" s="15">
        <v>610</v>
      </c>
      <c r="H1586" s="15" t="s">
        <v>136</v>
      </c>
      <c r="I1586" s="52">
        <f>24300+2203</f>
        <v>26503</v>
      </c>
      <c r="J1586" s="52">
        <v>353</v>
      </c>
      <c r="K1586" s="52">
        <f t="shared" si="296"/>
        <v>26856</v>
      </c>
      <c r="L1586" s="126"/>
      <c r="M1586" s="52"/>
      <c r="N1586" s="52"/>
      <c r="O1586" s="52">
        <f t="shared" si="297"/>
        <v>0</v>
      </c>
      <c r="P1586" s="126"/>
      <c r="Q1586" s="52">
        <f t="shared" si="305"/>
        <v>26503</v>
      </c>
      <c r="R1586" s="52">
        <f t="shared" si="306"/>
        <v>353</v>
      </c>
      <c r="S1586" s="52">
        <f t="shared" si="307"/>
        <v>26856</v>
      </c>
    </row>
    <row r="1587" spans="2:19" x14ac:dyDescent="0.2">
      <c r="B1587" s="79">
        <f t="shared" si="298"/>
        <v>840</v>
      </c>
      <c r="C1587" s="15"/>
      <c r="D1587" s="15"/>
      <c r="E1587" s="15"/>
      <c r="F1587" s="55" t="s">
        <v>277</v>
      </c>
      <c r="G1587" s="15">
        <v>620</v>
      </c>
      <c r="H1587" s="15" t="s">
        <v>131</v>
      </c>
      <c r="I1587" s="52">
        <v>9602</v>
      </c>
      <c r="J1587" s="52">
        <v>865</v>
      </c>
      <c r="K1587" s="52">
        <f t="shared" si="296"/>
        <v>10467</v>
      </c>
      <c r="L1587" s="126"/>
      <c r="M1587" s="52"/>
      <c r="N1587" s="52"/>
      <c r="O1587" s="52">
        <f t="shared" si="297"/>
        <v>0</v>
      </c>
      <c r="P1587" s="126"/>
      <c r="Q1587" s="52">
        <f t="shared" si="305"/>
        <v>9602</v>
      </c>
      <c r="R1587" s="52">
        <f t="shared" si="306"/>
        <v>865</v>
      </c>
      <c r="S1587" s="52">
        <f t="shared" si="307"/>
        <v>10467</v>
      </c>
    </row>
    <row r="1588" spans="2:19" x14ac:dyDescent="0.2">
      <c r="B1588" s="79">
        <f t="shared" si="298"/>
        <v>841</v>
      </c>
      <c r="C1588" s="15"/>
      <c r="D1588" s="15"/>
      <c r="E1588" s="15"/>
      <c r="F1588" s="55" t="s">
        <v>277</v>
      </c>
      <c r="G1588" s="15">
        <v>630</v>
      </c>
      <c r="H1588" s="15" t="s">
        <v>128</v>
      </c>
      <c r="I1588" s="52">
        <f>I1593+I1592+I1591+I1590+I1589+I1594+I1595</f>
        <v>4567</v>
      </c>
      <c r="J1588" s="52">
        <f>J1593+J1592+J1591+J1590+J1589+J1594+J1595</f>
        <v>582</v>
      </c>
      <c r="K1588" s="52">
        <f t="shared" si="296"/>
        <v>5149</v>
      </c>
      <c r="L1588" s="126"/>
      <c r="M1588" s="52">
        <f>M1593+M1592+M1591+M1590+M1589</f>
        <v>0</v>
      </c>
      <c r="N1588" s="52">
        <f>N1593+N1592+N1591+N1590+N1589</f>
        <v>0</v>
      </c>
      <c r="O1588" s="52">
        <f t="shared" si="297"/>
        <v>0</v>
      </c>
      <c r="P1588" s="126"/>
      <c r="Q1588" s="52">
        <f t="shared" si="305"/>
        <v>4567</v>
      </c>
      <c r="R1588" s="52">
        <f t="shared" si="306"/>
        <v>582</v>
      </c>
      <c r="S1588" s="52">
        <f t="shared" si="307"/>
        <v>5149</v>
      </c>
    </row>
    <row r="1589" spans="2:19" x14ac:dyDescent="0.2">
      <c r="B1589" s="79">
        <f t="shared" si="298"/>
        <v>842</v>
      </c>
      <c r="C1589" s="4"/>
      <c r="D1589" s="4"/>
      <c r="E1589" s="4"/>
      <c r="F1589" s="56" t="s">
        <v>277</v>
      </c>
      <c r="G1589" s="4">
        <v>631</v>
      </c>
      <c r="H1589" s="4" t="s">
        <v>134</v>
      </c>
      <c r="I1589" s="26">
        <f>50+120</f>
        <v>170</v>
      </c>
      <c r="J1589" s="26"/>
      <c r="K1589" s="26">
        <f t="shared" si="296"/>
        <v>170</v>
      </c>
      <c r="L1589" s="80"/>
      <c r="M1589" s="26"/>
      <c r="N1589" s="26"/>
      <c r="O1589" s="26">
        <f t="shared" si="297"/>
        <v>0</v>
      </c>
      <c r="P1589" s="80"/>
      <c r="Q1589" s="26">
        <f t="shared" si="305"/>
        <v>170</v>
      </c>
      <c r="R1589" s="26">
        <f t="shared" si="306"/>
        <v>0</v>
      </c>
      <c r="S1589" s="26">
        <f t="shared" si="307"/>
        <v>170</v>
      </c>
    </row>
    <row r="1590" spans="2:19" x14ac:dyDescent="0.2">
      <c r="B1590" s="79">
        <f t="shared" si="298"/>
        <v>843</v>
      </c>
      <c r="C1590" s="4"/>
      <c r="D1590" s="4"/>
      <c r="E1590" s="4"/>
      <c r="F1590" s="56" t="s">
        <v>277</v>
      </c>
      <c r="G1590" s="4">
        <v>632</v>
      </c>
      <c r="H1590" s="4" t="s">
        <v>139</v>
      </c>
      <c r="I1590" s="26">
        <v>400</v>
      </c>
      <c r="J1590" s="26"/>
      <c r="K1590" s="26">
        <f t="shared" si="296"/>
        <v>400</v>
      </c>
      <c r="L1590" s="80"/>
      <c r="M1590" s="26"/>
      <c r="N1590" s="26"/>
      <c r="O1590" s="26">
        <f t="shared" si="297"/>
        <v>0</v>
      </c>
      <c r="P1590" s="80"/>
      <c r="Q1590" s="26">
        <f t="shared" si="305"/>
        <v>400</v>
      </c>
      <c r="R1590" s="26">
        <f t="shared" si="306"/>
        <v>0</v>
      </c>
      <c r="S1590" s="26">
        <f t="shared" si="307"/>
        <v>400</v>
      </c>
    </row>
    <row r="1591" spans="2:19" x14ac:dyDescent="0.2">
      <c r="B1591" s="79">
        <f t="shared" si="298"/>
        <v>844</v>
      </c>
      <c r="C1591" s="4"/>
      <c r="D1591" s="4"/>
      <c r="E1591" s="4"/>
      <c r="F1591" s="56" t="s">
        <v>277</v>
      </c>
      <c r="G1591" s="4">
        <v>633</v>
      </c>
      <c r="H1591" s="4" t="s">
        <v>132</v>
      </c>
      <c r="I1591" s="26">
        <f>3920-3150</f>
        <v>770</v>
      </c>
      <c r="J1591" s="26">
        <v>582</v>
      </c>
      <c r="K1591" s="26">
        <f t="shared" si="296"/>
        <v>1352</v>
      </c>
      <c r="L1591" s="80"/>
      <c r="M1591" s="26"/>
      <c r="N1591" s="26"/>
      <c r="O1591" s="26">
        <f t="shared" si="297"/>
        <v>0</v>
      </c>
      <c r="P1591" s="80"/>
      <c r="Q1591" s="26">
        <f t="shared" si="305"/>
        <v>770</v>
      </c>
      <c r="R1591" s="26">
        <f t="shared" si="306"/>
        <v>582</v>
      </c>
      <c r="S1591" s="26">
        <f t="shared" si="307"/>
        <v>1352</v>
      </c>
    </row>
    <row r="1592" spans="2:19" x14ac:dyDescent="0.2">
      <c r="B1592" s="79">
        <f t="shared" si="298"/>
        <v>845</v>
      </c>
      <c r="C1592" s="4"/>
      <c r="D1592" s="4"/>
      <c r="E1592" s="4"/>
      <c r="F1592" s="56" t="s">
        <v>277</v>
      </c>
      <c r="G1592" s="4">
        <v>635</v>
      </c>
      <c r="H1592" s="4" t="s">
        <v>138</v>
      </c>
      <c r="I1592" s="26">
        <f>303-120</f>
        <v>183</v>
      </c>
      <c r="J1592" s="26"/>
      <c r="K1592" s="26">
        <f t="shared" si="296"/>
        <v>183</v>
      </c>
      <c r="L1592" s="80"/>
      <c r="M1592" s="26"/>
      <c r="N1592" s="26"/>
      <c r="O1592" s="26">
        <f t="shared" si="297"/>
        <v>0</v>
      </c>
      <c r="P1592" s="80"/>
      <c r="Q1592" s="26">
        <f t="shared" si="305"/>
        <v>183</v>
      </c>
      <c r="R1592" s="26">
        <f t="shared" si="306"/>
        <v>0</v>
      </c>
      <c r="S1592" s="26">
        <f t="shared" si="307"/>
        <v>183</v>
      </c>
    </row>
    <row r="1593" spans="2:19" x14ac:dyDescent="0.2">
      <c r="B1593" s="79">
        <f t="shared" si="298"/>
        <v>846</v>
      </c>
      <c r="C1593" s="4"/>
      <c r="D1593" s="4"/>
      <c r="E1593" s="4"/>
      <c r="F1593" s="56" t="s">
        <v>277</v>
      </c>
      <c r="G1593" s="4">
        <v>637</v>
      </c>
      <c r="H1593" s="4" t="s">
        <v>129</v>
      </c>
      <c r="I1593" s="26">
        <v>1580</v>
      </c>
      <c r="J1593" s="26"/>
      <c r="K1593" s="26">
        <f t="shared" si="296"/>
        <v>1580</v>
      </c>
      <c r="L1593" s="80"/>
      <c r="M1593" s="26"/>
      <c r="N1593" s="26"/>
      <c r="O1593" s="26">
        <f t="shared" si="297"/>
        <v>0</v>
      </c>
      <c r="P1593" s="80"/>
      <c r="Q1593" s="26">
        <f t="shared" si="305"/>
        <v>1580</v>
      </c>
      <c r="R1593" s="26">
        <f t="shared" si="306"/>
        <v>0</v>
      </c>
      <c r="S1593" s="26">
        <f t="shared" si="307"/>
        <v>1580</v>
      </c>
    </row>
    <row r="1594" spans="2:19" x14ac:dyDescent="0.2">
      <c r="B1594" s="79">
        <f t="shared" si="298"/>
        <v>847</v>
      </c>
      <c r="C1594" s="4"/>
      <c r="D1594" s="4"/>
      <c r="E1594" s="4"/>
      <c r="F1594" s="56" t="s">
        <v>277</v>
      </c>
      <c r="G1594" s="4">
        <v>630</v>
      </c>
      <c r="H1594" s="4" t="s">
        <v>612</v>
      </c>
      <c r="I1594" s="26">
        <v>1178</v>
      </c>
      <c r="J1594" s="26"/>
      <c r="K1594" s="26">
        <f t="shared" si="296"/>
        <v>1178</v>
      </c>
      <c r="L1594" s="80"/>
      <c r="M1594" s="26"/>
      <c r="N1594" s="26"/>
      <c r="O1594" s="26">
        <f t="shared" si="297"/>
        <v>0</v>
      </c>
      <c r="P1594" s="80"/>
      <c r="Q1594" s="26">
        <f t="shared" si="305"/>
        <v>1178</v>
      </c>
      <c r="R1594" s="26">
        <f t="shared" si="306"/>
        <v>0</v>
      </c>
      <c r="S1594" s="26">
        <f t="shared" si="307"/>
        <v>1178</v>
      </c>
    </row>
    <row r="1595" spans="2:19" x14ac:dyDescent="0.2">
      <c r="B1595" s="79">
        <f t="shared" si="298"/>
        <v>848</v>
      </c>
      <c r="C1595" s="4"/>
      <c r="D1595" s="4"/>
      <c r="E1595" s="4"/>
      <c r="F1595" s="56" t="s">
        <v>277</v>
      </c>
      <c r="G1595" s="4">
        <v>630</v>
      </c>
      <c r="H1595" s="4" t="s">
        <v>598</v>
      </c>
      <c r="I1595" s="26">
        <v>286</v>
      </c>
      <c r="J1595" s="26"/>
      <c r="K1595" s="26">
        <f t="shared" si="296"/>
        <v>286</v>
      </c>
      <c r="L1595" s="80"/>
      <c r="M1595" s="26"/>
      <c r="N1595" s="26"/>
      <c r="O1595" s="26">
        <f t="shared" si="297"/>
        <v>0</v>
      </c>
      <c r="P1595" s="80"/>
      <c r="Q1595" s="26">
        <f t="shared" si="305"/>
        <v>286</v>
      </c>
      <c r="R1595" s="26">
        <f t="shared" si="306"/>
        <v>0</v>
      </c>
      <c r="S1595" s="26">
        <f t="shared" si="307"/>
        <v>286</v>
      </c>
    </row>
    <row r="1596" spans="2:19" x14ac:dyDescent="0.2">
      <c r="B1596" s="79">
        <f t="shared" si="298"/>
        <v>849</v>
      </c>
      <c r="C1596" s="15"/>
      <c r="D1596" s="15"/>
      <c r="E1596" s="15"/>
      <c r="F1596" s="55" t="s">
        <v>277</v>
      </c>
      <c r="G1596" s="15">
        <v>640</v>
      </c>
      <c r="H1596" s="15" t="s">
        <v>135</v>
      </c>
      <c r="I1596" s="52">
        <v>1800</v>
      </c>
      <c r="J1596" s="52">
        <v>-1800</v>
      </c>
      <c r="K1596" s="52">
        <f t="shared" si="296"/>
        <v>0</v>
      </c>
      <c r="L1596" s="126"/>
      <c r="M1596" s="52"/>
      <c r="N1596" s="52"/>
      <c r="O1596" s="52">
        <f t="shared" si="297"/>
        <v>0</v>
      </c>
      <c r="P1596" s="126"/>
      <c r="Q1596" s="52">
        <f t="shared" si="305"/>
        <v>1800</v>
      </c>
      <c r="R1596" s="52">
        <f t="shared" si="306"/>
        <v>-1800</v>
      </c>
      <c r="S1596" s="52">
        <f t="shared" si="307"/>
        <v>0</v>
      </c>
    </row>
    <row r="1597" spans="2:19" ht="15" x14ac:dyDescent="0.25">
      <c r="B1597" s="79">
        <f t="shared" si="298"/>
        <v>850</v>
      </c>
      <c r="C1597" s="18"/>
      <c r="D1597" s="18"/>
      <c r="E1597" s="18">
        <v>4</v>
      </c>
      <c r="F1597" s="53"/>
      <c r="G1597" s="18"/>
      <c r="H1597" s="18" t="s">
        <v>85</v>
      </c>
      <c r="I1597" s="50">
        <f>I1598+I1599+I1600+I1608</f>
        <v>207157</v>
      </c>
      <c r="J1597" s="50">
        <f>J1598+J1599+J1600+J1608</f>
        <v>11826</v>
      </c>
      <c r="K1597" s="50">
        <f t="shared" si="296"/>
        <v>218983</v>
      </c>
      <c r="L1597" s="203"/>
      <c r="M1597" s="50">
        <f>M1598+M1599+M1600+M1608</f>
        <v>0</v>
      </c>
      <c r="N1597" s="50">
        <f>N1598+N1599+N1600+N1608</f>
        <v>0</v>
      </c>
      <c r="O1597" s="50">
        <f t="shared" si="297"/>
        <v>0</v>
      </c>
      <c r="P1597" s="203"/>
      <c r="Q1597" s="50">
        <f>Q1598+Q1599+Q1600+Q1608</f>
        <v>207157</v>
      </c>
      <c r="R1597" s="50">
        <f t="shared" ref="R1597:S1597" si="308">R1598+R1599+R1600+R1608</f>
        <v>11826</v>
      </c>
      <c r="S1597" s="50">
        <f t="shared" si="308"/>
        <v>218983</v>
      </c>
    </row>
    <row r="1598" spans="2:19" x14ac:dyDescent="0.2">
      <c r="B1598" s="79">
        <f t="shared" si="298"/>
        <v>851</v>
      </c>
      <c r="C1598" s="15"/>
      <c r="D1598" s="15"/>
      <c r="E1598" s="15"/>
      <c r="F1598" s="55" t="s">
        <v>73</v>
      </c>
      <c r="G1598" s="15">
        <v>610</v>
      </c>
      <c r="H1598" s="15" t="s">
        <v>136</v>
      </c>
      <c r="I1598" s="52">
        <f>118476-26080</f>
        <v>92396</v>
      </c>
      <c r="J1598" s="52">
        <v>-8923</v>
      </c>
      <c r="K1598" s="52">
        <f t="shared" si="296"/>
        <v>83473</v>
      </c>
      <c r="L1598" s="126"/>
      <c r="M1598" s="52"/>
      <c r="N1598" s="52"/>
      <c r="O1598" s="52">
        <f t="shared" si="297"/>
        <v>0</v>
      </c>
      <c r="P1598" s="126"/>
      <c r="Q1598" s="52">
        <f t="shared" ref="Q1598:Q1608" si="309">M1598+I1598</f>
        <v>92396</v>
      </c>
      <c r="R1598" s="52">
        <f t="shared" ref="R1598:R1608" si="310">N1598+J1598</f>
        <v>-8923</v>
      </c>
      <c r="S1598" s="52">
        <f t="shared" ref="S1598:S1608" si="311">O1598+K1598</f>
        <v>83473</v>
      </c>
    </row>
    <row r="1599" spans="2:19" x14ac:dyDescent="0.2">
      <c r="B1599" s="79">
        <f t="shared" si="298"/>
        <v>852</v>
      </c>
      <c r="C1599" s="15"/>
      <c r="D1599" s="15"/>
      <c r="E1599" s="15"/>
      <c r="F1599" s="55" t="s">
        <v>73</v>
      </c>
      <c r="G1599" s="15">
        <v>620</v>
      </c>
      <c r="H1599" s="15" t="s">
        <v>131</v>
      </c>
      <c r="I1599" s="52">
        <f>45321-6970</f>
        <v>38351</v>
      </c>
      <c r="J1599" s="52">
        <v>-3298</v>
      </c>
      <c r="K1599" s="52">
        <f t="shared" si="296"/>
        <v>35053</v>
      </c>
      <c r="L1599" s="126"/>
      <c r="M1599" s="52"/>
      <c r="N1599" s="52"/>
      <c r="O1599" s="52">
        <f t="shared" si="297"/>
        <v>0</v>
      </c>
      <c r="P1599" s="126"/>
      <c r="Q1599" s="52">
        <f t="shared" si="309"/>
        <v>38351</v>
      </c>
      <c r="R1599" s="52">
        <f t="shared" si="310"/>
        <v>-3298</v>
      </c>
      <c r="S1599" s="52">
        <f t="shared" si="311"/>
        <v>35053</v>
      </c>
    </row>
    <row r="1600" spans="2:19" x14ac:dyDescent="0.2">
      <c r="B1600" s="79">
        <f t="shared" si="298"/>
        <v>853</v>
      </c>
      <c r="C1600" s="15"/>
      <c r="D1600" s="15"/>
      <c r="E1600" s="15"/>
      <c r="F1600" s="55" t="s">
        <v>73</v>
      </c>
      <c r="G1600" s="15">
        <v>630</v>
      </c>
      <c r="H1600" s="15" t="s">
        <v>128</v>
      </c>
      <c r="I1600" s="52">
        <f>I1607+I1606+I1605+I1604+I1603+I1602</f>
        <v>72020</v>
      </c>
      <c r="J1600" s="52">
        <f>J1607+J1606+J1605+J1604+J1603+J1602+J1601</f>
        <v>24047</v>
      </c>
      <c r="K1600" s="52">
        <f t="shared" ref="K1600:K1608" si="312">I1600+J1600</f>
        <v>96067</v>
      </c>
      <c r="L1600" s="126"/>
      <c r="M1600" s="52">
        <f>M1607+M1606+M1605+M1604+M1603+M1602</f>
        <v>0</v>
      </c>
      <c r="N1600" s="52">
        <f>N1607+N1606+N1605+N1604+N1603+N1602</f>
        <v>0</v>
      </c>
      <c r="O1600" s="52">
        <f t="shared" ref="O1600:O1608" si="313">M1600+N1600</f>
        <v>0</v>
      </c>
      <c r="P1600" s="126"/>
      <c r="Q1600" s="52">
        <f t="shared" si="309"/>
        <v>72020</v>
      </c>
      <c r="R1600" s="52">
        <f t="shared" si="310"/>
        <v>24047</v>
      </c>
      <c r="S1600" s="52">
        <f t="shared" si="311"/>
        <v>96067</v>
      </c>
    </row>
    <row r="1601" spans="2:19" x14ac:dyDescent="0.2">
      <c r="B1601" s="79">
        <f t="shared" ref="B1601:B1606" si="314">B1600+1</f>
        <v>854</v>
      </c>
      <c r="C1601" s="15"/>
      <c r="D1601" s="15"/>
      <c r="E1601" s="15"/>
      <c r="F1601" s="56" t="s">
        <v>73</v>
      </c>
      <c r="G1601" s="4">
        <v>631</v>
      </c>
      <c r="H1601" s="4" t="s">
        <v>134</v>
      </c>
      <c r="I1601" s="26">
        <v>0</v>
      </c>
      <c r="J1601" s="26">
        <v>39</v>
      </c>
      <c r="K1601" s="26">
        <f t="shared" si="312"/>
        <v>39</v>
      </c>
      <c r="L1601" s="80"/>
      <c r="M1601" s="26"/>
      <c r="N1601" s="26"/>
      <c r="O1601" s="26">
        <f t="shared" si="313"/>
        <v>0</v>
      </c>
      <c r="P1601" s="80"/>
      <c r="Q1601" s="26">
        <f t="shared" si="309"/>
        <v>0</v>
      </c>
      <c r="R1601" s="26">
        <f t="shared" si="310"/>
        <v>39</v>
      </c>
      <c r="S1601" s="26">
        <f t="shared" si="311"/>
        <v>39</v>
      </c>
    </row>
    <row r="1602" spans="2:19" x14ac:dyDescent="0.2">
      <c r="B1602" s="79">
        <f t="shared" si="314"/>
        <v>855</v>
      </c>
      <c r="C1602" s="4"/>
      <c r="D1602" s="4"/>
      <c r="E1602" s="4"/>
      <c r="F1602" s="56" t="s">
        <v>73</v>
      </c>
      <c r="G1602" s="4">
        <v>632</v>
      </c>
      <c r="H1602" s="4" t="s">
        <v>139</v>
      </c>
      <c r="I1602" s="26">
        <v>2200</v>
      </c>
      <c r="J1602" s="26">
        <v>-1210</v>
      </c>
      <c r="K1602" s="26">
        <f t="shared" si="312"/>
        <v>990</v>
      </c>
      <c r="L1602" s="80"/>
      <c r="M1602" s="26"/>
      <c r="N1602" s="26"/>
      <c r="O1602" s="26">
        <f t="shared" si="313"/>
        <v>0</v>
      </c>
      <c r="P1602" s="80"/>
      <c r="Q1602" s="26">
        <f t="shared" si="309"/>
        <v>2200</v>
      </c>
      <c r="R1602" s="26">
        <f t="shared" si="310"/>
        <v>-1210</v>
      </c>
      <c r="S1602" s="26">
        <f t="shared" si="311"/>
        <v>990</v>
      </c>
    </row>
    <row r="1603" spans="2:19" x14ac:dyDescent="0.2">
      <c r="B1603" s="79">
        <f t="shared" si="314"/>
        <v>856</v>
      </c>
      <c r="C1603" s="4"/>
      <c r="D1603" s="4"/>
      <c r="E1603" s="4"/>
      <c r="F1603" s="56" t="s">
        <v>73</v>
      </c>
      <c r="G1603" s="4">
        <v>633</v>
      </c>
      <c r="H1603" s="4" t="s">
        <v>132</v>
      </c>
      <c r="I1603" s="26">
        <f>3700+10000+5000</f>
        <v>18700</v>
      </c>
      <c r="J1603" s="26"/>
      <c r="K1603" s="26">
        <f t="shared" si="312"/>
        <v>18700</v>
      </c>
      <c r="L1603" s="80"/>
      <c r="M1603" s="26"/>
      <c r="N1603" s="26"/>
      <c r="O1603" s="26">
        <f t="shared" si="313"/>
        <v>0</v>
      </c>
      <c r="P1603" s="80"/>
      <c r="Q1603" s="26">
        <f t="shared" si="309"/>
        <v>18700</v>
      </c>
      <c r="R1603" s="26">
        <f t="shared" si="310"/>
        <v>0</v>
      </c>
      <c r="S1603" s="26">
        <f t="shared" si="311"/>
        <v>18700</v>
      </c>
    </row>
    <row r="1604" spans="2:19" x14ac:dyDescent="0.2">
      <c r="B1604" s="79">
        <f t="shared" si="314"/>
        <v>857</v>
      </c>
      <c r="C1604" s="4"/>
      <c r="D1604" s="4"/>
      <c r="E1604" s="4"/>
      <c r="F1604" s="56" t="s">
        <v>73</v>
      </c>
      <c r="G1604" s="4">
        <v>634</v>
      </c>
      <c r="H1604" s="4" t="s">
        <v>137</v>
      </c>
      <c r="I1604" s="26">
        <v>7270</v>
      </c>
      <c r="J1604" s="26">
        <v>-3930</v>
      </c>
      <c r="K1604" s="26">
        <f t="shared" si="312"/>
        <v>3340</v>
      </c>
      <c r="L1604" s="80"/>
      <c r="M1604" s="26"/>
      <c r="N1604" s="26"/>
      <c r="O1604" s="26">
        <f t="shared" si="313"/>
        <v>0</v>
      </c>
      <c r="P1604" s="80"/>
      <c r="Q1604" s="26">
        <f t="shared" si="309"/>
        <v>7270</v>
      </c>
      <c r="R1604" s="26">
        <f t="shared" si="310"/>
        <v>-3930</v>
      </c>
      <c r="S1604" s="26">
        <f t="shared" si="311"/>
        <v>3340</v>
      </c>
    </row>
    <row r="1605" spans="2:19" ht="12.75" customHeight="1" x14ac:dyDescent="0.2">
      <c r="B1605" s="79">
        <f t="shared" si="314"/>
        <v>858</v>
      </c>
      <c r="C1605" s="4"/>
      <c r="D1605" s="4"/>
      <c r="E1605" s="4"/>
      <c r="F1605" s="56" t="s">
        <v>73</v>
      </c>
      <c r="G1605" s="4">
        <v>635</v>
      </c>
      <c r="H1605" s="4" t="s">
        <v>138</v>
      </c>
      <c r="I1605" s="26">
        <v>1400</v>
      </c>
      <c r="J1605" s="26">
        <v>34322</v>
      </c>
      <c r="K1605" s="26">
        <f t="shared" si="312"/>
        <v>35722</v>
      </c>
      <c r="L1605" s="80"/>
      <c r="M1605" s="26"/>
      <c r="N1605" s="26"/>
      <c r="O1605" s="26">
        <f t="shared" si="313"/>
        <v>0</v>
      </c>
      <c r="P1605" s="80"/>
      <c r="Q1605" s="26">
        <f t="shared" si="309"/>
        <v>1400</v>
      </c>
      <c r="R1605" s="26">
        <f t="shared" si="310"/>
        <v>34322</v>
      </c>
      <c r="S1605" s="26">
        <f t="shared" si="311"/>
        <v>35722</v>
      </c>
    </row>
    <row r="1606" spans="2:19" ht="18" customHeight="1" x14ac:dyDescent="0.2">
      <c r="B1606" s="79">
        <f t="shared" si="314"/>
        <v>859</v>
      </c>
      <c r="C1606" s="4"/>
      <c r="D1606" s="4"/>
      <c r="E1606" s="4"/>
      <c r="F1606" s="56" t="s">
        <v>73</v>
      </c>
      <c r="G1606" s="4">
        <v>636</v>
      </c>
      <c r="H1606" s="4" t="s">
        <v>133</v>
      </c>
      <c r="I1606" s="26">
        <v>2350</v>
      </c>
      <c r="J1606" s="26">
        <v>263</v>
      </c>
      <c r="K1606" s="26">
        <f t="shared" si="312"/>
        <v>2613</v>
      </c>
      <c r="L1606" s="80"/>
      <c r="M1606" s="26"/>
      <c r="N1606" s="26"/>
      <c r="O1606" s="26">
        <f t="shared" si="313"/>
        <v>0</v>
      </c>
      <c r="P1606" s="80"/>
      <c r="Q1606" s="26">
        <f t="shared" si="309"/>
        <v>2350</v>
      </c>
      <c r="R1606" s="26">
        <f t="shared" si="310"/>
        <v>263</v>
      </c>
      <c r="S1606" s="26">
        <f t="shared" si="311"/>
        <v>2613</v>
      </c>
    </row>
    <row r="1607" spans="2:19" x14ac:dyDescent="0.2">
      <c r="B1607" s="79">
        <f t="shared" ref="B1607:B1608" si="315">B1606+1</f>
        <v>860</v>
      </c>
      <c r="C1607" s="4"/>
      <c r="D1607" s="4"/>
      <c r="E1607" s="4"/>
      <c r="F1607" s="56" t="s">
        <v>73</v>
      </c>
      <c r="G1607" s="4">
        <v>637</v>
      </c>
      <c r="H1607" s="4" t="s">
        <v>129</v>
      </c>
      <c r="I1607" s="26">
        <v>40100</v>
      </c>
      <c r="J1607" s="26">
        <v>-5437</v>
      </c>
      <c r="K1607" s="26">
        <f t="shared" si="312"/>
        <v>34663</v>
      </c>
      <c r="L1607" s="80"/>
      <c r="M1607" s="26"/>
      <c r="N1607" s="26"/>
      <c r="O1607" s="26">
        <f t="shared" si="313"/>
        <v>0</v>
      </c>
      <c r="P1607" s="80"/>
      <c r="Q1607" s="26">
        <f t="shared" si="309"/>
        <v>40100</v>
      </c>
      <c r="R1607" s="26">
        <f t="shared" si="310"/>
        <v>-5437</v>
      </c>
      <c r="S1607" s="26">
        <f t="shared" si="311"/>
        <v>34663</v>
      </c>
    </row>
    <row r="1608" spans="2:19" ht="19.5" customHeight="1" x14ac:dyDescent="0.2">
      <c r="B1608" s="79">
        <f t="shared" si="315"/>
        <v>861</v>
      </c>
      <c r="C1608" s="15"/>
      <c r="D1608" s="15"/>
      <c r="E1608" s="15"/>
      <c r="F1608" s="55" t="s">
        <v>73</v>
      </c>
      <c r="G1608" s="15">
        <v>640</v>
      </c>
      <c r="H1608" s="15" t="s">
        <v>135</v>
      </c>
      <c r="I1608" s="52">
        <f>3490+900</f>
        <v>4390</v>
      </c>
      <c r="J1608" s="52"/>
      <c r="K1608" s="52">
        <f t="shared" si="312"/>
        <v>4390</v>
      </c>
      <c r="L1608" s="126"/>
      <c r="M1608" s="52"/>
      <c r="N1608" s="52"/>
      <c r="O1608" s="52">
        <f t="shared" si="313"/>
        <v>0</v>
      </c>
      <c r="P1608" s="126"/>
      <c r="Q1608" s="52">
        <f t="shared" si="309"/>
        <v>4390</v>
      </c>
      <c r="R1608" s="52">
        <f t="shared" si="310"/>
        <v>0</v>
      </c>
      <c r="S1608" s="52">
        <f t="shared" si="311"/>
        <v>4390</v>
      </c>
    </row>
    <row r="1609" spans="2:19" ht="21" customHeight="1" x14ac:dyDescent="0.2"/>
    <row r="1665" spans="1:19" ht="27" x14ac:dyDescent="0.35">
      <c r="B1665" s="248" t="s">
        <v>350</v>
      </c>
      <c r="C1665" s="249"/>
      <c r="D1665" s="249"/>
      <c r="E1665" s="249"/>
      <c r="F1665" s="249"/>
      <c r="G1665" s="249"/>
      <c r="H1665" s="249"/>
      <c r="I1665" s="249"/>
      <c r="J1665" s="249"/>
      <c r="K1665" s="249"/>
      <c r="L1665" s="249"/>
      <c r="M1665" s="249"/>
      <c r="N1665" s="249"/>
      <c r="O1665" s="249"/>
      <c r="P1665" s="249"/>
      <c r="Q1665" s="249"/>
    </row>
    <row r="1666" spans="1:19" ht="12.75" customHeight="1" x14ac:dyDescent="0.2">
      <c r="B1666" s="260" t="s">
        <v>281</v>
      </c>
      <c r="C1666" s="261"/>
      <c r="D1666" s="261"/>
      <c r="E1666" s="261"/>
      <c r="F1666" s="261"/>
      <c r="G1666" s="261"/>
      <c r="H1666" s="261"/>
      <c r="I1666" s="261"/>
      <c r="J1666" s="261"/>
      <c r="K1666" s="261"/>
      <c r="L1666" s="261"/>
      <c r="M1666" s="261"/>
      <c r="N1666" s="261"/>
      <c r="O1666" s="262"/>
      <c r="P1666" s="208"/>
      <c r="Q1666" s="250" t="s">
        <v>779</v>
      </c>
      <c r="R1666" s="250" t="s">
        <v>773</v>
      </c>
      <c r="S1666" s="250" t="s">
        <v>774</v>
      </c>
    </row>
    <row r="1667" spans="1:19" ht="12.75" customHeight="1" x14ac:dyDescent="0.2">
      <c r="B1667" s="253" t="s">
        <v>112</v>
      </c>
      <c r="C1667" s="255" t="s">
        <v>120</v>
      </c>
      <c r="D1667" s="255" t="s">
        <v>121</v>
      </c>
      <c r="E1667" s="257" t="s">
        <v>125</v>
      </c>
      <c r="F1667" s="255" t="s">
        <v>122</v>
      </c>
      <c r="G1667" s="255" t="s">
        <v>123</v>
      </c>
      <c r="H1667" s="263" t="s">
        <v>124</v>
      </c>
      <c r="I1667" s="250" t="s">
        <v>777</v>
      </c>
      <c r="J1667" s="251" t="s">
        <v>773</v>
      </c>
      <c r="K1667" s="251" t="s">
        <v>775</v>
      </c>
      <c r="L1667" s="197"/>
      <c r="M1667" s="250" t="s">
        <v>778</v>
      </c>
      <c r="N1667" s="251" t="s">
        <v>773</v>
      </c>
      <c r="O1667" s="251" t="s">
        <v>776</v>
      </c>
      <c r="P1667" s="198"/>
      <c r="Q1667" s="251"/>
      <c r="R1667" s="251"/>
      <c r="S1667" s="251"/>
    </row>
    <row r="1668" spans="1:19" x14ac:dyDescent="0.2">
      <c r="B1668" s="253"/>
      <c r="C1668" s="255"/>
      <c r="D1668" s="255"/>
      <c r="E1668" s="258"/>
      <c r="F1668" s="255"/>
      <c r="G1668" s="255"/>
      <c r="H1668" s="263"/>
      <c r="I1668" s="251"/>
      <c r="J1668" s="251"/>
      <c r="K1668" s="251"/>
      <c r="L1668" s="198"/>
      <c r="M1668" s="251"/>
      <c r="N1668" s="251"/>
      <c r="O1668" s="251"/>
      <c r="P1668" s="198"/>
      <c r="Q1668" s="251"/>
      <c r="R1668" s="251"/>
      <c r="S1668" s="251"/>
    </row>
    <row r="1669" spans="1:19" x14ac:dyDescent="0.2">
      <c r="B1669" s="253"/>
      <c r="C1669" s="255"/>
      <c r="D1669" s="255"/>
      <c r="E1669" s="258"/>
      <c r="F1669" s="255"/>
      <c r="G1669" s="255"/>
      <c r="H1669" s="263"/>
      <c r="I1669" s="251"/>
      <c r="J1669" s="251"/>
      <c r="K1669" s="251"/>
      <c r="L1669" s="198"/>
      <c r="M1669" s="251"/>
      <c r="N1669" s="251"/>
      <c r="O1669" s="251"/>
      <c r="P1669" s="198"/>
      <c r="Q1669" s="251"/>
      <c r="R1669" s="251"/>
      <c r="S1669" s="251"/>
    </row>
    <row r="1670" spans="1:19" ht="13.5" thickBot="1" x14ac:dyDescent="0.25">
      <c r="B1670" s="254"/>
      <c r="C1670" s="256"/>
      <c r="D1670" s="256"/>
      <c r="E1670" s="259"/>
      <c r="F1670" s="256"/>
      <c r="G1670" s="256"/>
      <c r="H1670" s="264"/>
      <c r="I1670" s="252"/>
      <c r="J1670" s="252"/>
      <c r="K1670" s="252"/>
      <c r="L1670" s="199"/>
      <c r="M1670" s="252"/>
      <c r="N1670" s="252"/>
      <c r="O1670" s="252"/>
      <c r="P1670" s="199"/>
      <c r="Q1670" s="252"/>
      <c r="R1670" s="252"/>
      <c r="S1670" s="252"/>
    </row>
    <row r="1671" spans="1:19" ht="16.5" thickTop="1" x14ac:dyDescent="0.2">
      <c r="B1671" s="79">
        <f t="shared" ref="B1671:B1734" si="316">B1670+1</f>
        <v>1</v>
      </c>
      <c r="C1671" s="265" t="s">
        <v>350</v>
      </c>
      <c r="D1671" s="266"/>
      <c r="E1671" s="266"/>
      <c r="F1671" s="266"/>
      <c r="G1671" s="266"/>
      <c r="H1671" s="267"/>
      <c r="I1671" s="47">
        <f>I1762+I1690+I1675+I1672</f>
        <v>1688334</v>
      </c>
      <c r="J1671" s="47">
        <f>J1762+J1690+J1675+J1672</f>
        <v>0</v>
      </c>
      <c r="K1671" s="47">
        <f>I1671+J1671</f>
        <v>1688334</v>
      </c>
      <c r="L1671" s="200"/>
      <c r="M1671" s="47">
        <f>M1762+M1690+M1675+M1672</f>
        <v>1070755</v>
      </c>
      <c r="N1671" s="47">
        <f>N1762+N1690+N1675+N1672</f>
        <v>-540255</v>
      </c>
      <c r="O1671" s="47">
        <f>M1671+N1671</f>
        <v>530500</v>
      </c>
      <c r="P1671" s="200"/>
      <c r="Q1671" s="47">
        <f t="shared" ref="Q1671:Q1734" si="317">I1671+M1671</f>
        <v>2759089</v>
      </c>
      <c r="R1671" s="47">
        <f t="shared" ref="R1671:R1734" si="318">J1671+N1671</f>
        <v>-540255</v>
      </c>
      <c r="S1671" s="47">
        <f t="shared" ref="S1671:S1734" si="319">K1671+O1671</f>
        <v>2218834</v>
      </c>
    </row>
    <row r="1672" spans="1:19" s="75" customFormat="1" ht="15" x14ac:dyDescent="0.2">
      <c r="A1672" s="71"/>
      <c r="B1672" s="79">
        <f t="shared" si="316"/>
        <v>2</v>
      </c>
      <c r="C1672" s="191">
        <v>1</v>
      </c>
      <c r="D1672" s="245" t="s">
        <v>12</v>
      </c>
      <c r="E1672" s="246"/>
      <c r="F1672" s="246"/>
      <c r="G1672" s="246"/>
      <c r="H1672" s="247"/>
      <c r="I1672" s="48">
        <f>I1673</f>
        <v>1700</v>
      </c>
      <c r="J1672" s="48">
        <f>J1673</f>
        <v>0</v>
      </c>
      <c r="K1672" s="48">
        <f t="shared" ref="K1672:K1735" si="320">I1672+J1672</f>
        <v>1700</v>
      </c>
      <c r="L1672" s="201"/>
      <c r="M1672" s="48">
        <f>M1673</f>
        <v>0</v>
      </c>
      <c r="N1672" s="48">
        <f>N1673</f>
        <v>0</v>
      </c>
      <c r="O1672" s="48">
        <f t="shared" ref="O1672:O1735" si="321">M1672+N1672</f>
        <v>0</v>
      </c>
      <c r="P1672" s="201"/>
      <c r="Q1672" s="48">
        <f t="shared" si="317"/>
        <v>1700</v>
      </c>
      <c r="R1672" s="48">
        <f t="shared" si="318"/>
        <v>0</v>
      </c>
      <c r="S1672" s="48">
        <f t="shared" si="319"/>
        <v>1700</v>
      </c>
    </row>
    <row r="1673" spans="1:19" s="75" customFormat="1" x14ac:dyDescent="0.2">
      <c r="A1673" s="71"/>
      <c r="B1673" s="79">
        <f t="shared" si="316"/>
        <v>3</v>
      </c>
      <c r="C1673" s="15"/>
      <c r="D1673" s="15"/>
      <c r="E1673" s="15"/>
      <c r="F1673" s="55" t="s">
        <v>189</v>
      </c>
      <c r="G1673" s="15">
        <v>630</v>
      </c>
      <c r="H1673" s="15" t="s">
        <v>128</v>
      </c>
      <c r="I1673" s="52">
        <f>I1674</f>
        <v>1700</v>
      </c>
      <c r="J1673" s="52">
        <f>J1674</f>
        <v>0</v>
      </c>
      <c r="K1673" s="52">
        <f t="shared" si="320"/>
        <v>1700</v>
      </c>
      <c r="L1673" s="126"/>
      <c r="M1673" s="52">
        <v>0</v>
      </c>
      <c r="N1673" s="52"/>
      <c r="O1673" s="52">
        <f t="shared" si="321"/>
        <v>0</v>
      </c>
      <c r="P1673" s="126"/>
      <c r="Q1673" s="52">
        <f t="shared" si="317"/>
        <v>1700</v>
      </c>
      <c r="R1673" s="52">
        <f t="shared" si="318"/>
        <v>0</v>
      </c>
      <c r="S1673" s="52">
        <f t="shared" si="319"/>
        <v>1700</v>
      </c>
    </row>
    <row r="1674" spans="1:19" s="75" customFormat="1" x14ac:dyDescent="0.2">
      <c r="A1674" s="71"/>
      <c r="B1674" s="79">
        <f t="shared" si="316"/>
        <v>4</v>
      </c>
      <c r="C1674" s="15"/>
      <c r="D1674" s="15"/>
      <c r="E1674" s="15"/>
      <c r="F1674" s="68" t="s">
        <v>189</v>
      </c>
      <c r="G1674" s="64">
        <v>633</v>
      </c>
      <c r="H1674" s="64" t="s">
        <v>357</v>
      </c>
      <c r="I1674" s="62">
        <v>1700</v>
      </c>
      <c r="J1674" s="62"/>
      <c r="K1674" s="62">
        <f t="shared" si="320"/>
        <v>1700</v>
      </c>
      <c r="L1674" s="80"/>
      <c r="M1674" s="52"/>
      <c r="N1674" s="52"/>
      <c r="O1674" s="52">
        <f t="shared" si="321"/>
        <v>0</v>
      </c>
      <c r="P1674" s="126"/>
      <c r="Q1674" s="26">
        <f t="shared" si="317"/>
        <v>1700</v>
      </c>
      <c r="R1674" s="26">
        <f t="shared" si="318"/>
        <v>0</v>
      </c>
      <c r="S1674" s="26">
        <f t="shared" si="319"/>
        <v>1700</v>
      </c>
    </row>
    <row r="1675" spans="1:19" ht="15" x14ac:dyDescent="0.2">
      <c r="B1675" s="79">
        <f t="shared" si="316"/>
        <v>5</v>
      </c>
      <c r="C1675" s="191">
        <v>2</v>
      </c>
      <c r="D1675" s="245" t="s">
        <v>351</v>
      </c>
      <c r="E1675" s="246"/>
      <c r="F1675" s="246"/>
      <c r="G1675" s="246"/>
      <c r="H1675" s="247"/>
      <c r="I1675" s="48">
        <f>I1676</f>
        <v>386934</v>
      </c>
      <c r="J1675" s="48">
        <f>J1676</f>
        <v>0</v>
      </c>
      <c r="K1675" s="48">
        <f t="shared" si="320"/>
        <v>386934</v>
      </c>
      <c r="L1675" s="201"/>
      <c r="M1675" s="48">
        <f>M1676</f>
        <v>0</v>
      </c>
      <c r="N1675" s="48">
        <f>N1676</f>
        <v>0</v>
      </c>
      <c r="O1675" s="48">
        <f t="shared" si="321"/>
        <v>0</v>
      </c>
      <c r="P1675" s="201"/>
      <c r="Q1675" s="48">
        <f t="shared" si="317"/>
        <v>386934</v>
      </c>
      <c r="R1675" s="48">
        <f t="shared" si="318"/>
        <v>0</v>
      </c>
      <c r="S1675" s="48">
        <f t="shared" si="319"/>
        <v>386934</v>
      </c>
    </row>
    <row r="1676" spans="1:19" x14ac:dyDescent="0.2">
      <c r="B1676" s="79">
        <f t="shared" si="316"/>
        <v>6</v>
      </c>
      <c r="C1676" s="15"/>
      <c r="D1676" s="15"/>
      <c r="E1676" s="15"/>
      <c r="F1676" s="55" t="s">
        <v>189</v>
      </c>
      <c r="G1676" s="15">
        <v>640</v>
      </c>
      <c r="H1676" s="15" t="s">
        <v>135</v>
      </c>
      <c r="I1676" s="52">
        <f>SUM(I1677:I1689)</f>
        <v>386934</v>
      </c>
      <c r="J1676" s="52">
        <f>SUM(J1677:J1689)</f>
        <v>0</v>
      </c>
      <c r="K1676" s="52">
        <f t="shared" si="320"/>
        <v>386934</v>
      </c>
      <c r="L1676" s="126"/>
      <c r="M1676" s="52">
        <f>SUM(M1677:M1680)</f>
        <v>0</v>
      </c>
      <c r="N1676" s="52">
        <f>SUM(N1677:N1680)</f>
        <v>0</v>
      </c>
      <c r="O1676" s="52">
        <f t="shared" si="321"/>
        <v>0</v>
      </c>
      <c r="P1676" s="126"/>
      <c r="Q1676" s="52">
        <f t="shared" si="317"/>
        <v>386934</v>
      </c>
      <c r="R1676" s="52">
        <f t="shared" si="318"/>
        <v>0</v>
      </c>
      <c r="S1676" s="52">
        <f t="shared" si="319"/>
        <v>386934</v>
      </c>
    </row>
    <row r="1677" spans="1:19" x14ac:dyDescent="0.2">
      <c r="B1677" s="79">
        <f t="shared" si="316"/>
        <v>7</v>
      </c>
      <c r="C1677" s="15"/>
      <c r="D1677" s="61"/>
      <c r="E1677" s="15"/>
      <c r="F1677" s="55"/>
      <c r="G1677" s="15"/>
      <c r="H1677" s="63" t="s">
        <v>190</v>
      </c>
      <c r="I1677" s="62">
        <f>50000-10000</f>
        <v>40000</v>
      </c>
      <c r="J1677" s="62"/>
      <c r="K1677" s="62">
        <f t="shared" si="320"/>
        <v>40000</v>
      </c>
      <c r="L1677" s="80"/>
      <c r="M1677" s="62"/>
      <c r="N1677" s="62"/>
      <c r="O1677" s="62">
        <f t="shared" si="321"/>
        <v>0</v>
      </c>
      <c r="P1677" s="80"/>
      <c r="Q1677" s="62">
        <f t="shared" si="317"/>
        <v>40000</v>
      </c>
      <c r="R1677" s="62">
        <f t="shared" si="318"/>
        <v>0</v>
      </c>
      <c r="S1677" s="62">
        <f t="shared" si="319"/>
        <v>40000</v>
      </c>
    </row>
    <row r="1678" spans="1:19" x14ac:dyDescent="0.2">
      <c r="B1678" s="79">
        <f t="shared" si="316"/>
        <v>8</v>
      </c>
      <c r="C1678" s="15"/>
      <c r="D1678" s="61"/>
      <c r="E1678" s="15"/>
      <c r="F1678" s="55"/>
      <c r="G1678" s="15"/>
      <c r="H1678" s="63" t="s">
        <v>341</v>
      </c>
      <c r="I1678" s="62">
        <v>5000</v>
      </c>
      <c r="J1678" s="62"/>
      <c r="K1678" s="62">
        <f t="shared" si="320"/>
        <v>5000</v>
      </c>
      <c r="L1678" s="80"/>
      <c r="M1678" s="62"/>
      <c r="N1678" s="62"/>
      <c r="O1678" s="62">
        <f t="shared" si="321"/>
        <v>0</v>
      </c>
      <c r="P1678" s="80"/>
      <c r="Q1678" s="62">
        <f t="shared" si="317"/>
        <v>5000</v>
      </c>
      <c r="R1678" s="62">
        <f t="shared" si="318"/>
        <v>0</v>
      </c>
      <c r="S1678" s="62">
        <f t="shared" si="319"/>
        <v>5000</v>
      </c>
    </row>
    <row r="1679" spans="1:19" x14ac:dyDescent="0.2">
      <c r="B1679" s="79">
        <f t="shared" si="316"/>
        <v>9</v>
      </c>
      <c r="C1679" s="15"/>
      <c r="D1679" s="61"/>
      <c r="E1679" s="15"/>
      <c r="F1679" s="55"/>
      <c r="G1679" s="15"/>
      <c r="H1679" s="63" t="s">
        <v>342</v>
      </c>
      <c r="I1679" s="62">
        <f>8500+10000</f>
        <v>18500</v>
      </c>
      <c r="J1679" s="62"/>
      <c r="K1679" s="62">
        <f t="shared" si="320"/>
        <v>18500</v>
      </c>
      <c r="L1679" s="80"/>
      <c r="M1679" s="62"/>
      <c r="N1679" s="62"/>
      <c r="O1679" s="62">
        <f t="shared" si="321"/>
        <v>0</v>
      </c>
      <c r="P1679" s="80"/>
      <c r="Q1679" s="62">
        <f t="shared" si="317"/>
        <v>18500</v>
      </c>
      <c r="R1679" s="62">
        <f t="shared" si="318"/>
        <v>0</v>
      </c>
      <c r="S1679" s="62">
        <f t="shared" si="319"/>
        <v>18500</v>
      </c>
    </row>
    <row r="1680" spans="1:19" x14ac:dyDescent="0.2">
      <c r="B1680" s="79">
        <f t="shared" si="316"/>
        <v>10</v>
      </c>
      <c r="C1680" s="72"/>
      <c r="D1680" s="73"/>
      <c r="E1680" s="72"/>
      <c r="F1680" s="76"/>
      <c r="G1680" s="72"/>
      <c r="H1680" s="86" t="s">
        <v>343</v>
      </c>
      <c r="I1680" s="69">
        <f>3000+4000</f>
        <v>7000</v>
      </c>
      <c r="J1680" s="69"/>
      <c r="K1680" s="69">
        <f t="shared" si="320"/>
        <v>7000</v>
      </c>
      <c r="L1680" s="166"/>
      <c r="M1680" s="69"/>
      <c r="N1680" s="69"/>
      <c r="O1680" s="69">
        <f t="shared" si="321"/>
        <v>0</v>
      </c>
      <c r="P1680" s="166"/>
      <c r="Q1680" s="62">
        <f t="shared" si="317"/>
        <v>7000</v>
      </c>
      <c r="R1680" s="62">
        <f t="shared" si="318"/>
        <v>0</v>
      </c>
      <c r="S1680" s="62">
        <f t="shared" si="319"/>
        <v>7000</v>
      </c>
    </row>
    <row r="1681" spans="1:19" x14ac:dyDescent="0.2">
      <c r="B1681" s="78">
        <f t="shared" si="316"/>
        <v>11</v>
      </c>
      <c r="C1681" s="72"/>
      <c r="D1681" s="73"/>
      <c r="E1681" s="72"/>
      <c r="F1681" s="76"/>
      <c r="G1681" s="72"/>
      <c r="H1681" s="86" t="s">
        <v>353</v>
      </c>
      <c r="I1681" s="69">
        <v>2000</v>
      </c>
      <c r="J1681" s="69"/>
      <c r="K1681" s="69">
        <f t="shared" si="320"/>
        <v>2000</v>
      </c>
      <c r="L1681" s="166"/>
      <c r="M1681" s="69"/>
      <c r="N1681" s="69"/>
      <c r="O1681" s="69">
        <f t="shared" si="321"/>
        <v>0</v>
      </c>
      <c r="P1681" s="166"/>
      <c r="Q1681" s="69">
        <f t="shared" si="317"/>
        <v>2000</v>
      </c>
      <c r="R1681" s="69">
        <f t="shared" si="318"/>
        <v>0</v>
      </c>
      <c r="S1681" s="69">
        <f t="shared" si="319"/>
        <v>2000</v>
      </c>
    </row>
    <row r="1682" spans="1:19" x14ac:dyDescent="0.2">
      <c r="B1682" s="78">
        <f t="shared" si="316"/>
        <v>12</v>
      </c>
      <c r="C1682" s="72"/>
      <c r="D1682" s="73"/>
      <c r="E1682" s="72"/>
      <c r="F1682" s="76"/>
      <c r="G1682" s="72"/>
      <c r="H1682" s="86" t="s">
        <v>354</v>
      </c>
      <c r="I1682" s="69">
        <v>4000</v>
      </c>
      <c r="J1682" s="69"/>
      <c r="K1682" s="69">
        <f t="shared" si="320"/>
        <v>4000</v>
      </c>
      <c r="L1682" s="166"/>
      <c r="M1682" s="69"/>
      <c r="N1682" s="69"/>
      <c r="O1682" s="69">
        <f t="shared" si="321"/>
        <v>0</v>
      </c>
      <c r="P1682" s="166"/>
      <c r="Q1682" s="69">
        <f t="shared" si="317"/>
        <v>4000</v>
      </c>
      <c r="R1682" s="69">
        <f t="shared" si="318"/>
        <v>0</v>
      </c>
      <c r="S1682" s="69">
        <f t="shared" si="319"/>
        <v>4000</v>
      </c>
    </row>
    <row r="1683" spans="1:19" ht="24" x14ac:dyDescent="0.2">
      <c r="B1683" s="78">
        <f t="shared" si="316"/>
        <v>13</v>
      </c>
      <c r="C1683" s="72"/>
      <c r="D1683" s="73"/>
      <c r="E1683" s="72"/>
      <c r="F1683" s="76"/>
      <c r="G1683" s="72"/>
      <c r="H1683" s="86" t="s">
        <v>551</v>
      </c>
      <c r="I1683" s="69">
        <v>133448</v>
      </c>
      <c r="J1683" s="69"/>
      <c r="K1683" s="69">
        <f t="shared" si="320"/>
        <v>133448</v>
      </c>
      <c r="L1683" s="166"/>
      <c r="M1683" s="69"/>
      <c r="N1683" s="69"/>
      <c r="O1683" s="69">
        <f t="shared" si="321"/>
        <v>0</v>
      </c>
      <c r="P1683" s="166"/>
      <c r="Q1683" s="69">
        <f t="shared" si="317"/>
        <v>133448</v>
      </c>
      <c r="R1683" s="69">
        <f t="shared" si="318"/>
        <v>0</v>
      </c>
      <c r="S1683" s="69">
        <f t="shared" si="319"/>
        <v>133448</v>
      </c>
    </row>
    <row r="1684" spans="1:19" ht="24" x14ac:dyDescent="0.2">
      <c r="B1684" s="78">
        <f t="shared" si="316"/>
        <v>14</v>
      </c>
      <c r="C1684" s="72"/>
      <c r="D1684" s="73"/>
      <c r="E1684" s="72"/>
      <c r="F1684" s="76"/>
      <c r="G1684" s="72"/>
      <c r="H1684" s="86" t="s">
        <v>552</v>
      </c>
      <c r="I1684" s="69">
        <f>80274+10000</f>
        <v>90274</v>
      </c>
      <c r="J1684" s="69"/>
      <c r="K1684" s="69">
        <f t="shared" si="320"/>
        <v>90274</v>
      </c>
      <c r="L1684" s="166"/>
      <c r="M1684" s="69"/>
      <c r="N1684" s="69"/>
      <c r="O1684" s="69">
        <f t="shared" si="321"/>
        <v>0</v>
      </c>
      <c r="P1684" s="166"/>
      <c r="Q1684" s="69">
        <f t="shared" si="317"/>
        <v>90274</v>
      </c>
      <c r="R1684" s="69">
        <f t="shared" si="318"/>
        <v>0</v>
      </c>
      <c r="S1684" s="69">
        <f t="shared" si="319"/>
        <v>90274</v>
      </c>
    </row>
    <row r="1685" spans="1:19" ht="24" x14ac:dyDescent="0.2">
      <c r="B1685" s="78">
        <f t="shared" si="316"/>
        <v>15</v>
      </c>
      <c r="C1685" s="72"/>
      <c r="D1685" s="73"/>
      <c r="E1685" s="72"/>
      <c r="F1685" s="76"/>
      <c r="G1685" s="72"/>
      <c r="H1685" s="86" t="s">
        <v>553</v>
      </c>
      <c r="I1685" s="69">
        <v>33363</v>
      </c>
      <c r="J1685" s="69"/>
      <c r="K1685" s="69">
        <f t="shared" si="320"/>
        <v>33363</v>
      </c>
      <c r="L1685" s="166"/>
      <c r="M1685" s="69"/>
      <c r="N1685" s="69"/>
      <c r="O1685" s="69">
        <f t="shared" si="321"/>
        <v>0</v>
      </c>
      <c r="P1685" s="166"/>
      <c r="Q1685" s="69">
        <f t="shared" si="317"/>
        <v>33363</v>
      </c>
      <c r="R1685" s="69">
        <f t="shared" si="318"/>
        <v>0</v>
      </c>
      <c r="S1685" s="69">
        <f t="shared" si="319"/>
        <v>33363</v>
      </c>
    </row>
    <row r="1686" spans="1:19" ht="24" x14ac:dyDescent="0.2">
      <c r="B1686" s="78">
        <f t="shared" si="316"/>
        <v>16</v>
      </c>
      <c r="C1686" s="72"/>
      <c r="D1686" s="73"/>
      <c r="E1686" s="72"/>
      <c r="F1686" s="76"/>
      <c r="G1686" s="72"/>
      <c r="H1686" s="86" t="s">
        <v>554</v>
      </c>
      <c r="I1686" s="69">
        <v>18349</v>
      </c>
      <c r="J1686" s="69"/>
      <c r="K1686" s="69">
        <f t="shared" si="320"/>
        <v>18349</v>
      </c>
      <c r="L1686" s="166"/>
      <c r="M1686" s="69"/>
      <c r="N1686" s="69"/>
      <c r="O1686" s="69">
        <f t="shared" si="321"/>
        <v>0</v>
      </c>
      <c r="P1686" s="166"/>
      <c r="Q1686" s="69">
        <f t="shared" si="317"/>
        <v>18349</v>
      </c>
      <c r="R1686" s="69">
        <f t="shared" si="318"/>
        <v>0</v>
      </c>
      <c r="S1686" s="69">
        <f t="shared" si="319"/>
        <v>18349</v>
      </c>
    </row>
    <row r="1687" spans="1:19" ht="24" x14ac:dyDescent="0.2">
      <c r="B1687" s="78">
        <f t="shared" si="316"/>
        <v>17</v>
      </c>
      <c r="C1687" s="72"/>
      <c r="D1687" s="73"/>
      <c r="E1687" s="72"/>
      <c r="F1687" s="76"/>
      <c r="G1687" s="72"/>
      <c r="H1687" s="174" t="s">
        <v>673</v>
      </c>
      <c r="I1687" s="150">
        <v>2500</v>
      </c>
      <c r="J1687" s="150"/>
      <c r="K1687" s="150">
        <f t="shared" si="320"/>
        <v>2500</v>
      </c>
      <c r="L1687" s="166"/>
      <c r="M1687" s="150"/>
      <c r="N1687" s="150"/>
      <c r="O1687" s="150">
        <f t="shared" si="321"/>
        <v>0</v>
      </c>
      <c r="P1687" s="166"/>
      <c r="Q1687" s="150">
        <f t="shared" si="317"/>
        <v>2500</v>
      </c>
      <c r="R1687" s="150">
        <f t="shared" si="318"/>
        <v>0</v>
      </c>
      <c r="S1687" s="150">
        <f t="shared" si="319"/>
        <v>2500</v>
      </c>
    </row>
    <row r="1688" spans="1:19" s="75" customFormat="1" ht="24" x14ac:dyDescent="0.2">
      <c r="A1688" s="71"/>
      <c r="B1688" s="78">
        <f t="shared" si="316"/>
        <v>18</v>
      </c>
      <c r="C1688" s="72"/>
      <c r="D1688" s="73"/>
      <c r="E1688" s="72"/>
      <c r="F1688" s="76"/>
      <c r="G1688" s="72"/>
      <c r="H1688" s="181" t="s">
        <v>688</v>
      </c>
      <c r="I1688" s="166">
        <v>2500</v>
      </c>
      <c r="J1688" s="166"/>
      <c r="K1688" s="166">
        <f t="shared" si="320"/>
        <v>2500</v>
      </c>
      <c r="L1688" s="166"/>
      <c r="M1688" s="166"/>
      <c r="N1688" s="166"/>
      <c r="O1688" s="166">
        <f t="shared" si="321"/>
        <v>0</v>
      </c>
      <c r="P1688" s="166"/>
      <c r="Q1688" s="166">
        <f t="shared" si="317"/>
        <v>2500</v>
      </c>
      <c r="R1688" s="166">
        <f t="shared" si="318"/>
        <v>0</v>
      </c>
      <c r="S1688" s="166">
        <f t="shared" si="319"/>
        <v>2500</v>
      </c>
    </row>
    <row r="1689" spans="1:19" ht="24" x14ac:dyDescent="0.2">
      <c r="B1689" s="78">
        <f t="shared" si="316"/>
        <v>19</v>
      </c>
      <c r="C1689" s="72"/>
      <c r="D1689" s="73"/>
      <c r="E1689" s="72"/>
      <c r="F1689" s="76"/>
      <c r="G1689" s="72"/>
      <c r="H1689" s="181" t="s">
        <v>720</v>
      </c>
      <c r="I1689" s="166">
        <v>30000</v>
      </c>
      <c r="J1689" s="166"/>
      <c r="K1689" s="166">
        <f t="shared" si="320"/>
        <v>30000</v>
      </c>
      <c r="L1689" s="166"/>
      <c r="M1689" s="166"/>
      <c r="N1689" s="166"/>
      <c r="O1689" s="166">
        <f t="shared" si="321"/>
        <v>0</v>
      </c>
      <c r="P1689" s="166"/>
      <c r="Q1689" s="166">
        <f t="shared" si="317"/>
        <v>30000</v>
      </c>
      <c r="R1689" s="166">
        <f t="shared" si="318"/>
        <v>0</v>
      </c>
      <c r="S1689" s="166">
        <f t="shared" si="319"/>
        <v>30000</v>
      </c>
    </row>
    <row r="1690" spans="1:19" ht="15" x14ac:dyDescent="0.2">
      <c r="B1690" s="78">
        <f t="shared" si="316"/>
        <v>20</v>
      </c>
      <c r="C1690" s="191">
        <v>3</v>
      </c>
      <c r="D1690" s="271" t="s">
        <v>211</v>
      </c>
      <c r="E1690" s="270"/>
      <c r="F1690" s="270"/>
      <c r="G1690" s="270"/>
      <c r="H1690" s="270"/>
      <c r="I1690" s="48">
        <f>I1752+I1731+I1708+I1695+I1691</f>
        <v>1254400</v>
      </c>
      <c r="J1690" s="48">
        <f>J1752+J1731+J1708+J1695+J1691</f>
        <v>0</v>
      </c>
      <c r="K1690" s="48">
        <f t="shared" si="320"/>
        <v>1254400</v>
      </c>
      <c r="L1690" s="201"/>
      <c r="M1690" s="48">
        <f>M1752+M1731+M1708+M1695+M1691</f>
        <v>924755</v>
      </c>
      <c r="N1690" s="48">
        <f>N1752+N1731+N1708+N1695+N1691</f>
        <v>-540255</v>
      </c>
      <c r="O1690" s="48">
        <f t="shared" si="321"/>
        <v>384500</v>
      </c>
      <c r="P1690" s="201"/>
      <c r="Q1690" s="48">
        <f t="shared" si="317"/>
        <v>2179155</v>
      </c>
      <c r="R1690" s="48">
        <f t="shared" si="318"/>
        <v>-540255</v>
      </c>
      <c r="S1690" s="48">
        <f t="shared" si="319"/>
        <v>1638900</v>
      </c>
    </row>
    <row r="1691" spans="1:19" ht="15" x14ac:dyDescent="0.25">
      <c r="B1691" s="78">
        <f t="shared" si="316"/>
        <v>21</v>
      </c>
      <c r="C1691" s="190"/>
      <c r="D1691" s="190">
        <v>1</v>
      </c>
      <c r="E1691" s="269" t="s">
        <v>210</v>
      </c>
      <c r="F1691" s="270"/>
      <c r="G1691" s="270"/>
      <c r="H1691" s="270"/>
      <c r="I1691" s="49">
        <f>I1692</f>
        <v>160750</v>
      </c>
      <c r="J1691" s="49">
        <f>J1692</f>
        <v>0</v>
      </c>
      <c r="K1691" s="49">
        <f t="shared" si="320"/>
        <v>160750</v>
      </c>
      <c r="L1691" s="202"/>
      <c r="M1691" s="49">
        <f>M1692</f>
        <v>0</v>
      </c>
      <c r="N1691" s="49">
        <f>N1692</f>
        <v>0</v>
      </c>
      <c r="O1691" s="49">
        <f t="shared" si="321"/>
        <v>0</v>
      </c>
      <c r="P1691" s="202"/>
      <c r="Q1691" s="49">
        <f t="shared" si="317"/>
        <v>160750</v>
      </c>
      <c r="R1691" s="49">
        <f t="shared" si="318"/>
        <v>0</v>
      </c>
      <c r="S1691" s="49">
        <f t="shared" si="319"/>
        <v>160750</v>
      </c>
    </row>
    <row r="1692" spans="1:19" x14ac:dyDescent="0.2">
      <c r="B1692" s="78">
        <f t="shared" si="316"/>
        <v>22</v>
      </c>
      <c r="C1692" s="15"/>
      <c r="D1692" s="15"/>
      <c r="E1692" s="15"/>
      <c r="F1692" s="55" t="s">
        <v>189</v>
      </c>
      <c r="G1692" s="15">
        <v>630</v>
      </c>
      <c r="H1692" s="15" t="s">
        <v>128</v>
      </c>
      <c r="I1692" s="52">
        <f>I1693+I1694</f>
        <v>160750</v>
      </c>
      <c r="J1692" s="52">
        <f>J1693+J1694</f>
        <v>0</v>
      </c>
      <c r="K1692" s="52">
        <f t="shared" si="320"/>
        <v>160750</v>
      </c>
      <c r="L1692" s="126"/>
      <c r="M1692" s="52">
        <v>0</v>
      </c>
      <c r="N1692" s="52"/>
      <c r="O1692" s="52">
        <f t="shared" si="321"/>
        <v>0</v>
      </c>
      <c r="P1692" s="126"/>
      <c r="Q1692" s="52">
        <f t="shared" si="317"/>
        <v>160750</v>
      </c>
      <c r="R1692" s="52">
        <f t="shared" si="318"/>
        <v>0</v>
      </c>
      <c r="S1692" s="52">
        <f t="shared" si="319"/>
        <v>160750</v>
      </c>
    </row>
    <row r="1693" spans="1:19" x14ac:dyDescent="0.2">
      <c r="B1693" s="78">
        <f t="shared" si="316"/>
        <v>23</v>
      </c>
      <c r="C1693" s="4"/>
      <c r="D1693" s="4"/>
      <c r="E1693" s="4"/>
      <c r="F1693" s="56" t="s">
        <v>189</v>
      </c>
      <c r="G1693" s="4">
        <v>636</v>
      </c>
      <c r="H1693" s="4" t="s">
        <v>133</v>
      </c>
      <c r="I1693" s="26">
        <v>159950</v>
      </c>
      <c r="J1693" s="26"/>
      <c r="K1693" s="26">
        <f t="shared" si="320"/>
        <v>159950</v>
      </c>
      <c r="L1693" s="80"/>
      <c r="M1693" s="26"/>
      <c r="N1693" s="26"/>
      <c r="O1693" s="26">
        <f t="shared" si="321"/>
        <v>0</v>
      </c>
      <c r="P1693" s="80"/>
      <c r="Q1693" s="26">
        <f t="shared" si="317"/>
        <v>159950</v>
      </c>
      <c r="R1693" s="26">
        <f t="shared" si="318"/>
        <v>0</v>
      </c>
      <c r="S1693" s="26">
        <f t="shared" si="319"/>
        <v>159950</v>
      </c>
    </row>
    <row r="1694" spans="1:19" x14ac:dyDescent="0.2">
      <c r="B1694" s="78">
        <f t="shared" si="316"/>
        <v>24</v>
      </c>
      <c r="C1694" s="4"/>
      <c r="D1694" s="4"/>
      <c r="E1694" s="4"/>
      <c r="F1694" s="56" t="s">
        <v>189</v>
      </c>
      <c r="G1694" s="4">
        <v>637</v>
      </c>
      <c r="H1694" s="4" t="s">
        <v>129</v>
      </c>
      <c r="I1694" s="26">
        <v>800</v>
      </c>
      <c r="J1694" s="26"/>
      <c r="K1694" s="26">
        <f t="shared" si="320"/>
        <v>800</v>
      </c>
      <c r="L1694" s="80"/>
      <c r="M1694" s="26"/>
      <c r="N1694" s="26"/>
      <c r="O1694" s="26">
        <f t="shared" si="321"/>
        <v>0</v>
      </c>
      <c r="P1694" s="80"/>
      <c r="Q1694" s="26">
        <f t="shared" si="317"/>
        <v>800</v>
      </c>
      <c r="R1694" s="26">
        <f t="shared" si="318"/>
        <v>0</v>
      </c>
      <c r="S1694" s="26">
        <f t="shared" si="319"/>
        <v>800</v>
      </c>
    </row>
    <row r="1695" spans="1:19" ht="15" x14ac:dyDescent="0.25">
      <c r="B1695" s="78">
        <f t="shared" si="316"/>
        <v>25</v>
      </c>
      <c r="C1695" s="190"/>
      <c r="D1695" s="190">
        <v>2</v>
      </c>
      <c r="E1695" s="269" t="s">
        <v>212</v>
      </c>
      <c r="F1695" s="270"/>
      <c r="G1695" s="270"/>
      <c r="H1695" s="270"/>
      <c r="I1695" s="49">
        <f>I1696+I1703</f>
        <v>205780</v>
      </c>
      <c r="J1695" s="49">
        <f>J1696+J1703</f>
        <v>0</v>
      </c>
      <c r="K1695" s="49">
        <f t="shared" si="320"/>
        <v>205780</v>
      </c>
      <c r="L1695" s="202"/>
      <c r="M1695" s="49">
        <f>M1696+M1703</f>
        <v>33000</v>
      </c>
      <c r="N1695" s="49">
        <f>N1696+N1703</f>
        <v>0</v>
      </c>
      <c r="O1695" s="49">
        <f t="shared" si="321"/>
        <v>33000</v>
      </c>
      <c r="P1695" s="202"/>
      <c r="Q1695" s="49">
        <f t="shared" si="317"/>
        <v>238780</v>
      </c>
      <c r="R1695" s="49">
        <f t="shared" si="318"/>
        <v>0</v>
      </c>
      <c r="S1695" s="49">
        <f t="shared" si="319"/>
        <v>238780</v>
      </c>
    </row>
    <row r="1696" spans="1:19" x14ac:dyDescent="0.2">
      <c r="B1696" s="78">
        <f t="shared" si="316"/>
        <v>26</v>
      </c>
      <c r="C1696" s="15"/>
      <c r="D1696" s="15"/>
      <c r="E1696" s="15"/>
      <c r="F1696" s="55" t="s">
        <v>189</v>
      </c>
      <c r="G1696" s="15">
        <v>630</v>
      </c>
      <c r="H1696" s="15" t="s">
        <v>128</v>
      </c>
      <c r="I1696" s="52">
        <f>I1702+I1701+I1698+I1697</f>
        <v>205780</v>
      </c>
      <c r="J1696" s="52">
        <f>J1702+J1701+J1698+J1697</f>
        <v>0</v>
      </c>
      <c r="K1696" s="52">
        <f t="shared" si="320"/>
        <v>205780</v>
      </c>
      <c r="L1696" s="126"/>
      <c r="M1696" s="52">
        <f>M1702+M1701+M1698</f>
        <v>0</v>
      </c>
      <c r="N1696" s="52">
        <f>N1702+N1701+N1698</f>
        <v>0</v>
      </c>
      <c r="O1696" s="52">
        <f t="shared" si="321"/>
        <v>0</v>
      </c>
      <c r="P1696" s="126"/>
      <c r="Q1696" s="52">
        <f t="shared" si="317"/>
        <v>205780</v>
      </c>
      <c r="R1696" s="52">
        <f t="shared" si="318"/>
        <v>0</v>
      </c>
      <c r="S1696" s="52">
        <f t="shared" si="319"/>
        <v>205780</v>
      </c>
    </row>
    <row r="1697" spans="2:19" x14ac:dyDescent="0.2">
      <c r="B1697" s="78">
        <f t="shared" si="316"/>
        <v>27</v>
      </c>
      <c r="C1697" s="15"/>
      <c r="D1697" s="15"/>
      <c r="E1697" s="15"/>
      <c r="F1697" s="55" t="s">
        <v>189</v>
      </c>
      <c r="G1697" s="15">
        <v>630</v>
      </c>
      <c r="H1697" s="174" t="s">
        <v>713</v>
      </c>
      <c r="I1697" s="150">
        <v>1500</v>
      </c>
      <c r="J1697" s="150"/>
      <c r="K1697" s="150">
        <f t="shared" si="320"/>
        <v>1500</v>
      </c>
      <c r="L1697" s="166"/>
      <c r="M1697" s="150"/>
      <c r="N1697" s="150"/>
      <c r="O1697" s="150">
        <f t="shared" si="321"/>
        <v>0</v>
      </c>
      <c r="P1697" s="166"/>
      <c r="Q1697" s="150">
        <f t="shared" si="317"/>
        <v>1500</v>
      </c>
      <c r="R1697" s="150">
        <f t="shared" si="318"/>
        <v>0</v>
      </c>
      <c r="S1697" s="150">
        <f t="shared" si="319"/>
        <v>1500</v>
      </c>
    </row>
    <row r="1698" spans="2:19" x14ac:dyDescent="0.2">
      <c r="B1698" s="78">
        <f t="shared" si="316"/>
        <v>28</v>
      </c>
      <c r="C1698" s="4"/>
      <c r="D1698" s="4"/>
      <c r="E1698" s="4"/>
      <c r="F1698" s="56" t="s">
        <v>189</v>
      </c>
      <c r="G1698" s="4">
        <v>632</v>
      </c>
      <c r="H1698" s="4" t="s">
        <v>139</v>
      </c>
      <c r="I1698" s="26">
        <f>I1699+I1700</f>
        <v>3200</v>
      </c>
      <c r="J1698" s="26">
        <f>J1699+J1700</f>
        <v>0</v>
      </c>
      <c r="K1698" s="26">
        <f t="shared" si="320"/>
        <v>3200</v>
      </c>
      <c r="L1698" s="80"/>
      <c r="M1698" s="26"/>
      <c r="N1698" s="26"/>
      <c r="O1698" s="26">
        <f t="shared" si="321"/>
        <v>0</v>
      </c>
      <c r="P1698" s="80"/>
      <c r="Q1698" s="26">
        <f t="shared" si="317"/>
        <v>3200</v>
      </c>
      <c r="R1698" s="26">
        <f t="shared" si="318"/>
        <v>0</v>
      </c>
      <c r="S1698" s="26">
        <f t="shared" si="319"/>
        <v>3200</v>
      </c>
    </row>
    <row r="1699" spans="2:19" x14ac:dyDescent="0.2">
      <c r="B1699" s="78">
        <f t="shared" si="316"/>
        <v>29</v>
      </c>
      <c r="C1699" s="4"/>
      <c r="D1699" s="4"/>
      <c r="E1699" s="4"/>
      <c r="F1699" s="56"/>
      <c r="G1699" s="4"/>
      <c r="H1699" s="4" t="s">
        <v>278</v>
      </c>
      <c r="I1699" s="26">
        <v>1000</v>
      </c>
      <c r="J1699" s="26"/>
      <c r="K1699" s="26">
        <f t="shared" si="320"/>
        <v>1000</v>
      </c>
      <c r="L1699" s="80"/>
      <c r="M1699" s="26"/>
      <c r="N1699" s="26"/>
      <c r="O1699" s="26">
        <f t="shared" si="321"/>
        <v>0</v>
      </c>
      <c r="P1699" s="80"/>
      <c r="Q1699" s="26">
        <f t="shared" si="317"/>
        <v>1000</v>
      </c>
      <c r="R1699" s="26">
        <f t="shared" si="318"/>
        <v>0</v>
      </c>
      <c r="S1699" s="26">
        <f t="shared" si="319"/>
        <v>1000</v>
      </c>
    </row>
    <row r="1700" spans="2:19" x14ac:dyDescent="0.2">
      <c r="B1700" s="78">
        <f t="shared" si="316"/>
        <v>30</v>
      </c>
      <c r="C1700" s="4"/>
      <c r="D1700" s="4"/>
      <c r="E1700" s="4"/>
      <c r="F1700" s="56"/>
      <c r="G1700" s="4"/>
      <c r="H1700" s="4" t="s">
        <v>356</v>
      </c>
      <c r="I1700" s="26">
        <v>2200</v>
      </c>
      <c r="J1700" s="26"/>
      <c r="K1700" s="26">
        <f t="shared" si="320"/>
        <v>2200</v>
      </c>
      <c r="L1700" s="80"/>
      <c r="M1700" s="26"/>
      <c r="N1700" s="26"/>
      <c r="O1700" s="26">
        <f t="shared" si="321"/>
        <v>0</v>
      </c>
      <c r="P1700" s="80"/>
      <c r="Q1700" s="26">
        <f t="shared" si="317"/>
        <v>2200</v>
      </c>
      <c r="R1700" s="26">
        <f t="shared" si="318"/>
        <v>0</v>
      </c>
      <c r="S1700" s="26">
        <f t="shared" si="319"/>
        <v>2200</v>
      </c>
    </row>
    <row r="1701" spans="2:19" x14ac:dyDescent="0.2">
      <c r="B1701" s="78">
        <f t="shared" si="316"/>
        <v>31</v>
      </c>
      <c r="C1701" s="4"/>
      <c r="D1701" s="4"/>
      <c r="E1701" s="4"/>
      <c r="F1701" s="56" t="s">
        <v>189</v>
      </c>
      <c r="G1701" s="4">
        <v>636</v>
      </c>
      <c r="H1701" s="4" t="s">
        <v>133</v>
      </c>
      <c r="I1701" s="62">
        <f>40000+160000</f>
        <v>200000</v>
      </c>
      <c r="J1701" s="62"/>
      <c r="K1701" s="62">
        <f t="shared" si="320"/>
        <v>200000</v>
      </c>
      <c r="L1701" s="80"/>
      <c r="M1701" s="26"/>
      <c r="N1701" s="26"/>
      <c r="O1701" s="26">
        <f t="shared" si="321"/>
        <v>0</v>
      </c>
      <c r="P1701" s="80"/>
      <c r="Q1701" s="26">
        <f t="shared" si="317"/>
        <v>200000</v>
      </c>
      <c r="R1701" s="26">
        <f t="shared" si="318"/>
        <v>0</v>
      </c>
      <c r="S1701" s="26">
        <f t="shared" si="319"/>
        <v>200000</v>
      </c>
    </row>
    <row r="1702" spans="2:19" x14ac:dyDescent="0.2">
      <c r="B1702" s="78">
        <f t="shared" si="316"/>
        <v>32</v>
      </c>
      <c r="C1702" s="4"/>
      <c r="D1702" s="4"/>
      <c r="E1702" s="4"/>
      <c r="F1702" s="56" t="s">
        <v>189</v>
      </c>
      <c r="G1702" s="4">
        <v>637</v>
      </c>
      <c r="H1702" s="4" t="s">
        <v>129</v>
      </c>
      <c r="I1702" s="26">
        <v>1080</v>
      </c>
      <c r="J1702" s="26"/>
      <c r="K1702" s="26">
        <f t="shared" si="320"/>
        <v>1080</v>
      </c>
      <c r="L1702" s="80"/>
      <c r="M1702" s="26"/>
      <c r="N1702" s="26"/>
      <c r="O1702" s="26">
        <f t="shared" si="321"/>
        <v>0</v>
      </c>
      <c r="P1702" s="80"/>
      <c r="Q1702" s="26">
        <f t="shared" si="317"/>
        <v>1080</v>
      </c>
      <c r="R1702" s="26">
        <f t="shared" si="318"/>
        <v>0</v>
      </c>
      <c r="S1702" s="26">
        <f t="shared" si="319"/>
        <v>1080</v>
      </c>
    </row>
    <row r="1703" spans="2:19" x14ac:dyDescent="0.2">
      <c r="B1703" s="78">
        <f t="shared" si="316"/>
        <v>33</v>
      </c>
      <c r="C1703" s="15"/>
      <c r="D1703" s="15"/>
      <c r="E1703" s="15"/>
      <c r="F1703" s="55" t="s">
        <v>189</v>
      </c>
      <c r="G1703" s="15">
        <v>710</v>
      </c>
      <c r="H1703" s="15" t="s">
        <v>184</v>
      </c>
      <c r="I1703" s="52">
        <f>I1704</f>
        <v>0</v>
      </c>
      <c r="J1703" s="52">
        <f>J1704</f>
        <v>0</v>
      </c>
      <c r="K1703" s="52">
        <f t="shared" si="320"/>
        <v>0</v>
      </c>
      <c r="L1703" s="126"/>
      <c r="M1703" s="52">
        <f>M1704</f>
        <v>33000</v>
      </c>
      <c r="N1703" s="52">
        <f>N1704</f>
        <v>0</v>
      </c>
      <c r="O1703" s="52">
        <f t="shared" si="321"/>
        <v>33000</v>
      </c>
      <c r="P1703" s="126"/>
      <c r="Q1703" s="52">
        <f t="shared" si="317"/>
        <v>33000</v>
      </c>
      <c r="R1703" s="52">
        <f t="shared" si="318"/>
        <v>0</v>
      </c>
      <c r="S1703" s="52">
        <f t="shared" si="319"/>
        <v>33000</v>
      </c>
    </row>
    <row r="1704" spans="2:19" x14ac:dyDescent="0.2">
      <c r="B1704" s="79">
        <f t="shared" si="316"/>
        <v>34</v>
      </c>
      <c r="C1704" s="4"/>
      <c r="D1704" s="4"/>
      <c r="E1704" s="4"/>
      <c r="F1704" s="89" t="s">
        <v>189</v>
      </c>
      <c r="G1704" s="90">
        <v>717</v>
      </c>
      <c r="H1704" s="90" t="s">
        <v>194</v>
      </c>
      <c r="I1704" s="91"/>
      <c r="J1704" s="91"/>
      <c r="K1704" s="91">
        <f t="shared" si="320"/>
        <v>0</v>
      </c>
      <c r="L1704" s="80"/>
      <c r="M1704" s="91">
        <f>SUM(M1705:M1707)</f>
        <v>33000</v>
      </c>
      <c r="N1704" s="91">
        <f>SUM(N1705:N1707)</f>
        <v>0</v>
      </c>
      <c r="O1704" s="91">
        <f t="shared" si="321"/>
        <v>33000</v>
      </c>
      <c r="P1704" s="80"/>
      <c r="Q1704" s="91">
        <f t="shared" si="317"/>
        <v>33000</v>
      </c>
      <c r="R1704" s="91">
        <f t="shared" si="318"/>
        <v>0</v>
      </c>
      <c r="S1704" s="91">
        <f t="shared" si="319"/>
        <v>33000</v>
      </c>
    </row>
    <row r="1705" spans="2:19" x14ac:dyDescent="0.2">
      <c r="B1705" s="79">
        <f t="shared" si="316"/>
        <v>35</v>
      </c>
      <c r="C1705" s="4"/>
      <c r="D1705" s="4"/>
      <c r="E1705" s="4"/>
      <c r="F1705" s="56"/>
      <c r="G1705" s="4"/>
      <c r="H1705" s="4" t="s">
        <v>451</v>
      </c>
      <c r="I1705" s="26"/>
      <c r="J1705" s="26"/>
      <c r="K1705" s="26">
        <f t="shared" si="320"/>
        <v>0</v>
      </c>
      <c r="L1705" s="80"/>
      <c r="M1705" s="26">
        <v>11500</v>
      </c>
      <c r="N1705" s="26"/>
      <c r="O1705" s="26">
        <f t="shared" si="321"/>
        <v>11500</v>
      </c>
      <c r="P1705" s="80"/>
      <c r="Q1705" s="26">
        <f t="shared" si="317"/>
        <v>11500</v>
      </c>
      <c r="R1705" s="26">
        <f t="shared" si="318"/>
        <v>0</v>
      </c>
      <c r="S1705" s="26">
        <f t="shared" si="319"/>
        <v>11500</v>
      </c>
    </row>
    <row r="1706" spans="2:19" x14ac:dyDescent="0.2">
      <c r="B1706" s="79">
        <f t="shared" si="316"/>
        <v>36</v>
      </c>
      <c r="C1706" s="4"/>
      <c r="D1706" s="4"/>
      <c r="E1706" s="4"/>
      <c r="F1706" s="56"/>
      <c r="G1706" s="4"/>
      <c r="H1706" s="156" t="s">
        <v>704</v>
      </c>
      <c r="I1706" s="143"/>
      <c r="J1706" s="143"/>
      <c r="K1706" s="143">
        <f t="shared" si="320"/>
        <v>0</v>
      </c>
      <c r="L1706" s="166"/>
      <c r="M1706" s="143">
        <v>14000</v>
      </c>
      <c r="N1706" s="143"/>
      <c r="O1706" s="143">
        <f t="shared" si="321"/>
        <v>14000</v>
      </c>
      <c r="P1706" s="166"/>
      <c r="Q1706" s="143">
        <f t="shared" si="317"/>
        <v>14000</v>
      </c>
      <c r="R1706" s="143">
        <f t="shared" si="318"/>
        <v>0</v>
      </c>
      <c r="S1706" s="143">
        <f t="shared" si="319"/>
        <v>14000</v>
      </c>
    </row>
    <row r="1707" spans="2:19" x14ac:dyDescent="0.2">
      <c r="B1707" s="79">
        <f t="shared" si="316"/>
        <v>37</v>
      </c>
      <c r="C1707" s="4"/>
      <c r="D1707" s="4"/>
      <c r="E1707" s="4"/>
      <c r="F1707" s="56"/>
      <c r="G1707" s="4"/>
      <c r="H1707" s="4" t="s">
        <v>500</v>
      </c>
      <c r="I1707" s="26"/>
      <c r="J1707" s="26"/>
      <c r="K1707" s="26">
        <f t="shared" si="320"/>
        <v>0</v>
      </c>
      <c r="L1707" s="80"/>
      <c r="M1707" s="26">
        <v>7500</v>
      </c>
      <c r="N1707" s="26"/>
      <c r="O1707" s="26">
        <f t="shared" si="321"/>
        <v>7500</v>
      </c>
      <c r="P1707" s="80"/>
      <c r="Q1707" s="26">
        <f t="shared" si="317"/>
        <v>7500</v>
      </c>
      <c r="R1707" s="26">
        <f t="shared" si="318"/>
        <v>0</v>
      </c>
      <c r="S1707" s="26">
        <f t="shared" si="319"/>
        <v>7500</v>
      </c>
    </row>
    <row r="1708" spans="2:19" ht="15" x14ac:dyDescent="0.25">
      <c r="B1708" s="79">
        <f t="shared" si="316"/>
        <v>38</v>
      </c>
      <c r="C1708" s="190"/>
      <c r="D1708" s="190">
        <v>3</v>
      </c>
      <c r="E1708" s="269" t="s">
        <v>213</v>
      </c>
      <c r="F1708" s="270"/>
      <c r="G1708" s="270"/>
      <c r="H1708" s="270"/>
      <c r="I1708" s="49">
        <f>I1709+I1711+I1720</f>
        <v>403855</v>
      </c>
      <c r="J1708" s="49">
        <f>J1709+J1711+J1720</f>
        <v>22000</v>
      </c>
      <c r="K1708" s="49">
        <f t="shared" si="320"/>
        <v>425855</v>
      </c>
      <c r="L1708" s="202"/>
      <c r="M1708" s="49">
        <f>M1709+M1711+M1720</f>
        <v>203000</v>
      </c>
      <c r="N1708" s="49">
        <f>N1709+N1711+N1720</f>
        <v>0</v>
      </c>
      <c r="O1708" s="49">
        <f t="shared" si="321"/>
        <v>203000</v>
      </c>
      <c r="P1708" s="202"/>
      <c r="Q1708" s="49">
        <f t="shared" si="317"/>
        <v>606855</v>
      </c>
      <c r="R1708" s="49">
        <f t="shared" si="318"/>
        <v>22000</v>
      </c>
      <c r="S1708" s="49">
        <f t="shared" si="319"/>
        <v>628855</v>
      </c>
    </row>
    <row r="1709" spans="2:19" x14ac:dyDescent="0.2">
      <c r="B1709" s="79">
        <f t="shared" si="316"/>
        <v>39</v>
      </c>
      <c r="C1709" s="15"/>
      <c r="D1709" s="15"/>
      <c r="E1709" s="15"/>
      <c r="F1709" s="55" t="s">
        <v>189</v>
      </c>
      <c r="G1709" s="15">
        <v>630</v>
      </c>
      <c r="H1709" s="15" t="s">
        <v>128</v>
      </c>
      <c r="I1709" s="52">
        <f>I1710</f>
        <v>2670</v>
      </c>
      <c r="J1709" s="52">
        <f>J1710</f>
        <v>0</v>
      </c>
      <c r="K1709" s="52">
        <f t="shared" si="320"/>
        <v>2670</v>
      </c>
      <c r="L1709" s="126"/>
      <c r="M1709" s="52">
        <f>M1710</f>
        <v>0</v>
      </c>
      <c r="N1709" s="52">
        <f>N1710</f>
        <v>0</v>
      </c>
      <c r="O1709" s="52">
        <f t="shared" si="321"/>
        <v>0</v>
      </c>
      <c r="P1709" s="126"/>
      <c r="Q1709" s="52">
        <f t="shared" si="317"/>
        <v>2670</v>
      </c>
      <c r="R1709" s="52">
        <f t="shared" si="318"/>
        <v>0</v>
      </c>
      <c r="S1709" s="52">
        <f t="shared" si="319"/>
        <v>2670</v>
      </c>
    </row>
    <row r="1710" spans="2:19" x14ac:dyDescent="0.2">
      <c r="B1710" s="79">
        <f t="shared" si="316"/>
        <v>40</v>
      </c>
      <c r="C1710" s="4"/>
      <c r="D1710" s="4"/>
      <c r="E1710" s="4"/>
      <c r="F1710" s="56" t="s">
        <v>189</v>
      </c>
      <c r="G1710" s="4">
        <v>637</v>
      </c>
      <c r="H1710" s="4" t="s">
        <v>129</v>
      </c>
      <c r="I1710" s="26">
        <v>2670</v>
      </c>
      <c r="J1710" s="26"/>
      <c r="K1710" s="26">
        <f t="shared" si="320"/>
        <v>2670</v>
      </c>
      <c r="L1710" s="80"/>
      <c r="M1710" s="26"/>
      <c r="N1710" s="26"/>
      <c r="O1710" s="26">
        <f t="shared" si="321"/>
        <v>0</v>
      </c>
      <c r="P1710" s="80"/>
      <c r="Q1710" s="26">
        <f t="shared" si="317"/>
        <v>2670</v>
      </c>
      <c r="R1710" s="26">
        <f t="shared" si="318"/>
        <v>0</v>
      </c>
      <c r="S1710" s="26">
        <f t="shared" si="319"/>
        <v>2670</v>
      </c>
    </row>
    <row r="1711" spans="2:19" x14ac:dyDescent="0.2">
      <c r="B1711" s="79">
        <f t="shared" si="316"/>
        <v>41</v>
      </c>
      <c r="C1711" s="15"/>
      <c r="D1711" s="15"/>
      <c r="E1711" s="15"/>
      <c r="F1711" s="55" t="s">
        <v>189</v>
      </c>
      <c r="G1711" s="15">
        <v>710</v>
      </c>
      <c r="H1711" s="15" t="s">
        <v>184</v>
      </c>
      <c r="I1711" s="52">
        <v>0</v>
      </c>
      <c r="J1711" s="52">
        <v>0</v>
      </c>
      <c r="K1711" s="52">
        <f t="shared" si="320"/>
        <v>0</v>
      </c>
      <c r="L1711" s="126"/>
      <c r="M1711" s="52">
        <f>M1712+M1716</f>
        <v>203000</v>
      </c>
      <c r="N1711" s="52">
        <f>N1712+N1716</f>
        <v>0</v>
      </c>
      <c r="O1711" s="52">
        <f t="shared" si="321"/>
        <v>203000</v>
      </c>
      <c r="P1711" s="126"/>
      <c r="Q1711" s="52">
        <f t="shared" si="317"/>
        <v>203000</v>
      </c>
      <c r="R1711" s="52">
        <f t="shared" si="318"/>
        <v>0</v>
      </c>
      <c r="S1711" s="52">
        <f t="shared" si="319"/>
        <v>203000</v>
      </c>
    </row>
    <row r="1712" spans="2:19" x14ac:dyDescent="0.2">
      <c r="B1712" s="79">
        <f t="shared" si="316"/>
        <v>42</v>
      </c>
      <c r="C1712" s="15"/>
      <c r="D1712" s="15"/>
      <c r="E1712" s="15"/>
      <c r="F1712" s="89" t="s">
        <v>189</v>
      </c>
      <c r="G1712" s="90">
        <v>716</v>
      </c>
      <c r="H1712" s="90" t="s">
        <v>0</v>
      </c>
      <c r="I1712" s="91"/>
      <c r="J1712" s="91"/>
      <c r="K1712" s="91">
        <f t="shared" si="320"/>
        <v>0</v>
      </c>
      <c r="L1712" s="80"/>
      <c r="M1712" s="91">
        <f>M1713+M1714+M1715</f>
        <v>13800</v>
      </c>
      <c r="N1712" s="91">
        <f>N1713+N1714+N1715</f>
        <v>0</v>
      </c>
      <c r="O1712" s="91">
        <f t="shared" si="321"/>
        <v>13800</v>
      </c>
      <c r="P1712" s="80"/>
      <c r="Q1712" s="91">
        <f t="shared" si="317"/>
        <v>13800</v>
      </c>
      <c r="R1712" s="91">
        <f t="shared" si="318"/>
        <v>0</v>
      </c>
      <c r="S1712" s="91">
        <f t="shared" si="319"/>
        <v>13800</v>
      </c>
    </row>
    <row r="1713" spans="2:19" x14ac:dyDescent="0.2">
      <c r="B1713" s="79">
        <f t="shared" si="316"/>
        <v>43</v>
      </c>
      <c r="C1713" s="15"/>
      <c r="D1713" s="15"/>
      <c r="E1713" s="15"/>
      <c r="F1713" s="55"/>
      <c r="G1713" s="15"/>
      <c r="H1713" s="4" t="s">
        <v>468</v>
      </c>
      <c r="I1713" s="52"/>
      <c r="J1713" s="52"/>
      <c r="K1713" s="52">
        <f t="shared" si="320"/>
        <v>0</v>
      </c>
      <c r="L1713" s="126"/>
      <c r="M1713" s="62">
        <v>2000</v>
      </c>
      <c r="N1713" s="62"/>
      <c r="O1713" s="62">
        <f t="shared" si="321"/>
        <v>2000</v>
      </c>
      <c r="P1713" s="80"/>
      <c r="Q1713" s="62">
        <f t="shared" si="317"/>
        <v>2000</v>
      </c>
      <c r="R1713" s="62">
        <f t="shared" si="318"/>
        <v>0</v>
      </c>
      <c r="S1713" s="62">
        <f t="shared" si="319"/>
        <v>2000</v>
      </c>
    </row>
    <row r="1714" spans="2:19" x14ac:dyDescent="0.2">
      <c r="B1714" s="79">
        <f t="shared" si="316"/>
        <v>44</v>
      </c>
      <c r="C1714" s="15"/>
      <c r="D1714" s="15"/>
      <c r="E1714" s="15"/>
      <c r="F1714" s="55"/>
      <c r="G1714" s="15"/>
      <c r="H1714" s="4" t="s">
        <v>518</v>
      </c>
      <c r="I1714" s="52"/>
      <c r="J1714" s="52"/>
      <c r="K1714" s="52">
        <f t="shared" si="320"/>
        <v>0</v>
      </c>
      <c r="L1714" s="126"/>
      <c r="M1714" s="62">
        <v>1800</v>
      </c>
      <c r="N1714" s="62"/>
      <c r="O1714" s="62">
        <f t="shared" si="321"/>
        <v>1800</v>
      </c>
      <c r="P1714" s="80"/>
      <c r="Q1714" s="62">
        <f t="shared" si="317"/>
        <v>1800</v>
      </c>
      <c r="R1714" s="62">
        <f t="shared" si="318"/>
        <v>0</v>
      </c>
      <c r="S1714" s="62">
        <f t="shared" si="319"/>
        <v>1800</v>
      </c>
    </row>
    <row r="1715" spans="2:19" x14ac:dyDescent="0.2">
      <c r="B1715" s="79">
        <f t="shared" si="316"/>
        <v>45</v>
      </c>
      <c r="C1715" s="15"/>
      <c r="D1715" s="15"/>
      <c r="E1715" s="15"/>
      <c r="F1715" s="55"/>
      <c r="G1715" s="15"/>
      <c r="H1715" s="4" t="s">
        <v>768</v>
      </c>
      <c r="I1715" s="52"/>
      <c r="J1715" s="52"/>
      <c r="K1715" s="52">
        <f t="shared" si="320"/>
        <v>0</v>
      </c>
      <c r="L1715" s="126"/>
      <c r="M1715" s="62">
        <v>10000</v>
      </c>
      <c r="N1715" s="62"/>
      <c r="O1715" s="62">
        <f t="shared" si="321"/>
        <v>10000</v>
      </c>
      <c r="P1715" s="80"/>
      <c r="Q1715" s="62">
        <f t="shared" si="317"/>
        <v>10000</v>
      </c>
      <c r="R1715" s="62">
        <f t="shared" si="318"/>
        <v>0</v>
      </c>
      <c r="S1715" s="62">
        <f t="shared" si="319"/>
        <v>10000</v>
      </c>
    </row>
    <row r="1716" spans="2:19" x14ac:dyDescent="0.2">
      <c r="B1716" s="79">
        <f t="shared" si="316"/>
        <v>46</v>
      </c>
      <c r="C1716" s="4"/>
      <c r="D1716" s="4"/>
      <c r="E1716" s="4"/>
      <c r="F1716" s="89" t="s">
        <v>189</v>
      </c>
      <c r="G1716" s="90">
        <v>717</v>
      </c>
      <c r="H1716" s="90" t="s">
        <v>194</v>
      </c>
      <c r="I1716" s="91"/>
      <c r="J1716" s="91"/>
      <c r="K1716" s="91">
        <f t="shared" si="320"/>
        <v>0</v>
      </c>
      <c r="L1716" s="80"/>
      <c r="M1716" s="91">
        <f>SUM(M1717:M1719)</f>
        <v>189200</v>
      </c>
      <c r="N1716" s="91">
        <f>SUM(N1717:N1719)</f>
        <v>0</v>
      </c>
      <c r="O1716" s="91">
        <f t="shared" si="321"/>
        <v>189200</v>
      </c>
      <c r="P1716" s="80"/>
      <c r="Q1716" s="91">
        <f t="shared" si="317"/>
        <v>189200</v>
      </c>
      <c r="R1716" s="91">
        <f t="shared" si="318"/>
        <v>0</v>
      </c>
      <c r="S1716" s="91">
        <f t="shared" si="319"/>
        <v>189200</v>
      </c>
    </row>
    <row r="1717" spans="2:19" x14ac:dyDescent="0.2">
      <c r="B1717" s="79">
        <f t="shared" si="316"/>
        <v>47</v>
      </c>
      <c r="C1717" s="4"/>
      <c r="D1717" s="4"/>
      <c r="E1717" s="4"/>
      <c r="F1717" s="56"/>
      <c r="G1717" s="4"/>
      <c r="H1717" s="4" t="s">
        <v>643</v>
      </c>
      <c r="I1717" s="26"/>
      <c r="J1717" s="26"/>
      <c r="K1717" s="26">
        <f t="shared" si="320"/>
        <v>0</v>
      </c>
      <c r="L1717" s="80"/>
      <c r="M1717" s="26">
        <f>200000-1800+34000-85000</f>
        <v>147200</v>
      </c>
      <c r="N1717" s="26"/>
      <c r="O1717" s="26">
        <f t="shared" si="321"/>
        <v>147200</v>
      </c>
      <c r="P1717" s="80"/>
      <c r="Q1717" s="26">
        <f t="shared" si="317"/>
        <v>147200</v>
      </c>
      <c r="R1717" s="26">
        <f t="shared" si="318"/>
        <v>0</v>
      </c>
      <c r="S1717" s="26">
        <f t="shared" si="319"/>
        <v>147200</v>
      </c>
    </row>
    <row r="1718" spans="2:19" x14ac:dyDescent="0.2">
      <c r="B1718" s="79">
        <f t="shared" si="316"/>
        <v>48</v>
      </c>
      <c r="C1718" s="4"/>
      <c r="D1718" s="4"/>
      <c r="E1718" s="4"/>
      <c r="F1718" s="56"/>
      <c r="G1718" s="4"/>
      <c r="H1718" s="4" t="s">
        <v>468</v>
      </c>
      <c r="I1718" s="26"/>
      <c r="J1718" s="26"/>
      <c r="K1718" s="26">
        <f t="shared" si="320"/>
        <v>0</v>
      </c>
      <c r="L1718" s="80"/>
      <c r="M1718" s="26">
        <f>55000-2000-8000-3000</f>
        <v>42000</v>
      </c>
      <c r="N1718" s="26"/>
      <c r="O1718" s="26">
        <f t="shared" si="321"/>
        <v>42000</v>
      </c>
      <c r="P1718" s="80"/>
      <c r="Q1718" s="26">
        <f t="shared" si="317"/>
        <v>42000</v>
      </c>
      <c r="R1718" s="26">
        <f t="shared" si="318"/>
        <v>0</v>
      </c>
      <c r="S1718" s="26">
        <f t="shared" si="319"/>
        <v>42000</v>
      </c>
    </row>
    <row r="1719" spans="2:19" x14ac:dyDescent="0.2">
      <c r="B1719" s="79">
        <f t="shared" si="316"/>
        <v>49</v>
      </c>
      <c r="C1719" s="4"/>
      <c r="D1719" s="4"/>
      <c r="E1719" s="4"/>
      <c r="F1719" s="56"/>
      <c r="G1719" s="4"/>
      <c r="H1719" s="4" t="s">
        <v>614</v>
      </c>
      <c r="I1719" s="26"/>
      <c r="J1719" s="26"/>
      <c r="K1719" s="26">
        <f t="shared" si="320"/>
        <v>0</v>
      </c>
      <c r="L1719" s="80"/>
      <c r="M1719" s="26">
        <f>280000-280000</f>
        <v>0</v>
      </c>
      <c r="N1719" s="26">
        <f>280000-280000</f>
        <v>0</v>
      </c>
      <c r="O1719" s="26">
        <f t="shared" si="321"/>
        <v>0</v>
      </c>
      <c r="P1719" s="80"/>
      <c r="Q1719" s="26">
        <f t="shared" si="317"/>
        <v>0</v>
      </c>
      <c r="R1719" s="26">
        <f t="shared" si="318"/>
        <v>0</v>
      </c>
      <c r="S1719" s="26">
        <f t="shared" si="319"/>
        <v>0</v>
      </c>
    </row>
    <row r="1720" spans="2:19" ht="15" x14ac:dyDescent="0.25">
      <c r="B1720" s="79">
        <f t="shared" si="316"/>
        <v>50</v>
      </c>
      <c r="C1720" s="18"/>
      <c r="D1720" s="18"/>
      <c r="E1720" s="18">
        <v>2</v>
      </c>
      <c r="F1720" s="53"/>
      <c r="G1720" s="18"/>
      <c r="H1720" s="18" t="s">
        <v>257</v>
      </c>
      <c r="I1720" s="50">
        <f>I1721+I1722+I1723+I1730+I1729</f>
        <v>401185</v>
      </c>
      <c r="J1720" s="50">
        <f>J1721+J1722+J1723+J1730+J1729</f>
        <v>22000</v>
      </c>
      <c r="K1720" s="50">
        <f t="shared" si="320"/>
        <v>423185</v>
      </c>
      <c r="L1720" s="203"/>
      <c r="M1720" s="50">
        <f>M1721+M1722+M1723+M1730</f>
        <v>0</v>
      </c>
      <c r="N1720" s="50">
        <f>N1721+N1722+N1723+N1730</f>
        <v>0</v>
      </c>
      <c r="O1720" s="50">
        <f t="shared" si="321"/>
        <v>0</v>
      </c>
      <c r="P1720" s="203"/>
      <c r="Q1720" s="50">
        <f t="shared" si="317"/>
        <v>401185</v>
      </c>
      <c r="R1720" s="50">
        <f t="shared" si="318"/>
        <v>22000</v>
      </c>
      <c r="S1720" s="50">
        <f t="shared" si="319"/>
        <v>423185</v>
      </c>
    </row>
    <row r="1721" spans="2:19" x14ac:dyDescent="0.2">
      <c r="B1721" s="79">
        <f t="shared" si="316"/>
        <v>51</v>
      </c>
      <c r="C1721" s="15"/>
      <c r="D1721" s="15"/>
      <c r="E1721" s="15"/>
      <c r="F1721" s="55" t="s">
        <v>189</v>
      </c>
      <c r="G1721" s="15">
        <v>610</v>
      </c>
      <c r="H1721" s="15" t="s">
        <v>136</v>
      </c>
      <c r="I1721" s="52">
        <f>96000+3400</f>
        <v>99400</v>
      </c>
      <c r="J1721" s="52"/>
      <c r="K1721" s="52">
        <f t="shared" si="320"/>
        <v>99400</v>
      </c>
      <c r="L1721" s="126"/>
      <c r="M1721" s="52"/>
      <c r="N1721" s="52"/>
      <c r="O1721" s="52">
        <f t="shared" si="321"/>
        <v>0</v>
      </c>
      <c r="P1721" s="126"/>
      <c r="Q1721" s="52">
        <f t="shared" si="317"/>
        <v>99400</v>
      </c>
      <c r="R1721" s="52">
        <f t="shared" si="318"/>
        <v>0</v>
      </c>
      <c r="S1721" s="52">
        <f t="shared" si="319"/>
        <v>99400</v>
      </c>
    </row>
    <row r="1722" spans="2:19" x14ac:dyDescent="0.2">
      <c r="B1722" s="79">
        <f t="shared" si="316"/>
        <v>52</v>
      </c>
      <c r="C1722" s="15"/>
      <c r="D1722" s="15"/>
      <c r="E1722" s="15"/>
      <c r="F1722" s="55" t="s">
        <v>189</v>
      </c>
      <c r="G1722" s="15">
        <v>620</v>
      </c>
      <c r="H1722" s="15" t="s">
        <v>131</v>
      </c>
      <c r="I1722" s="52">
        <f>34145+1300</f>
        <v>35445</v>
      </c>
      <c r="J1722" s="52"/>
      <c r="K1722" s="52">
        <f t="shared" si="320"/>
        <v>35445</v>
      </c>
      <c r="L1722" s="126"/>
      <c r="M1722" s="52"/>
      <c r="N1722" s="52"/>
      <c r="O1722" s="52">
        <f t="shared" si="321"/>
        <v>0</v>
      </c>
      <c r="P1722" s="126"/>
      <c r="Q1722" s="52">
        <f t="shared" si="317"/>
        <v>35445</v>
      </c>
      <c r="R1722" s="52">
        <f t="shared" si="318"/>
        <v>0</v>
      </c>
      <c r="S1722" s="52">
        <f t="shared" si="319"/>
        <v>35445</v>
      </c>
    </row>
    <row r="1723" spans="2:19" x14ac:dyDescent="0.2">
      <c r="B1723" s="79">
        <f t="shared" si="316"/>
        <v>53</v>
      </c>
      <c r="C1723" s="15"/>
      <c r="D1723" s="15"/>
      <c r="E1723" s="15"/>
      <c r="F1723" s="55" t="s">
        <v>189</v>
      </c>
      <c r="G1723" s="15">
        <v>630</v>
      </c>
      <c r="H1723" s="15" t="s">
        <v>128</v>
      </c>
      <c r="I1723" s="52">
        <f>SUM(I1724:I1728)</f>
        <v>255654</v>
      </c>
      <c r="J1723" s="52">
        <f>SUM(J1724:J1728)</f>
        <v>21850</v>
      </c>
      <c r="K1723" s="52">
        <f t="shared" si="320"/>
        <v>277504</v>
      </c>
      <c r="L1723" s="126"/>
      <c r="M1723" s="52">
        <f>SUM(M1724:M1728)</f>
        <v>0</v>
      </c>
      <c r="N1723" s="52">
        <f>SUM(N1724:N1728)</f>
        <v>0</v>
      </c>
      <c r="O1723" s="52">
        <f t="shared" si="321"/>
        <v>0</v>
      </c>
      <c r="P1723" s="126"/>
      <c r="Q1723" s="52">
        <f t="shared" si="317"/>
        <v>255654</v>
      </c>
      <c r="R1723" s="52">
        <f t="shared" si="318"/>
        <v>21850</v>
      </c>
      <c r="S1723" s="52">
        <f t="shared" si="319"/>
        <v>277504</v>
      </c>
    </row>
    <row r="1724" spans="2:19" x14ac:dyDescent="0.2">
      <c r="B1724" s="79">
        <f t="shared" si="316"/>
        <v>54</v>
      </c>
      <c r="C1724" s="4"/>
      <c r="D1724" s="4"/>
      <c r="E1724" s="4"/>
      <c r="F1724" s="56" t="s">
        <v>189</v>
      </c>
      <c r="G1724" s="4">
        <v>632</v>
      </c>
      <c r="H1724" s="4" t="s">
        <v>139</v>
      </c>
      <c r="I1724" s="26">
        <f>206470-20436</f>
        <v>186034</v>
      </c>
      <c r="J1724" s="26">
        <v>25000</v>
      </c>
      <c r="K1724" s="26">
        <f t="shared" si="320"/>
        <v>211034</v>
      </c>
      <c r="L1724" s="80"/>
      <c r="M1724" s="26"/>
      <c r="N1724" s="26"/>
      <c r="O1724" s="26">
        <f t="shared" si="321"/>
        <v>0</v>
      </c>
      <c r="P1724" s="80"/>
      <c r="Q1724" s="26">
        <f t="shared" si="317"/>
        <v>186034</v>
      </c>
      <c r="R1724" s="26">
        <f t="shared" si="318"/>
        <v>25000</v>
      </c>
      <c r="S1724" s="26">
        <f t="shared" si="319"/>
        <v>211034</v>
      </c>
    </row>
    <row r="1725" spans="2:19" x14ac:dyDescent="0.2">
      <c r="B1725" s="79">
        <f t="shared" si="316"/>
        <v>55</v>
      </c>
      <c r="C1725" s="4"/>
      <c r="D1725" s="4"/>
      <c r="E1725" s="4"/>
      <c r="F1725" s="56" t="s">
        <v>189</v>
      </c>
      <c r="G1725" s="4">
        <v>633</v>
      </c>
      <c r="H1725" s="4" t="s">
        <v>132</v>
      </c>
      <c r="I1725" s="26">
        <f>12200+300+4500+5000</f>
        <v>22000</v>
      </c>
      <c r="J1725" s="26"/>
      <c r="K1725" s="26">
        <f t="shared" si="320"/>
        <v>22000</v>
      </c>
      <c r="L1725" s="80"/>
      <c r="M1725" s="26"/>
      <c r="N1725" s="26"/>
      <c r="O1725" s="26">
        <f t="shared" si="321"/>
        <v>0</v>
      </c>
      <c r="P1725" s="80"/>
      <c r="Q1725" s="26">
        <f t="shared" si="317"/>
        <v>22000</v>
      </c>
      <c r="R1725" s="26">
        <f t="shared" si="318"/>
        <v>0</v>
      </c>
      <c r="S1725" s="26">
        <f t="shared" si="319"/>
        <v>22000</v>
      </c>
    </row>
    <row r="1726" spans="2:19" x14ac:dyDescent="0.2">
      <c r="B1726" s="79">
        <f t="shared" si="316"/>
        <v>56</v>
      </c>
      <c r="C1726" s="4"/>
      <c r="D1726" s="4"/>
      <c r="E1726" s="4"/>
      <c r="F1726" s="56" t="s">
        <v>189</v>
      </c>
      <c r="G1726" s="4">
        <v>635</v>
      </c>
      <c r="H1726" s="4" t="s">
        <v>138</v>
      </c>
      <c r="I1726" s="26">
        <f>10000-150+3250</f>
        <v>13100</v>
      </c>
      <c r="J1726" s="26">
        <v>-6150</v>
      </c>
      <c r="K1726" s="26">
        <f t="shared" si="320"/>
        <v>6950</v>
      </c>
      <c r="L1726" s="80"/>
      <c r="M1726" s="26"/>
      <c r="N1726" s="26"/>
      <c r="O1726" s="26">
        <f t="shared" si="321"/>
        <v>0</v>
      </c>
      <c r="P1726" s="80"/>
      <c r="Q1726" s="26">
        <f t="shared" si="317"/>
        <v>13100</v>
      </c>
      <c r="R1726" s="26">
        <f t="shared" si="318"/>
        <v>-6150</v>
      </c>
      <c r="S1726" s="26">
        <f t="shared" si="319"/>
        <v>6950</v>
      </c>
    </row>
    <row r="1727" spans="2:19" x14ac:dyDescent="0.2">
      <c r="B1727" s="79">
        <f t="shared" si="316"/>
        <v>57</v>
      </c>
      <c r="C1727" s="4"/>
      <c r="D1727" s="4"/>
      <c r="E1727" s="4"/>
      <c r="F1727" s="56" t="s">
        <v>189</v>
      </c>
      <c r="G1727" s="4">
        <v>636</v>
      </c>
      <c r="H1727" s="4" t="s">
        <v>133</v>
      </c>
      <c r="I1727" s="26">
        <v>200</v>
      </c>
      <c r="J1727" s="26"/>
      <c r="K1727" s="26">
        <f t="shared" si="320"/>
        <v>200</v>
      </c>
      <c r="L1727" s="80"/>
      <c r="M1727" s="26"/>
      <c r="N1727" s="26"/>
      <c r="O1727" s="26">
        <f t="shared" si="321"/>
        <v>0</v>
      </c>
      <c r="P1727" s="80"/>
      <c r="Q1727" s="26">
        <f t="shared" si="317"/>
        <v>200</v>
      </c>
      <c r="R1727" s="26">
        <f t="shared" si="318"/>
        <v>0</v>
      </c>
      <c r="S1727" s="26">
        <f t="shared" si="319"/>
        <v>200</v>
      </c>
    </row>
    <row r="1728" spans="2:19" x14ac:dyDescent="0.2">
      <c r="B1728" s="79">
        <f t="shared" si="316"/>
        <v>58</v>
      </c>
      <c r="C1728" s="4"/>
      <c r="D1728" s="4"/>
      <c r="E1728" s="4"/>
      <c r="F1728" s="56" t="s">
        <v>189</v>
      </c>
      <c r="G1728" s="4">
        <v>637</v>
      </c>
      <c r="H1728" s="4" t="s">
        <v>129</v>
      </c>
      <c r="I1728" s="26">
        <f>33200+520+600</f>
        <v>34320</v>
      </c>
      <c r="J1728" s="26">
        <v>3000</v>
      </c>
      <c r="K1728" s="26">
        <f t="shared" si="320"/>
        <v>37320</v>
      </c>
      <c r="L1728" s="80"/>
      <c r="M1728" s="26"/>
      <c r="N1728" s="26"/>
      <c r="O1728" s="26">
        <f t="shared" si="321"/>
        <v>0</v>
      </c>
      <c r="P1728" s="80"/>
      <c r="Q1728" s="26">
        <f t="shared" si="317"/>
        <v>34320</v>
      </c>
      <c r="R1728" s="26">
        <f t="shared" si="318"/>
        <v>3000</v>
      </c>
      <c r="S1728" s="26">
        <f t="shared" si="319"/>
        <v>37320</v>
      </c>
    </row>
    <row r="1729" spans="1:19" s="75" customFormat="1" ht="25.5" customHeight="1" x14ac:dyDescent="0.2">
      <c r="A1729" s="71"/>
      <c r="B1729" s="78">
        <f t="shared" si="316"/>
        <v>59</v>
      </c>
      <c r="C1729" s="82"/>
      <c r="D1729" s="82"/>
      <c r="E1729" s="82"/>
      <c r="F1729" s="83" t="s">
        <v>189</v>
      </c>
      <c r="G1729" s="219">
        <v>630</v>
      </c>
      <c r="H1729" s="220" t="s">
        <v>717</v>
      </c>
      <c r="I1729" s="221">
        <v>10436</v>
      </c>
      <c r="J1729" s="221"/>
      <c r="K1729" s="221">
        <f t="shared" si="320"/>
        <v>10436</v>
      </c>
      <c r="L1729" s="206"/>
      <c r="M1729" s="221"/>
      <c r="N1729" s="221"/>
      <c r="O1729" s="221">
        <f t="shared" si="321"/>
        <v>0</v>
      </c>
      <c r="P1729" s="206"/>
      <c r="Q1729" s="74">
        <f t="shared" si="317"/>
        <v>10436</v>
      </c>
      <c r="R1729" s="74">
        <f t="shared" si="318"/>
        <v>0</v>
      </c>
      <c r="S1729" s="74">
        <f t="shared" si="319"/>
        <v>10436</v>
      </c>
    </row>
    <row r="1730" spans="1:19" x14ac:dyDescent="0.2">
      <c r="B1730" s="79">
        <f t="shared" si="316"/>
        <v>60</v>
      </c>
      <c r="C1730" s="15"/>
      <c r="D1730" s="15"/>
      <c r="E1730" s="15"/>
      <c r="F1730" s="55" t="s">
        <v>189</v>
      </c>
      <c r="G1730" s="15">
        <v>640</v>
      </c>
      <c r="H1730" s="15" t="s">
        <v>135</v>
      </c>
      <c r="I1730" s="52">
        <f>100+150</f>
        <v>250</v>
      </c>
      <c r="J1730" s="52">
        <v>150</v>
      </c>
      <c r="K1730" s="52">
        <f t="shared" si="320"/>
        <v>400</v>
      </c>
      <c r="L1730" s="126"/>
      <c r="M1730" s="52"/>
      <c r="N1730" s="52"/>
      <c r="O1730" s="52">
        <f t="shared" si="321"/>
        <v>0</v>
      </c>
      <c r="P1730" s="126"/>
      <c r="Q1730" s="52">
        <f t="shared" si="317"/>
        <v>250</v>
      </c>
      <c r="R1730" s="52">
        <f t="shared" si="318"/>
        <v>150</v>
      </c>
      <c r="S1730" s="52">
        <f t="shared" si="319"/>
        <v>400</v>
      </c>
    </row>
    <row r="1731" spans="1:19" ht="15" x14ac:dyDescent="0.25">
      <c r="B1731" s="79">
        <f t="shared" si="316"/>
        <v>61</v>
      </c>
      <c r="C1731" s="190"/>
      <c r="D1731" s="190">
        <v>4</v>
      </c>
      <c r="E1731" s="269" t="s">
        <v>214</v>
      </c>
      <c r="F1731" s="270"/>
      <c r="G1731" s="270"/>
      <c r="H1731" s="270"/>
      <c r="I1731" s="49">
        <f>I1732+I1736+I1743</f>
        <v>461765</v>
      </c>
      <c r="J1731" s="49">
        <f>J1732+J1736+J1743</f>
        <v>-22000</v>
      </c>
      <c r="K1731" s="49">
        <f t="shared" si="320"/>
        <v>439765</v>
      </c>
      <c r="L1731" s="202"/>
      <c r="M1731" s="49">
        <f>M1732+M1736+M1743</f>
        <v>688755</v>
      </c>
      <c r="N1731" s="49">
        <f>N1732+N1736+N1743</f>
        <v>-540255</v>
      </c>
      <c r="O1731" s="49">
        <f t="shared" si="321"/>
        <v>148500</v>
      </c>
      <c r="P1731" s="202"/>
      <c r="Q1731" s="49">
        <f t="shared" si="317"/>
        <v>1150520</v>
      </c>
      <c r="R1731" s="49">
        <f t="shared" si="318"/>
        <v>-562255</v>
      </c>
      <c r="S1731" s="49">
        <f t="shared" si="319"/>
        <v>588265</v>
      </c>
    </row>
    <row r="1732" spans="1:19" x14ac:dyDescent="0.2">
      <c r="B1732" s="79">
        <f t="shared" si="316"/>
        <v>62</v>
      </c>
      <c r="C1732" s="15"/>
      <c r="D1732" s="15"/>
      <c r="E1732" s="15"/>
      <c r="F1732" s="55" t="s">
        <v>189</v>
      </c>
      <c r="G1732" s="15">
        <v>630</v>
      </c>
      <c r="H1732" s="15" t="s">
        <v>128</v>
      </c>
      <c r="I1732" s="52">
        <f>I1735+I1733+I1734</f>
        <v>58760</v>
      </c>
      <c r="J1732" s="52">
        <f>J1735+J1733+J1734</f>
        <v>0</v>
      </c>
      <c r="K1732" s="52">
        <f t="shared" si="320"/>
        <v>58760</v>
      </c>
      <c r="L1732" s="126"/>
      <c r="M1732" s="52">
        <f>M1735</f>
        <v>0</v>
      </c>
      <c r="N1732" s="52">
        <f>N1735</f>
        <v>0</v>
      </c>
      <c r="O1732" s="52">
        <f t="shared" si="321"/>
        <v>0</v>
      </c>
      <c r="P1732" s="126"/>
      <c r="Q1732" s="52">
        <f t="shared" si="317"/>
        <v>58760</v>
      </c>
      <c r="R1732" s="52">
        <f t="shared" si="318"/>
        <v>0</v>
      </c>
      <c r="S1732" s="52">
        <f t="shared" si="319"/>
        <v>58760</v>
      </c>
    </row>
    <row r="1733" spans="1:19" x14ac:dyDescent="0.2">
      <c r="B1733" s="79">
        <f t="shared" si="316"/>
        <v>63</v>
      </c>
      <c r="C1733" s="15"/>
      <c r="D1733" s="15"/>
      <c r="E1733" s="15"/>
      <c r="F1733" s="56" t="s">
        <v>189</v>
      </c>
      <c r="G1733" s="4">
        <v>632</v>
      </c>
      <c r="H1733" s="4" t="s">
        <v>139</v>
      </c>
      <c r="I1733" s="26">
        <f>800+700+35000</f>
        <v>36500</v>
      </c>
      <c r="J1733" s="26"/>
      <c r="K1733" s="26">
        <f t="shared" si="320"/>
        <v>36500</v>
      </c>
      <c r="L1733" s="80"/>
      <c r="M1733" s="26"/>
      <c r="N1733" s="26"/>
      <c r="O1733" s="26">
        <f t="shared" si="321"/>
        <v>0</v>
      </c>
      <c r="P1733" s="80"/>
      <c r="Q1733" s="26">
        <f t="shared" si="317"/>
        <v>36500</v>
      </c>
      <c r="R1733" s="26">
        <f t="shared" si="318"/>
        <v>0</v>
      </c>
      <c r="S1733" s="26">
        <f t="shared" si="319"/>
        <v>36500</v>
      </c>
    </row>
    <row r="1734" spans="1:19" x14ac:dyDescent="0.2">
      <c r="B1734" s="79">
        <f t="shared" si="316"/>
        <v>64</v>
      </c>
      <c r="C1734" s="15"/>
      <c r="D1734" s="15"/>
      <c r="E1734" s="15"/>
      <c r="F1734" s="56" t="s">
        <v>189</v>
      </c>
      <c r="G1734" s="4">
        <v>635</v>
      </c>
      <c r="H1734" s="4" t="s">
        <v>760</v>
      </c>
      <c r="I1734" s="26">
        <v>20000</v>
      </c>
      <c r="J1734" s="26"/>
      <c r="K1734" s="26">
        <f t="shared" si="320"/>
        <v>20000</v>
      </c>
      <c r="L1734" s="80"/>
      <c r="M1734" s="26"/>
      <c r="N1734" s="26"/>
      <c r="O1734" s="26">
        <f t="shared" si="321"/>
        <v>0</v>
      </c>
      <c r="P1734" s="80"/>
      <c r="Q1734" s="26">
        <f t="shared" si="317"/>
        <v>20000</v>
      </c>
      <c r="R1734" s="26">
        <f t="shared" si="318"/>
        <v>0</v>
      </c>
      <c r="S1734" s="26">
        <f t="shared" si="319"/>
        <v>20000</v>
      </c>
    </row>
    <row r="1735" spans="1:19" x14ac:dyDescent="0.2">
      <c r="B1735" s="79">
        <f t="shared" ref="B1735:B1792" si="322">B1734+1</f>
        <v>65</v>
      </c>
      <c r="C1735" s="4"/>
      <c r="D1735" s="4"/>
      <c r="E1735" s="4"/>
      <c r="F1735" s="56" t="s">
        <v>189</v>
      </c>
      <c r="G1735" s="4">
        <v>637</v>
      </c>
      <c r="H1735" s="4" t="s">
        <v>129</v>
      </c>
      <c r="I1735" s="26">
        <f>2260+700-700</f>
        <v>2260</v>
      </c>
      <c r="J1735" s="26"/>
      <c r="K1735" s="26">
        <f t="shared" si="320"/>
        <v>2260</v>
      </c>
      <c r="L1735" s="80"/>
      <c r="M1735" s="26"/>
      <c r="N1735" s="26"/>
      <c r="O1735" s="26">
        <f t="shared" si="321"/>
        <v>0</v>
      </c>
      <c r="P1735" s="80"/>
      <c r="Q1735" s="26">
        <f t="shared" ref="Q1735:Q1792" si="323">I1735+M1735</f>
        <v>2260</v>
      </c>
      <c r="R1735" s="26">
        <f t="shared" ref="R1735:R1737" si="324">J1735+N1735</f>
        <v>0</v>
      </c>
      <c r="S1735" s="26">
        <f t="shared" ref="S1735:S1737" si="325">K1735+O1735</f>
        <v>2260</v>
      </c>
    </row>
    <row r="1736" spans="1:19" x14ac:dyDescent="0.2">
      <c r="B1736" s="79">
        <f t="shared" si="322"/>
        <v>66</v>
      </c>
      <c r="C1736" s="15"/>
      <c r="D1736" s="15"/>
      <c r="E1736" s="15"/>
      <c r="F1736" s="55" t="s">
        <v>189</v>
      </c>
      <c r="G1736" s="15">
        <v>710</v>
      </c>
      <c r="H1736" s="15" t="s">
        <v>184</v>
      </c>
      <c r="I1736" s="52">
        <v>0</v>
      </c>
      <c r="J1736" s="52"/>
      <c r="K1736" s="52">
        <f t="shared" ref="K1736:K1792" si="326">I1736+J1736</f>
        <v>0</v>
      </c>
      <c r="L1736" s="126"/>
      <c r="M1736" s="52">
        <f>M1737+M1740</f>
        <v>688755</v>
      </c>
      <c r="N1736" s="52">
        <f>N1737+N1740</f>
        <v>-540255</v>
      </c>
      <c r="O1736" s="52">
        <f t="shared" ref="O1736:O1792" si="327">M1736+N1736</f>
        <v>148500</v>
      </c>
      <c r="P1736" s="126"/>
      <c r="Q1736" s="52">
        <f t="shared" si="323"/>
        <v>688755</v>
      </c>
      <c r="R1736" s="52">
        <f t="shared" si="324"/>
        <v>-540255</v>
      </c>
      <c r="S1736" s="52">
        <f t="shared" si="325"/>
        <v>148500</v>
      </c>
    </row>
    <row r="1737" spans="1:19" x14ac:dyDescent="0.2">
      <c r="B1737" s="79">
        <f t="shared" si="322"/>
        <v>67</v>
      </c>
      <c r="C1737" s="15"/>
      <c r="D1737" s="15"/>
      <c r="E1737" s="15"/>
      <c r="F1737" s="89" t="s">
        <v>189</v>
      </c>
      <c r="G1737" s="90">
        <v>716</v>
      </c>
      <c r="H1737" s="90" t="s">
        <v>0</v>
      </c>
      <c r="I1737" s="91"/>
      <c r="J1737" s="91"/>
      <c r="K1737" s="91">
        <f t="shared" si="326"/>
        <v>0</v>
      </c>
      <c r="L1737" s="80"/>
      <c r="M1737" s="91">
        <f>M1738+M1739</f>
        <v>11000</v>
      </c>
      <c r="N1737" s="91">
        <f>N1738+N1739</f>
        <v>0</v>
      </c>
      <c r="O1737" s="91">
        <f t="shared" si="327"/>
        <v>11000</v>
      </c>
      <c r="P1737" s="80"/>
      <c r="Q1737" s="91">
        <f t="shared" si="323"/>
        <v>11000</v>
      </c>
      <c r="R1737" s="91">
        <f t="shared" si="324"/>
        <v>0</v>
      </c>
      <c r="S1737" s="91">
        <f t="shared" si="325"/>
        <v>11000</v>
      </c>
    </row>
    <row r="1738" spans="1:19" ht="24" x14ac:dyDescent="0.2">
      <c r="B1738" s="79">
        <f t="shared" si="322"/>
        <v>68</v>
      </c>
      <c r="C1738" s="15"/>
      <c r="D1738" s="15"/>
      <c r="E1738" s="15"/>
      <c r="F1738" s="55"/>
      <c r="G1738" s="15"/>
      <c r="H1738" s="168" t="s">
        <v>652</v>
      </c>
      <c r="I1738" s="52"/>
      <c r="J1738" s="52"/>
      <c r="K1738" s="52">
        <f t="shared" si="326"/>
        <v>0</v>
      </c>
      <c r="L1738" s="126"/>
      <c r="M1738" s="62">
        <v>1000</v>
      </c>
      <c r="N1738" s="62"/>
      <c r="O1738" s="62">
        <f t="shared" si="327"/>
        <v>1000</v>
      </c>
      <c r="P1738" s="80"/>
      <c r="Q1738" s="62">
        <f>M1738</f>
        <v>1000</v>
      </c>
      <c r="R1738" s="62">
        <f t="shared" ref="R1738:S1738" si="328">N1738</f>
        <v>0</v>
      </c>
      <c r="S1738" s="62">
        <f t="shared" si="328"/>
        <v>1000</v>
      </c>
    </row>
    <row r="1739" spans="1:19" x14ac:dyDescent="0.2">
      <c r="B1739" s="79">
        <f t="shared" si="322"/>
        <v>69</v>
      </c>
      <c r="C1739" s="15"/>
      <c r="D1739" s="15"/>
      <c r="E1739" s="15"/>
      <c r="F1739" s="55"/>
      <c r="G1739" s="15"/>
      <c r="H1739" s="4" t="s">
        <v>768</v>
      </c>
      <c r="I1739" s="52"/>
      <c r="J1739" s="52"/>
      <c r="K1739" s="52">
        <f t="shared" si="326"/>
        <v>0</v>
      </c>
      <c r="L1739" s="126"/>
      <c r="M1739" s="62">
        <v>10000</v>
      </c>
      <c r="N1739" s="62"/>
      <c r="O1739" s="62">
        <f t="shared" si="327"/>
        <v>10000</v>
      </c>
      <c r="P1739" s="80"/>
      <c r="Q1739" s="62">
        <f t="shared" ref="Q1739" si="329">I1739+M1739</f>
        <v>10000</v>
      </c>
      <c r="R1739" s="62">
        <f t="shared" ref="R1739:R1792" si="330">J1739+N1739</f>
        <v>0</v>
      </c>
      <c r="S1739" s="62">
        <f t="shared" ref="S1739:S1792" si="331">K1739+O1739</f>
        <v>10000</v>
      </c>
    </row>
    <row r="1740" spans="1:19" x14ac:dyDescent="0.2">
      <c r="B1740" s="79">
        <f t="shared" si="322"/>
        <v>70</v>
      </c>
      <c r="C1740" s="4"/>
      <c r="D1740" s="4"/>
      <c r="E1740" s="4"/>
      <c r="F1740" s="89" t="s">
        <v>189</v>
      </c>
      <c r="G1740" s="90">
        <v>717</v>
      </c>
      <c r="H1740" s="90" t="s">
        <v>194</v>
      </c>
      <c r="I1740" s="91"/>
      <c r="J1740" s="91"/>
      <c r="K1740" s="91">
        <f t="shared" si="326"/>
        <v>0</v>
      </c>
      <c r="L1740" s="80"/>
      <c r="M1740" s="91">
        <f>SUM(M1741:M1742)</f>
        <v>677755</v>
      </c>
      <c r="N1740" s="91">
        <f>SUM(N1741:N1742)</f>
        <v>-540255</v>
      </c>
      <c r="O1740" s="91">
        <f t="shared" si="327"/>
        <v>137500</v>
      </c>
      <c r="P1740" s="80"/>
      <c r="Q1740" s="91">
        <f t="shared" si="323"/>
        <v>677755</v>
      </c>
      <c r="R1740" s="91">
        <f t="shared" si="330"/>
        <v>-540255</v>
      </c>
      <c r="S1740" s="91">
        <f t="shared" si="331"/>
        <v>137500</v>
      </c>
    </row>
    <row r="1741" spans="1:19" x14ac:dyDescent="0.2">
      <c r="B1741" s="79">
        <f t="shared" si="322"/>
        <v>71</v>
      </c>
      <c r="C1741" s="4"/>
      <c r="D1741" s="4"/>
      <c r="E1741" s="4"/>
      <c r="F1741" s="56"/>
      <c r="G1741" s="4"/>
      <c r="H1741" s="4" t="s">
        <v>470</v>
      </c>
      <c r="I1741" s="26"/>
      <c r="J1741" s="26"/>
      <c r="K1741" s="26">
        <f t="shared" si="326"/>
        <v>0</v>
      </c>
      <c r="L1741" s="80"/>
      <c r="M1741" s="26">
        <f>130000-1500-1000+10000</f>
        <v>137500</v>
      </c>
      <c r="N1741" s="26"/>
      <c r="O1741" s="26">
        <f t="shared" si="327"/>
        <v>137500</v>
      </c>
      <c r="P1741" s="80"/>
      <c r="Q1741" s="26">
        <f t="shared" si="323"/>
        <v>137500</v>
      </c>
      <c r="R1741" s="26">
        <f t="shared" si="330"/>
        <v>0</v>
      </c>
      <c r="S1741" s="26">
        <f t="shared" si="331"/>
        <v>137500</v>
      </c>
    </row>
    <row r="1742" spans="1:19" x14ac:dyDescent="0.2">
      <c r="B1742" s="79">
        <f t="shared" si="322"/>
        <v>72</v>
      </c>
      <c r="C1742" s="4"/>
      <c r="D1742" s="4"/>
      <c r="E1742" s="4"/>
      <c r="F1742" s="56"/>
      <c r="G1742" s="4"/>
      <c r="H1742" s="4" t="s">
        <v>344</v>
      </c>
      <c r="I1742" s="26"/>
      <c r="J1742" s="26"/>
      <c r="K1742" s="26">
        <f t="shared" si="326"/>
        <v>0</v>
      </c>
      <c r="L1742" s="80"/>
      <c r="M1742" s="26">
        <v>540255</v>
      </c>
      <c r="N1742" s="26">
        <v>-540255</v>
      </c>
      <c r="O1742" s="26">
        <f t="shared" si="327"/>
        <v>0</v>
      </c>
      <c r="P1742" s="80"/>
      <c r="Q1742" s="26">
        <f t="shared" si="323"/>
        <v>540255</v>
      </c>
      <c r="R1742" s="26">
        <f t="shared" si="330"/>
        <v>-540255</v>
      </c>
      <c r="S1742" s="26">
        <f t="shared" si="331"/>
        <v>0</v>
      </c>
    </row>
    <row r="1743" spans="1:19" ht="15" x14ac:dyDescent="0.25">
      <c r="B1743" s="79">
        <f t="shared" si="322"/>
        <v>73</v>
      </c>
      <c r="C1743" s="18"/>
      <c r="D1743" s="18"/>
      <c r="E1743" s="18">
        <v>2</v>
      </c>
      <c r="F1743" s="53"/>
      <c r="G1743" s="18"/>
      <c r="H1743" s="18" t="s">
        <v>257</v>
      </c>
      <c r="I1743" s="50">
        <f>I1744+I1745+I1746+I1751</f>
        <v>403005</v>
      </c>
      <c r="J1743" s="50">
        <f>J1744+J1745+J1746+J1751</f>
        <v>-22000</v>
      </c>
      <c r="K1743" s="50">
        <f t="shared" si="326"/>
        <v>381005</v>
      </c>
      <c r="L1743" s="203"/>
      <c r="M1743" s="50">
        <v>0</v>
      </c>
      <c r="N1743" s="50">
        <v>0</v>
      </c>
      <c r="O1743" s="50">
        <f t="shared" si="327"/>
        <v>0</v>
      </c>
      <c r="P1743" s="203"/>
      <c r="Q1743" s="50">
        <f t="shared" si="323"/>
        <v>403005</v>
      </c>
      <c r="R1743" s="50">
        <f t="shared" si="330"/>
        <v>-22000</v>
      </c>
      <c r="S1743" s="50">
        <f t="shared" si="331"/>
        <v>381005</v>
      </c>
    </row>
    <row r="1744" spans="1:19" x14ac:dyDescent="0.2">
      <c r="B1744" s="79">
        <f t="shared" si="322"/>
        <v>74</v>
      </c>
      <c r="C1744" s="15"/>
      <c r="D1744" s="15"/>
      <c r="E1744" s="15"/>
      <c r="F1744" s="55" t="s">
        <v>189</v>
      </c>
      <c r="G1744" s="15">
        <v>610</v>
      </c>
      <c r="H1744" s="15" t="s">
        <v>136</v>
      </c>
      <c r="I1744" s="52">
        <v>116000</v>
      </c>
      <c r="J1744" s="52"/>
      <c r="K1744" s="52">
        <f t="shared" si="326"/>
        <v>116000</v>
      </c>
      <c r="L1744" s="126"/>
      <c r="M1744" s="52"/>
      <c r="N1744" s="52"/>
      <c r="O1744" s="52">
        <f t="shared" si="327"/>
        <v>0</v>
      </c>
      <c r="P1744" s="126"/>
      <c r="Q1744" s="52">
        <f t="shared" si="323"/>
        <v>116000</v>
      </c>
      <c r="R1744" s="52">
        <f t="shared" si="330"/>
        <v>0</v>
      </c>
      <c r="S1744" s="52">
        <f t="shared" si="331"/>
        <v>116000</v>
      </c>
    </row>
    <row r="1745" spans="2:19" x14ac:dyDescent="0.2">
      <c r="B1745" s="79">
        <f t="shared" si="322"/>
        <v>75</v>
      </c>
      <c r="C1745" s="15"/>
      <c r="D1745" s="15"/>
      <c r="E1745" s="15"/>
      <c r="F1745" s="55" t="s">
        <v>189</v>
      </c>
      <c r="G1745" s="15">
        <v>620</v>
      </c>
      <c r="H1745" s="15" t="s">
        <v>131</v>
      </c>
      <c r="I1745" s="52">
        <v>52500</v>
      </c>
      <c r="J1745" s="52">
        <v>-10000</v>
      </c>
      <c r="K1745" s="52">
        <f t="shared" si="326"/>
        <v>42500</v>
      </c>
      <c r="L1745" s="126"/>
      <c r="M1745" s="52"/>
      <c r="N1745" s="52"/>
      <c r="O1745" s="52">
        <f t="shared" si="327"/>
        <v>0</v>
      </c>
      <c r="P1745" s="126"/>
      <c r="Q1745" s="52">
        <f t="shared" si="323"/>
        <v>52500</v>
      </c>
      <c r="R1745" s="52">
        <f t="shared" si="330"/>
        <v>-10000</v>
      </c>
      <c r="S1745" s="52">
        <f t="shared" si="331"/>
        <v>42500</v>
      </c>
    </row>
    <row r="1746" spans="2:19" x14ac:dyDescent="0.2">
      <c r="B1746" s="79">
        <f t="shared" si="322"/>
        <v>76</v>
      </c>
      <c r="C1746" s="15"/>
      <c r="D1746" s="15"/>
      <c r="E1746" s="15"/>
      <c r="F1746" s="55" t="s">
        <v>189</v>
      </c>
      <c r="G1746" s="15">
        <v>630</v>
      </c>
      <c r="H1746" s="15" t="s">
        <v>128</v>
      </c>
      <c r="I1746" s="52">
        <f>I1750+I1749+I1748+I1747</f>
        <v>234155</v>
      </c>
      <c r="J1746" s="52">
        <f>J1750+J1749+J1748+J1747</f>
        <v>-12000</v>
      </c>
      <c r="K1746" s="52">
        <f t="shared" si="326"/>
        <v>222155</v>
      </c>
      <c r="L1746" s="126"/>
      <c r="M1746" s="52">
        <v>0</v>
      </c>
      <c r="N1746" s="52">
        <v>0</v>
      </c>
      <c r="O1746" s="52">
        <f t="shared" si="327"/>
        <v>0</v>
      </c>
      <c r="P1746" s="126"/>
      <c r="Q1746" s="52">
        <f t="shared" si="323"/>
        <v>234155</v>
      </c>
      <c r="R1746" s="52">
        <f t="shared" si="330"/>
        <v>-12000</v>
      </c>
      <c r="S1746" s="52">
        <f t="shared" si="331"/>
        <v>222155</v>
      </c>
    </row>
    <row r="1747" spans="2:19" x14ac:dyDescent="0.2">
      <c r="B1747" s="79">
        <f t="shared" si="322"/>
        <v>77</v>
      </c>
      <c r="C1747" s="4"/>
      <c r="D1747" s="4"/>
      <c r="E1747" s="4"/>
      <c r="F1747" s="56" t="s">
        <v>189</v>
      </c>
      <c r="G1747" s="4">
        <v>632</v>
      </c>
      <c r="H1747" s="4" t="s">
        <v>139</v>
      </c>
      <c r="I1747" s="26">
        <f>189000-4500-35000</f>
        <v>149500</v>
      </c>
      <c r="J1747" s="26">
        <v>8000</v>
      </c>
      <c r="K1747" s="26">
        <f t="shared" si="326"/>
        <v>157500</v>
      </c>
      <c r="L1747" s="80"/>
      <c r="M1747" s="26"/>
      <c r="N1747" s="26"/>
      <c r="O1747" s="26">
        <f t="shared" si="327"/>
        <v>0</v>
      </c>
      <c r="P1747" s="80"/>
      <c r="Q1747" s="26">
        <f t="shared" si="323"/>
        <v>149500</v>
      </c>
      <c r="R1747" s="26">
        <f t="shared" si="330"/>
        <v>8000</v>
      </c>
      <c r="S1747" s="26">
        <f t="shared" si="331"/>
        <v>157500</v>
      </c>
    </row>
    <row r="1748" spans="2:19" x14ac:dyDescent="0.2">
      <c r="B1748" s="79">
        <f t="shared" si="322"/>
        <v>78</v>
      </c>
      <c r="C1748" s="4"/>
      <c r="D1748" s="4"/>
      <c r="E1748" s="4"/>
      <c r="F1748" s="56" t="s">
        <v>189</v>
      </c>
      <c r="G1748" s="4">
        <v>633</v>
      </c>
      <c r="H1748" s="4" t="s">
        <v>132</v>
      </c>
      <c r="I1748" s="26">
        <v>33115</v>
      </c>
      <c r="J1748" s="26">
        <v>-9000</v>
      </c>
      <c r="K1748" s="26">
        <f t="shared" si="326"/>
        <v>24115</v>
      </c>
      <c r="L1748" s="80"/>
      <c r="M1748" s="26"/>
      <c r="N1748" s="26"/>
      <c r="O1748" s="26">
        <f t="shared" si="327"/>
        <v>0</v>
      </c>
      <c r="P1748" s="80"/>
      <c r="Q1748" s="26">
        <f t="shared" si="323"/>
        <v>33115</v>
      </c>
      <c r="R1748" s="26">
        <f t="shared" si="330"/>
        <v>-9000</v>
      </c>
      <c r="S1748" s="26">
        <f t="shared" si="331"/>
        <v>24115</v>
      </c>
    </row>
    <row r="1749" spans="2:19" x14ac:dyDescent="0.2">
      <c r="B1749" s="79">
        <f t="shared" si="322"/>
        <v>79</v>
      </c>
      <c r="C1749" s="4"/>
      <c r="D1749" s="4"/>
      <c r="E1749" s="4"/>
      <c r="F1749" s="56" t="s">
        <v>189</v>
      </c>
      <c r="G1749" s="4">
        <v>635</v>
      </c>
      <c r="H1749" s="4" t="s">
        <v>138</v>
      </c>
      <c r="I1749" s="26">
        <f>26600-2500</f>
        <v>24100</v>
      </c>
      <c r="J1749" s="26">
        <v>-4100</v>
      </c>
      <c r="K1749" s="26">
        <f t="shared" si="326"/>
        <v>20000</v>
      </c>
      <c r="L1749" s="80"/>
      <c r="M1749" s="26"/>
      <c r="N1749" s="26"/>
      <c r="O1749" s="26">
        <f t="shared" si="327"/>
        <v>0</v>
      </c>
      <c r="P1749" s="80"/>
      <c r="Q1749" s="26">
        <f t="shared" si="323"/>
        <v>24100</v>
      </c>
      <c r="R1749" s="26">
        <f t="shared" si="330"/>
        <v>-4100</v>
      </c>
      <c r="S1749" s="26">
        <f t="shared" si="331"/>
        <v>20000</v>
      </c>
    </row>
    <row r="1750" spans="2:19" x14ac:dyDescent="0.2">
      <c r="B1750" s="79">
        <f>B1749+1</f>
        <v>80</v>
      </c>
      <c r="C1750" s="4"/>
      <c r="D1750" s="4"/>
      <c r="E1750" s="4"/>
      <c r="F1750" s="56" t="s">
        <v>189</v>
      </c>
      <c r="G1750" s="4">
        <v>637</v>
      </c>
      <c r="H1750" s="4" t="s">
        <v>129</v>
      </c>
      <c r="I1750" s="26">
        <f>49650+540+2250-5000-20000</f>
        <v>27440</v>
      </c>
      <c r="J1750" s="26">
        <v>-6900</v>
      </c>
      <c r="K1750" s="26">
        <f t="shared" si="326"/>
        <v>20540</v>
      </c>
      <c r="L1750" s="80"/>
      <c r="M1750" s="26"/>
      <c r="N1750" s="26"/>
      <c r="O1750" s="26">
        <f t="shared" si="327"/>
        <v>0</v>
      </c>
      <c r="P1750" s="80"/>
      <c r="Q1750" s="26">
        <f t="shared" si="323"/>
        <v>27440</v>
      </c>
      <c r="R1750" s="26">
        <f t="shared" si="330"/>
        <v>-6900</v>
      </c>
      <c r="S1750" s="26">
        <f t="shared" si="331"/>
        <v>20540</v>
      </c>
    </row>
    <row r="1751" spans="2:19" x14ac:dyDescent="0.2">
      <c r="B1751" s="79">
        <f t="shared" si="322"/>
        <v>81</v>
      </c>
      <c r="C1751" s="15"/>
      <c r="D1751" s="15"/>
      <c r="E1751" s="15"/>
      <c r="F1751" s="55" t="s">
        <v>189</v>
      </c>
      <c r="G1751" s="15">
        <v>640</v>
      </c>
      <c r="H1751" s="15" t="s">
        <v>135</v>
      </c>
      <c r="I1751" s="52">
        <f>100+250</f>
        <v>350</v>
      </c>
      <c r="J1751" s="52"/>
      <c r="K1751" s="52">
        <f t="shared" si="326"/>
        <v>350</v>
      </c>
      <c r="L1751" s="126"/>
      <c r="M1751" s="52"/>
      <c r="N1751" s="52"/>
      <c r="O1751" s="52">
        <f t="shared" si="327"/>
        <v>0</v>
      </c>
      <c r="P1751" s="126"/>
      <c r="Q1751" s="52">
        <f t="shared" si="323"/>
        <v>350</v>
      </c>
      <c r="R1751" s="52">
        <f t="shared" si="330"/>
        <v>0</v>
      </c>
      <c r="S1751" s="52">
        <f t="shared" si="331"/>
        <v>350</v>
      </c>
    </row>
    <row r="1752" spans="2:19" ht="15" x14ac:dyDescent="0.25">
      <c r="B1752" s="79">
        <f t="shared" si="322"/>
        <v>82</v>
      </c>
      <c r="C1752" s="190"/>
      <c r="D1752" s="190">
        <v>5</v>
      </c>
      <c r="E1752" s="269" t="s">
        <v>37</v>
      </c>
      <c r="F1752" s="270"/>
      <c r="G1752" s="270"/>
      <c r="H1752" s="270"/>
      <c r="I1752" s="49">
        <f>I1753</f>
        <v>22250</v>
      </c>
      <c r="J1752" s="49">
        <f>J1753</f>
        <v>0</v>
      </c>
      <c r="K1752" s="49">
        <f t="shared" si="326"/>
        <v>22250</v>
      </c>
      <c r="L1752" s="202"/>
      <c r="M1752" s="49">
        <v>0</v>
      </c>
      <c r="N1752" s="49">
        <v>0</v>
      </c>
      <c r="O1752" s="49">
        <f t="shared" si="327"/>
        <v>0</v>
      </c>
      <c r="P1752" s="202"/>
      <c r="Q1752" s="49">
        <f t="shared" si="323"/>
        <v>22250</v>
      </c>
      <c r="R1752" s="49">
        <f t="shared" si="330"/>
        <v>0</v>
      </c>
      <c r="S1752" s="49">
        <f t="shared" si="331"/>
        <v>22250</v>
      </c>
    </row>
    <row r="1753" spans="2:19" ht="15" x14ac:dyDescent="0.25">
      <c r="B1753" s="79">
        <f t="shared" si="322"/>
        <v>83</v>
      </c>
      <c r="C1753" s="18"/>
      <c r="D1753" s="18"/>
      <c r="E1753" s="18">
        <v>2</v>
      </c>
      <c r="F1753" s="53"/>
      <c r="G1753" s="18"/>
      <c r="H1753" s="18" t="s">
        <v>257</v>
      </c>
      <c r="I1753" s="50">
        <f>I1754+I1755+I1756</f>
        <v>22250</v>
      </c>
      <c r="J1753" s="50">
        <f>J1754+J1755+J1756</f>
        <v>0</v>
      </c>
      <c r="K1753" s="50">
        <f t="shared" si="326"/>
        <v>22250</v>
      </c>
      <c r="L1753" s="203"/>
      <c r="M1753" s="50">
        <v>0</v>
      </c>
      <c r="N1753" s="50">
        <v>0</v>
      </c>
      <c r="O1753" s="50">
        <f t="shared" si="327"/>
        <v>0</v>
      </c>
      <c r="P1753" s="203"/>
      <c r="Q1753" s="50">
        <f t="shared" si="323"/>
        <v>22250</v>
      </c>
      <c r="R1753" s="50">
        <f t="shared" si="330"/>
        <v>0</v>
      </c>
      <c r="S1753" s="50">
        <f t="shared" si="331"/>
        <v>22250</v>
      </c>
    </row>
    <row r="1754" spans="2:19" x14ac:dyDescent="0.2">
      <c r="B1754" s="79">
        <f t="shared" si="322"/>
        <v>84</v>
      </c>
      <c r="C1754" s="15"/>
      <c r="D1754" s="15"/>
      <c r="E1754" s="15"/>
      <c r="F1754" s="55" t="s">
        <v>189</v>
      </c>
      <c r="G1754" s="15">
        <v>610</v>
      </c>
      <c r="H1754" s="15" t="s">
        <v>136</v>
      </c>
      <c r="I1754" s="52">
        <f>7800-7800+1950</f>
        <v>1950</v>
      </c>
      <c r="J1754" s="52"/>
      <c r="K1754" s="52">
        <f t="shared" si="326"/>
        <v>1950</v>
      </c>
      <c r="L1754" s="126"/>
      <c r="M1754" s="52"/>
      <c r="N1754" s="52"/>
      <c r="O1754" s="52">
        <f t="shared" si="327"/>
        <v>0</v>
      </c>
      <c r="P1754" s="126"/>
      <c r="Q1754" s="52">
        <f t="shared" si="323"/>
        <v>1950</v>
      </c>
      <c r="R1754" s="52">
        <f t="shared" si="330"/>
        <v>0</v>
      </c>
      <c r="S1754" s="52">
        <f t="shared" si="331"/>
        <v>1950</v>
      </c>
    </row>
    <row r="1755" spans="2:19" x14ac:dyDescent="0.2">
      <c r="B1755" s="79">
        <f t="shared" si="322"/>
        <v>85</v>
      </c>
      <c r="C1755" s="15"/>
      <c r="D1755" s="15"/>
      <c r="E1755" s="15"/>
      <c r="F1755" s="55" t="s">
        <v>189</v>
      </c>
      <c r="G1755" s="15">
        <v>620</v>
      </c>
      <c r="H1755" s="15" t="s">
        <v>131</v>
      </c>
      <c r="I1755" s="52">
        <f>2700-2700+700</f>
        <v>700</v>
      </c>
      <c r="J1755" s="52"/>
      <c r="K1755" s="52">
        <f t="shared" si="326"/>
        <v>700</v>
      </c>
      <c r="L1755" s="126"/>
      <c r="M1755" s="52"/>
      <c r="N1755" s="52"/>
      <c r="O1755" s="52">
        <f t="shared" si="327"/>
        <v>0</v>
      </c>
      <c r="P1755" s="126"/>
      <c r="Q1755" s="52">
        <f t="shared" si="323"/>
        <v>700</v>
      </c>
      <c r="R1755" s="52">
        <f t="shared" si="330"/>
        <v>0</v>
      </c>
      <c r="S1755" s="52">
        <f t="shared" si="331"/>
        <v>700</v>
      </c>
    </row>
    <row r="1756" spans="2:19" x14ac:dyDescent="0.2">
      <c r="B1756" s="79">
        <f t="shared" si="322"/>
        <v>86</v>
      </c>
      <c r="C1756" s="15"/>
      <c r="D1756" s="15"/>
      <c r="E1756" s="15"/>
      <c r="F1756" s="55" t="s">
        <v>189</v>
      </c>
      <c r="G1756" s="15">
        <v>630</v>
      </c>
      <c r="H1756" s="15" t="s">
        <v>128</v>
      </c>
      <c r="I1756" s="52">
        <f>I1761+I1760+I1758+I1757+I1759</f>
        <v>19600</v>
      </c>
      <c r="J1756" s="52">
        <f>J1761+J1760+J1758+J1757+J1759</f>
        <v>0</v>
      </c>
      <c r="K1756" s="52">
        <f t="shared" si="326"/>
        <v>19600</v>
      </c>
      <c r="L1756" s="126"/>
      <c r="M1756" s="52">
        <v>0</v>
      </c>
      <c r="N1756" s="52">
        <v>0</v>
      </c>
      <c r="O1756" s="52">
        <f t="shared" si="327"/>
        <v>0</v>
      </c>
      <c r="P1756" s="126"/>
      <c r="Q1756" s="52">
        <f t="shared" si="323"/>
        <v>19600</v>
      </c>
      <c r="R1756" s="52">
        <f t="shared" si="330"/>
        <v>0</v>
      </c>
      <c r="S1756" s="52">
        <f t="shared" si="331"/>
        <v>19600</v>
      </c>
    </row>
    <row r="1757" spans="2:19" x14ac:dyDescent="0.2">
      <c r="B1757" s="79">
        <f t="shared" si="322"/>
        <v>87</v>
      </c>
      <c r="C1757" s="4"/>
      <c r="D1757" s="4"/>
      <c r="E1757" s="4"/>
      <c r="F1757" s="56" t="s">
        <v>189</v>
      </c>
      <c r="G1757" s="4">
        <v>632</v>
      </c>
      <c r="H1757" s="4" t="s">
        <v>139</v>
      </c>
      <c r="I1757" s="26">
        <f>17000-17000</f>
        <v>0</v>
      </c>
      <c r="J1757" s="26"/>
      <c r="K1757" s="26">
        <f t="shared" si="326"/>
        <v>0</v>
      </c>
      <c r="L1757" s="80"/>
      <c r="M1757" s="26"/>
      <c r="N1757" s="26"/>
      <c r="O1757" s="26">
        <f t="shared" si="327"/>
        <v>0</v>
      </c>
      <c r="P1757" s="80"/>
      <c r="Q1757" s="26">
        <f t="shared" si="323"/>
        <v>0</v>
      </c>
      <c r="R1757" s="26">
        <f t="shared" si="330"/>
        <v>0</v>
      </c>
      <c r="S1757" s="26">
        <f t="shared" si="331"/>
        <v>0</v>
      </c>
    </row>
    <row r="1758" spans="2:19" x14ac:dyDescent="0.2">
      <c r="B1758" s="79">
        <f t="shared" si="322"/>
        <v>88</v>
      </c>
      <c r="C1758" s="4"/>
      <c r="D1758" s="4"/>
      <c r="E1758" s="4"/>
      <c r="F1758" s="56" t="s">
        <v>189</v>
      </c>
      <c r="G1758" s="4">
        <v>633</v>
      </c>
      <c r="H1758" s="4" t="s">
        <v>132</v>
      </c>
      <c r="I1758" s="26">
        <f>1300-1300+3000</f>
        <v>3000</v>
      </c>
      <c r="J1758" s="26"/>
      <c r="K1758" s="26">
        <f t="shared" si="326"/>
        <v>3000</v>
      </c>
      <c r="L1758" s="80"/>
      <c r="M1758" s="26"/>
      <c r="N1758" s="26"/>
      <c r="O1758" s="26">
        <f t="shared" si="327"/>
        <v>0</v>
      </c>
      <c r="P1758" s="80"/>
      <c r="Q1758" s="26">
        <f t="shared" si="323"/>
        <v>3000</v>
      </c>
      <c r="R1758" s="26">
        <f t="shared" si="330"/>
        <v>0</v>
      </c>
      <c r="S1758" s="26">
        <f t="shared" si="331"/>
        <v>3000</v>
      </c>
    </row>
    <row r="1759" spans="2:19" x14ac:dyDescent="0.2">
      <c r="B1759" s="79">
        <f t="shared" si="322"/>
        <v>89</v>
      </c>
      <c r="C1759" s="4"/>
      <c r="D1759" s="4"/>
      <c r="E1759" s="4"/>
      <c r="F1759" s="56" t="s">
        <v>189</v>
      </c>
      <c r="G1759" s="4">
        <v>634</v>
      </c>
      <c r="H1759" s="4" t="s">
        <v>137</v>
      </c>
      <c r="I1759" s="26">
        <f>200-200+100</f>
        <v>100</v>
      </c>
      <c r="J1759" s="26"/>
      <c r="K1759" s="26">
        <f t="shared" si="326"/>
        <v>100</v>
      </c>
      <c r="L1759" s="80"/>
      <c r="M1759" s="26"/>
      <c r="N1759" s="26"/>
      <c r="O1759" s="26">
        <f t="shared" si="327"/>
        <v>0</v>
      </c>
      <c r="P1759" s="80"/>
      <c r="Q1759" s="26">
        <f t="shared" si="323"/>
        <v>100</v>
      </c>
      <c r="R1759" s="26">
        <f t="shared" si="330"/>
        <v>0</v>
      </c>
      <c r="S1759" s="26">
        <f t="shared" si="331"/>
        <v>100</v>
      </c>
    </row>
    <row r="1760" spans="2:19" x14ac:dyDescent="0.2">
      <c r="B1760" s="79">
        <f t="shared" si="322"/>
        <v>90</v>
      </c>
      <c r="C1760" s="4"/>
      <c r="D1760" s="4"/>
      <c r="E1760" s="4"/>
      <c r="F1760" s="56" t="s">
        <v>189</v>
      </c>
      <c r="G1760" s="4">
        <v>635</v>
      </c>
      <c r="H1760" s="4" t="s">
        <v>138</v>
      </c>
      <c r="I1760" s="26">
        <f>19800-19800+16000</f>
        <v>16000</v>
      </c>
      <c r="J1760" s="26"/>
      <c r="K1760" s="26">
        <f t="shared" si="326"/>
        <v>16000</v>
      </c>
      <c r="L1760" s="80"/>
      <c r="M1760" s="26"/>
      <c r="N1760" s="26"/>
      <c r="O1760" s="26">
        <f t="shared" si="327"/>
        <v>0</v>
      </c>
      <c r="P1760" s="80"/>
      <c r="Q1760" s="26">
        <f t="shared" si="323"/>
        <v>16000</v>
      </c>
      <c r="R1760" s="26">
        <f t="shared" si="330"/>
        <v>0</v>
      </c>
      <c r="S1760" s="26">
        <f t="shared" si="331"/>
        <v>16000</v>
      </c>
    </row>
    <row r="1761" spans="1:19" x14ac:dyDescent="0.2">
      <c r="B1761" s="79">
        <f t="shared" si="322"/>
        <v>91</v>
      </c>
      <c r="C1761" s="4"/>
      <c r="D1761" s="4"/>
      <c r="E1761" s="4"/>
      <c r="F1761" s="56" t="s">
        <v>189</v>
      </c>
      <c r="G1761" s="4">
        <v>637</v>
      </c>
      <c r="H1761" s="4" t="s">
        <v>129</v>
      </c>
      <c r="I1761" s="26">
        <f>1200-1200+500</f>
        <v>500</v>
      </c>
      <c r="J1761" s="26"/>
      <c r="K1761" s="26">
        <f t="shared" si="326"/>
        <v>500</v>
      </c>
      <c r="L1761" s="80"/>
      <c r="M1761" s="26"/>
      <c r="N1761" s="26"/>
      <c r="O1761" s="26">
        <f t="shared" si="327"/>
        <v>0</v>
      </c>
      <c r="P1761" s="80"/>
      <c r="Q1761" s="26">
        <f t="shared" si="323"/>
        <v>500</v>
      </c>
      <c r="R1761" s="26">
        <f t="shared" si="330"/>
        <v>0</v>
      </c>
      <c r="S1761" s="26">
        <f t="shared" si="331"/>
        <v>500</v>
      </c>
    </row>
    <row r="1762" spans="1:19" ht="15" x14ac:dyDescent="0.2">
      <c r="B1762" s="79">
        <f t="shared" si="322"/>
        <v>92</v>
      </c>
      <c r="C1762" s="191">
        <v>4</v>
      </c>
      <c r="D1762" s="271" t="s">
        <v>59</v>
      </c>
      <c r="E1762" s="270"/>
      <c r="F1762" s="270"/>
      <c r="G1762" s="270"/>
      <c r="H1762" s="270"/>
      <c r="I1762" s="48">
        <f>I1763+I1774</f>
        <v>45300</v>
      </c>
      <c r="J1762" s="48">
        <f>J1763+J1774</f>
        <v>0</v>
      </c>
      <c r="K1762" s="48">
        <f t="shared" si="326"/>
        <v>45300</v>
      </c>
      <c r="L1762" s="201"/>
      <c r="M1762" s="48">
        <f>M1763+M1774</f>
        <v>146000</v>
      </c>
      <c r="N1762" s="48">
        <f>N1763+N1774</f>
        <v>0</v>
      </c>
      <c r="O1762" s="48">
        <f t="shared" si="327"/>
        <v>146000</v>
      </c>
      <c r="P1762" s="201"/>
      <c r="Q1762" s="48">
        <f t="shared" si="323"/>
        <v>191300</v>
      </c>
      <c r="R1762" s="48">
        <f t="shared" si="330"/>
        <v>0</v>
      </c>
      <c r="S1762" s="48">
        <f t="shared" si="331"/>
        <v>191300</v>
      </c>
    </row>
    <row r="1763" spans="1:19" x14ac:dyDescent="0.2">
      <c r="B1763" s="79">
        <f t="shared" si="322"/>
        <v>93</v>
      </c>
      <c r="C1763" s="15"/>
      <c r="D1763" s="15"/>
      <c r="E1763" s="15"/>
      <c r="F1763" s="55" t="s">
        <v>189</v>
      </c>
      <c r="G1763" s="15">
        <v>710</v>
      </c>
      <c r="H1763" s="15" t="s">
        <v>184</v>
      </c>
      <c r="I1763" s="52">
        <v>0</v>
      </c>
      <c r="J1763" s="52"/>
      <c r="K1763" s="52">
        <f t="shared" si="326"/>
        <v>0</v>
      </c>
      <c r="L1763" s="126"/>
      <c r="M1763" s="52">
        <f>M1764+M1766+M1769</f>
        <v>116400</v>
      </c>
      <c r="N1763" s="52">
        <f>N1764+N1766+N1769</f>
        <v>0</v>
      </c>
      <c r="O1763" s="52">
        <f t="shared" si="327"/>
        <v>116400</v>
      </c>
      <c r="P1763" s="126"/>
      <c r="Q1763" s="52">
        <f t="shared" si="323"/>
        <v>116400</v>
      </c>
      <c r="R1763" s="52">
        <f t="shared" si="330"/>
        <v>0</v>
      </c>
      <c r="S1763" s="52">
        <f t="shared" si="331"/>
        <v>116400</v>
      </c>
    </row>
    <row r="1764" spans="1:19" x14ac:dyDescent="0.2">
      <c r="B1764" s="79">
        <f t="shared" si="322"/>
        <v>94</v>
      </c>
      <c r="C1764" s="15"/>
      <c r="D1764" s="15"/>
      <c r="E1764" s="15"/>
      <c r="F1764" s="89" t="s">
        <v>189</v>
      </c>
      <c r="G1764" s="90">
        <v>712</v>
      </c>
      <c r="H1764" s="90" t="s">
        <v>244</v>
      </c>
      <c r="I1764" s="91"/>
      <c r="J1764" s="91"/>
      <c r="K1764" s="91">
        <f t="shared" si="326"/>
        <v>0</v>
      </c>
      <c r="L1764" s="80"/>
      <c r="M1764" s="91">
        <f>M1765</f>
        <v>40000</v>
      </c>
      <c r="N1764" s="91">
        <f>N1765</f>
        <v>0</v>
      </c>
      <c r="O1764" s="91">
        <f t="shared" si="327"/>
        <v>40000</v>
      </c>
      <c r="P1764" s="80"/>
      <c r="Q1764" s="91">
        <f t="shared" si="323"/>
        <v>40000</v>
      </c>
      <c r="R1764" s="91">
        <f t="shared" si="330"/>
        <v>0</v>
      </c>
      <c r="S1764" s="91">
        <f t="shared" si="331"/>
        <v>40000</v>
      </c>
    </row>
    <row r="1765" spans="1:19" x14ac:dyDescent="0.2">
      <c r="B1765" s="79">
        <f t="shared" si="322"/>
        <v>95</v>
      </c>
      <c r="C1765" s="15"/>
      <c r="D1765" s="15"/>
      <c r="E1765" s="15"/>
      <c r="F1765" s="55"/>
      <c r="G1765" s="15"/>
      <c r="H1765" s="64" t="s">
        <v>615</v>
      </c>
      <c r="I1765" s="52"/>
      <c r="J1765" s="52"/>
      <c r="K1765" s="52">
        <f t="shared" si="326"/>
        <v>0</v>
      </c>
      <c r="L1765" s="126"/>
      <c r="M1765" s="62">
        <v>40000</v>
      </c>
      <c r="N1765" s="62"/>
      <c r="O1765" s="62">
        <f t="shared" si="327"/>
        <v>40000</v>
      </c>
      <c r="P1765" s="80"/>
      <c r="Q1765" s="52">
        <f t="shared" si="323"/>
        <v>40000</v>
      </c>
      <c r="R1765" s="52">
        <f t="shared" si="330"/>
        <v>0</v>
      </c>
      <c r="S1765" s="52">
        <f t="shared" si="331"/>
        <v>40000</v>
      </c>
    </row>
    <row r="1766" spans="1:19" x14ac:dyDescent="0.2">
      <c r="B1766" s="79">
        <f t="shared" si="322"/>
        <v>96</v>
      </c>
      <c r="C1766" s="15"/>
      <c r="D1766" s="15"/>
      <c r="E1766" s="15"/>
      <c r="F1766" s="89" t="s">
        <v>189</v>
      </c>
      <c r="G1766" s="90">
        <v>716</v>
      </c>
      <c r="H1766" s="90" t="s">
        <v>0</v>
      </c>
      <c r="I1766" s="91"/>
      <c r="J1766" s="91"/>
      <c r="K1766" s="91">
        <f t="shared" si="326"/>
        <v>0</v>
      </c>
      <c r="L1766" s="80"/>
      <c r="M1766" s="91">
        <f>M1767+M1768</f>
        <v>4000</v>
      </c>
      <c r="N1766" s="91">
        <f>N1767+N1768</f>
        <v>0</v>
      </c>
      <c r="O1766" s="91">
        <f t="shared" si="327"/>
        <v>4000</v>
      </c>
      <c r="P1766" s="80"/>
      <c r="Q1766" s="91">
        <f t="shared" si="323"/>
        <v>4000</v>
      </c>
      <c r="R1766" s="91">
        <f t="shared" si="330"/>
        <v>0</v>
      </c>
      <c r="S1766" s="91">
        <f t="shared" si="331"/>
        <v>4000</v>
      </c>
    </row>
    <row r="1767" spans="1:19" ht="24" x14ac:dyDescent="0.2">
      <c r="B1767" s="79">
        <f t="shared" si="322"/>
        <v>97</v>
      </c>
      <c r="C1767" s="15"/>
      <c r="D1767" s="15"/>
      <c r="E1767" s="15"/>
      <c r="F1767" s="56"/>
      <c r="G1767" s="4"/>
      <c r="H1767" s="122" t="s">
        <v>558</v>
      </c>
      <c r="I1767" s="26"/>
      <c r="J1767" s="26"/>
      <c r="K1767" s="26">
        <f t="shared" si="326"/>
        <v>0</v>
      </c>
      <c r="L1767" s="80"/>
      <c r="M1767" s="26">
        <v>3000</v>
      </c>
      <c r="N1767" s="26"/>
      <c r="O1767" s="26">
        <f t="shared" si="327"/>
        <v>3000</v>
      </c>
      <c r="P1767" s="80"/>
      <c r="Q1767" s="26">
        <f t="shared" si="323"/>
        <v>3000</v>
      </c>
      <c r="R1767" s="26">
        <f t="shared" si="330"/>
        <v>0</v>
      </c>
      <c r="S1767" s="26">
        <f t="shared" si="331"/>
        <v>3000</v>
      </c>
    </row>
    <row r="1768" spans="1:19" x14ac:dyDescent="0.2">
      <c r="B1768" s="79">
        <f t="shared" si="322"/>
        <v>98</v>
      </c>
      <c r="C1768" s="15"/>
      <c r="D1768" s="15"/>
      <c r="E1768" s="15"/>
      <c r="F1768" s="146" t="s">
        <v>189</v>
      </c>
      <c r="G1768" s="147">
        <v>716</v>
      </c>
      <c r="H1768" s="148" t="s">
        <v>575</v>
      </c>
      <c r="I1768" s="145"/>
      <c r="J1768" s="145"/>
      <c r="K1768" s="145">
        <f t="shared" si="326"/>
        <v>0</v>
      </c>
      <c r="L1768" s="80"/>
      <c r="M1768" s="145">
        <f>500+500</f>
        <v>1000</v>
      </c>
      <c r="N1768" s="145"/>
      <c r="O1768" s="145">
        <f t="shared" si="327"/>
        <v>1000</v>
      </c>
      <c r="P1768" s="80"/>
      <c r="Q1768" s="145">
        <f t="shared" si="323"/>
        <v>1000</v>
      </c>
      <c r="R1768" s="145">
        <f t="shared" si="330"/>
        <v>0</v>
      </c>
      <c r="S1768" s="145">
        <f t="shared" si="331"/>
        <v>1000</v>
      </c>
    </row>
    <row r="1769" spans="1:19" x14ac:dyDescent="0.2">
      <c r="B1769" s="79">
        <f t="shared" si="322"/>
        <v>99</v>
      </c>
      <c r="C1769" s="4"/>
      <c r="D1769" s="4"/>
      <c r="E1769" s="4"/>
      <c r="F1769" s="89" t="s">
        <v>189</v>
      </c>
      <c r="G1769" s="90">
        <v>717</v>
      </c>
      <c r="H1769" s="90" t="s">
        <v>194</v>
      </c>
      <c r="I1769" s="91"/>
      <c r="J1769" s="91"/>
      <c r="K1769" s="91">
        <f t="shared" si="326"/>
        <v>0</v>
      </c>
      <c r="L1769" s="80"/>
      <c r="M1769" s="91">
        <f>SUM(M1770:M1773)</f>
        <v>72400</v>
      </c>
      <c r="N1769" s="91">
        <f>SUM(N1770:N1773)</f>
        <v>0</v>
      </c>
      <c r="O1769" s="91">
        <f t="shared" si="327"/>
        <v>72400</v>
      </c>
      <c r="P1769" s="80"/>
      <c r="Q1769" s="91">
        <f t="shared" si="323"/>
        <v>72400</v>
      </c>
      <c r="R1769" s="91">
        <f t="shared" si="330"/>
        <v>0</v>
      </c>
      <c r="S1769" s="91">
        <f t="shared" si="331"/>
        <v>72400</v>
      </c>
    </row>
    <row r="1770" spans="1:19" ht="24" x14ac:dyDescent="0.2">
      <c r="B1770" s="79">
        <f t="shared" si="322"/>
        <v>100</v>
      </c>
      <c r="C1770" s="4"/>
      <c r="D1770" s="4"/>
      <c r="E1770" s="4"/>
      <c r="F1770" s="56"/>
      <c r="G1770" s="4"/>
      <c r="H1770" s="122" t="s">
        <v>444</v>
      </c>
      <c r="I1770" s="26"/>
      <c r="J1770" s="26"/>
      <c r="K1770" s="26">
        <f t="shared" si="326"/>
        <v>0</v>
      </c>
      <c r="L1770" s="80"/>
      <c r="M1770" s="26">
        <f>5000-3000</f>
        <v>2000</v>
      </c>
      <c r="N1770" s="26"/>
      <c r="O1770" s="26">
        <f t="shared" si="327"/>
        <v>2000</v>
      </c>
      <c r="P1770" s="80"/>
      <c r="Q1770" s="26">
        <f t="shared" si="323"/>
        <v>2000</v>
      </c>
      <c r="R1770" s="26">
        <f t="shared" si="330"/>
        <v>0</v>
      </c>
      <c r="S1770" s="26">
        <f t="shared" si="331"/>
        <v>2000</v>
      </c>
    </row>
    <row r="1771" spans="1:19" x14ac:dyDescent="0.2">
      <c r="B1771" s="79">
        <f t="shared" si="322"/>
        <v>101</v>
      </c>
      <c r="C1771" s="4"/>
      <c r="D1771" s="4"/>
      <c r="E1771" s="4"/>
      <c r="F1771" s="56"/>
      <c r="G1771" s="4"/>
      <c r="H1771" s="153" t="s">
        <v>589</v>
      </c>
      <c r="I1771" s="138"/>
      <c r="J1771" s="138"/>
      <c r="K1771" s="138">
        <f t="shared" si="326"/>
        <v>0</v>
      </c>
      <c r="L1771" s="80"/>
      <c r="M1771" s="138">
        <f>30000+10000</f>
        <v>40000</v>
      </c>
      <c r="N1771" s="138"/>
      <c r="O1771" s="138">
        <f t="shared" si="327"/>
        <v>40000</v>
      </c>
      <c r="P1771" s="80"/>
      <c r="Q1771" s="138">
        <f t="shared" si="323"/>
        <v>40000</v>
      </c>
      <c r="R1771" s="138">
        <f t="shared" si="330"/>
        <v>0</v>
      </c>
      <c r="S1771" s="138">
        <f t="shared" si="331"/>
        <v>40000</v>
      </c>
    </row>
    <row r="1772" spans="1:19" x14ac:dyDescent="0.2">
      <c r="B1772" s="79">
        <f t="shared" si="322"/>
        <v>102</v>
      </c>
      <c r="C1772" s="4"/>
      <c r="D1772" s="4"/>
      <c r="E1772" s="4"/>
      <c r="F1772" s="56"/>
      <c r="G1772" s="4"/>
      <c r="H1772" s="178" t="s">
        <v>682</v>
      </c>
      <c r="I1772" s="128"/>
      <c r="J1772" s="128"/>
      <c r="K1772" s="128">
        <f t="shared" si="326"/>
        <v>0</v>
      </c>
      <c r="L1772" s="80"/>
      <c r="M1772" s="128">
        <f>12500+1000</f>
        <v>13500</v>
      </c>
      <c r="N1772" s="128"/>
      <c r="O1772" s="128">
        <f t="shared" si="327"/>
        <v>13500</v>
      </c>
      <c r="P1772" s="80"/>
      <c r="Q1772" s="128">
        <f t="shared" si="323"/>
        <v>13500</v>
      </c>
      <c r="R1772" s="128">
        <f t="shared" si="330"/>
        <v>0</v>
      </c>
      <c r="S1772" s="128">
        <f t="shared" si="331"/>
        <v>13500</v>
      </c>
    </row>
    <row r="1773" spans="1:19" s="75" customFormat="1" ht="24" x14ac:dyDescent="0.2">
      <c r="A1773" s="71"/>
      <c r="B1773" s="78">
        <f t="shared" si="322"/>
        <v>103</v>
      </c>
      <c r="C1773" s="82"/>
      <c r="D1773" s="82"/>
      <c r="E1773" s="82"/>
      <c r="F1773" s="83"/>
      <c r="G1773" s="82"/>
      <c r="H1773" s="135" t="s">
        <v>683</v>
      </c>
      <c r="I1773" s="131"/>
      <c r="J1773" s="131"/>
      <c r="K1773" s="131">
        <f t="shared" si="326"/>
        <v>0</v>
      </c>
      <c r="L1773" s="166"/>
      <c r="M1773" s="131">
        <f>15000+1900</f>
        <v>16900</v>
      </c>
      <c r="N1773" s="131"/>
      <c r="O1773" s="131">
        <f t="shared" si="327"/>
        <v>16900</v>
      </c>
      <c r="P1773" s="166"/>
      <c r="Q1773" s="131">
        <f t="shared" si="323"/>
        <v>16900</v>
      </c>
      <c r="R1773" s="131">
        <f t="shared" si="330"/>
        <v>0</v>
      </c>
      <c r="S1773" s="131">
        <f t="shared" si="331"/>
        <v>16900</v>
      </c>
    </row>
    <row r="1774" spans="1:19" ht="15" x14ac:dyDescent="0.25">
      <c r="B1774" s="79">
        <f t="shared" si="322"/>
        <v>104</v>
      </c>
      <c r="C1774" s="18"/>
      <c r="D1774" s="18"/>
      <c r="E1774" s="18">
        <v>2</v>
      </c>
      <c r="F1774" s="53"/>
      <c r="G1774" s="18"/>
      <c r="H1774" s="18" t="s">
        <v>257</v>
      </c>
      <c r="I1774" s="50">
        <f>I1775+I1776+I1777</f>
        <v>45300</v>
      </c>
      <c r="J1774" s="50">
        <f>J1775+J1776+J1777</f>
        <v>0</v>
      </c>
      <c r="K1774" s="50">
        <f t="shared" si="326"/>
        <v>45300</v>
      </c>
      <c r="L1774" s="203"/>
      <c r="M1774" s="50">
        <f>M1775+M1776+M1777+M1790</f>
        <v>29600</v>
      </c>
      <c r="N1774" s="50">
        <f>N1775+N1776+N1777+N1790</f>
        <v>0</v>
      </c>
      <c r="O1774" s="50">
        <f t="shared" si="327"/>
        <v>29600</v>
      </c>
      <c r="P1774" s="203"/>
      <c r="Q1774" s="50">
        <f t="shared" si="323"/>
        <v>74900</v>
      </c>
      <c r="R1774" s="50">
        <f t="shared" si="330"/>
        <v>0</v>
      </c>
      <c r="S1774" s="50">
        <f t="shared" si="331"/>
        <v>74900</v>
      </c>
    </row>
    <row r="1775" spans="1:19" x14ac:dyDescent="0.2">
      <c r="B1775" s="79">
        <f t="shared" si="322"/>
        <v>105</v>
      </c>
      <c r="C1775" s="15"/>
      <c r="D1775" s="15"/>
      <c r="E1775" s="15"/>
      <c r="F1775" s="55" t="s">
        <v>189</v>
      </c>
      <c r="G1775" s="15">
        <v>610</v>
      </c>
      <c r="H1775" s="15" t="s">
        <v>136</v>
      </c>
      <c r="I1775" s="52">
        <v>7000</v>
      </c>
      <c r="J1775" s="52"/>
      <c r="K1775" s="52">
        <f t="shared" si="326"/>
        <v>7000</v>
      </c>
      <c r="L1775" s="126"/>
      <c r="M1775" s="52"/>
      <c r="N1775" s="52"/>
      <c r="O1775" s="52">
        <f t="shared" si="327"/>
        <v>0</v>
      </c>
      <c r="P1775" s="126"/>
      <c r="Q1775" s="52">
        <f t="shared" si="323"/>
        <v>7000</v>
      </c>
      <c r="R1775" s="52">
        <f t="shared" si="330"/>
        <v>0</v>
      </c>
      <c r="S1775" s="52">
        <f t="shared" si="331"/>
        <v>7000</v>
      </c>
    </row>
    <row r="1776" spans="1:19" x14ac:dyDescent="0.2">
      <c r="B1776" s="79">
        <f t="shared" si="322"/>
        <v>106</v>
      </c>
      <c r="C1776" s="15"/>
      <c r="D1776" s="15"/>
      <c r="E1776" s="15"/>
      <c r="F1776" s="55" t="s">
        <v>189</v>
      </c>
      <c r="G1776" s="15">
        <v>620</v>
      </c>
      <c r="H1776" s="15" t="s">
        <v>131</v>
      </c>
      <c r="I1776" s="52">
        <v>2930</v>
      </c>
      <c r="J1776" s="52"/>
      <c r="K1776" s="52">
        <f t="shared" si="326"/>
        <v>2930</v>
      </c>
      <c r="L1776" s="126"/>
      <c r="M1776" s="52"/>
      <c r="N1776" s="52"/>
      <c r="O1776" s="52">
        <f t="shared" si="327"/>
        <v>0</v>
      </c>
      <c r="P1776" s="126"/>
      <c r="Q1776" s="52">
        <f t="shared" si="323"/>
        <v>2930</v>
      </c>
      <c r="R1776" s="52">
        <f t="shared" si="330"/>
        <v>0</v>
      </c>
      <c r="S1776" s="52">
        <f t="shared" si="331"/>
        <v>2930</v>
      </c>
    </row>
    <row r="1777" spans="2:19" x14ac:dyDescent="0.2">
      <c r="B1777" s="79">
        <f t="shared" si="322"/>
        <v>107</v>
      </c>
      <c r="C1777" s="15"/>
      <c r="D1777" s="15"/>
      <c r="E1777" s="15"/>
      <c r="F1777" s="55" t="s">
        <v>189</v>
      </c>
      <c r="G1777" s="15">
        <v>630</v>
      </c>
      <c r="H1777" s="15" t="s">
        <v>128</v>
      </c>
      <c r="I1777" s="52">
        <f>SUM(I1778:I1789)</f>
        <v>35370</v>
      </c>
      <c r="J1777" s="52">
        <f>SUM(J1778:J1789)</f>
        <v>0</v>
      </c>
      <c r="K1777" s="52">
        <f t="shared" si="326"/>
        <v>35370</v>
      </c>
      <c r="L1777" s="126"/>
      <c r="M1777" s="52">
        <f>SUM(M1778:M1789)</f>
        <v>0</v>
      </c>
      <c r="N1777" s="52">
        <f>SUM(N1778:N1789)</f>
        <v>0</v>
      </c>
      <c r="O1777" s="52">
        <f t="shared" si="327"/>
        <v>0</v>
      </c>
      <c r="P1777" s="126"/>
      <c r="Q1777" s="52">
        <f t="shared" si="323"/>
        <v>35370</v>
      </c>
      <c r="R1777" s="52">
        <f t="shared" si="330"/>
        <v>0</v>
      </c>
      <c r="S1777" s="52">
        <f t="shared" si="331"/>
        <v>35370</v>
      </c>
    </row>
    <row r="1778" spans="2:19" x14ac:dyDescent="0.2">
      <c r="B1778" s="79">
        <f t="shared" si="322"/>
        <v>108</v>
      </c>
      <c r="C1778" s="4"/>
      <c r="D1778" s="4"/>
      <c r="E1778" s="4"/>
      <c r="F1778" s="56" t="s">
        <v>189</v>
      </c>
      <c r="G1778" s="4">
        <v>633</v>
      </c>
      <c r="H1778" s="4" t="s">
        <v>132</v>
      </c>
      <c r="I1778" s="26">
        <f>7050+4500</f>
        <v>11550</v>
      </c>
      <c r="J1778" s="26"/>
      <c r="K1778" s="26">
        <f t="shared" si="326"/>
        <v>11550</v>
      </c>
      <c r="L1778" s="80"/>
      <c r="M1778" s="26"/>
      <c r="N1778" s="26"/>
      <c r="O1778" s="26">
        <f t="shared" si="327"/>
        <v>0</v>
      </c>
      <c r="P1778" s="80"/>
      <c r="Q1778" s="26">
        <f t="shared" si="323"/>
        <v>11550</v>
      </c>
      <c r="R1778" s="26">
        <f t="shared" si="330"/>
        <v>0</v>
      </c>
      <c r="S1778" s="26">
        <f t="shared" si="331"/>
        <v>11550</v>
      </c>
    </row>
    <row r="1779" spans="2:19" x14ac:dyDescent="0.2">
      <c r="B1779" s="79">
        <f t="shared" si="322"/>
        <v>109</v>
      </c>
      <c r="C1779" s="4"/>
      <c r="D1779" s="4"/>
      <c r="E1779" s="4"/>
      <c r="F1779" s="56" t="s">
        <v>189</v>
      </c>
      <c r="G1779" s="4">
        <v>633</v>
      </c>
      <c r="H1779" s="4" t="s">
        <v>685</v>
      </c>
      <c r="I1779" s="26">
        <v>2000</v>
      </c>
      <c r="J1779" s="26"/>
      <c r="K1779" s="26">
        <f t="shared" si="326"/>
        <v>2000</v>
      </c>
      <c r="L1779" s="80"/>
      <c r="M1779" s="26"/>
      <c r="N1779" s="26"/>
      <c r="O1779" s="26">
        <f t="shared" si="327"/>
        <v>0</v>
      </c>
      <c r="P1779" s="80"/>
      <c r="Q1779" s="26">
        <f t="shared" si="323"/>
        <v>2000</v>
      </c>
      <c r="R1779" s="26">
        <f t="shared" si="330"/>
        <v>0</v>
      </c>
      <c r="S1779" s="26">
        <f t="shared" si="331"/>
        <v>2000</v>
      </c>
    </row>
    <row r="1780" spans="2:19" x14ac:dyDescent="0.2">
      <c r="B1780" s="79">
        <f t="shared" si="322"/>
        <v>110</v>
      </c>
      <c r="C1780" s="4"/>
      <c r="D1780" s="4"/>
      <c r="E1780" s="4"/>
      <c r="F1780" s="56" t="s">
        <v>189</v>
      </c>
      <c r="G1780" s="4">
        <v>633</v>
      </c>
      <c r="H1780" s="129" t="s">
        <v>684</v>
      </c>
      <c r="I1780" s="128">
        <f>5000-700-1900</f>
        <v>2400</v>
      </c>
      <c r="J1780" s="128"/>
      <c r="K1780" s="128">
        <f t="shared" si="326"/>
        <v>2400</v>
      </c>
      <c r="L1780" s="80"/>
      <c r="M1780" s="128"/>
      <c r="N1780" s="128"/>
      <c r="O1780" s="128">
        <f t="shared" si="327"/>
        <v>0</v>
      </c>
      <c r="P1780" s="80"/>
      <c r="Q1780" s="128">
        <f t="shared" si="323"/>
        <v>2400</v>
      </c>
      <c r="R1780" s="128">
        <f t="shared" si="330"/>
        <v>0</v>
      </c>
      <c r="S1780" s="128">
        <f t="shared" si="331"/>
        <v>2400</v>
      </c>
    </row>
    <row r="1781" spans="2:19" ht="24" x14ac:dyDescent="0.2">
      <c r="B1781" s="79">
        <f t="shared" si="322"/>
        <v>111</v>
      </c>
      <c r="C1781" s="4"/>
      <c r="D1781" s="4"/>
      <c r="E1781" s="4"/>
      <c r="F1781" s="56" t="s">
        <v>189</v>
      </c>
      <c r="G1781" s="4">
        <v>633</v>
      </c>
      <c r="H1781" s="182" t="s">
        <v>693</v>
      </c>
      <c r="I1781" s="80">
        <v>2000</v>
      </c>
      <c r="J1781" s="80"/>
      <c r="K1781" s="80">
        <f t="shared" si="326"/>
        <v>2000</v>
      </c>
      <c r="L1781" s="80"/>
      <c r="M1781" s="80"/>
      <c r="N1781" s="80"/>
      <c r="O1781" s="80">
        <f t="shared" si="327"/>
        <v>0</v>
      </c>
      <c r="P1781" s="80"/>
      <c r="Q1781" s="80">
        <f t="shared" si="323"/>
        <v>2000</v>
      </c>
      <c r="R1781" s="80">
        <f t="shared" si="330"/>
        <v>0</v>
      </c>
      <c r="S1781" s="80">
        <f t="shared" si="331"/>
        <v>2000</v>
      </c>
    </row>
    <row r="1782" spans="2:19" x14ac:dyDescent="0.2">
      <c r="B1782" s="79">
        <f t="shared" si="322"/>
        <v>112</v>
      </c>
      <c r="C1782" s="4"/>
      <c r="D1782" s="4"/>
      <c r="E1782" s="4"/>
      <c r="F1782" s="56" t="s">
        <v>189</v>
      </c>
      <c r="G1782" s="4">
        <v>633</v>
      </c>
      <c r="H1782" s="111" t="s">
        <v>694</v>
      </c>
      <c r="I1782" s="80">
        <v>1000</v>
      </c>
      <c r="J1782" s="80"/>
      <c r="K1782" s="80">
        <f t="shared" si="326"/>
        <v>1000</v>
      </c>
      <c r="L1782" s="80"/>
      <c r="M1782" s="80"/>
      <c r="N1782" s="80"/>
      <c r="O1782" s="80">
        <f t="shared" si="327"/>
        <v>0</v>
      </c>
      <c r="P1782" s="80"/>
      <c r="Q1782" s="80">
        <f t="shared" si="323"/>
        <v>1000</v>
      </c>
      <c r="R1782" s="80">
        <f t="shared" si="330"/>
        <v>0</v>
      </c>
      <c r="S1782" s="80">
        <f t="shared" si="331"/>
        <v>1000</v>
      </c>
    </row>
    <row r="1783" spans="2:19" x14ac:dyDescent="0.2">
      <c r="B1783" s="79">
        <f t="shared" si="322"/>
        <v>113</v>
      </c>
      <c r="C1783" s="4"/>
      <c r="D1783" s="4"/>
      <c r="E1783" s="4"/>
      <c r="F1783" s="56" t="s">
        <v>189</v>
      </c>
      <c r="G1783" s="4">
        <v>634</v>
      </c>
      <c r="H1783" s="4" t="s">
        <v>137</v>
      </c>
      <c r="I1783" s="26">
        <v>900</v>
      </c>
      <c r="J1783" s="26"/>
      <c r="K1783" s="26">
        <f t="shared" si="326"/>
        <v>900</v>
      </c>
      <c r="L1783" s="80"/>
      <c r="M1783" s="26"/>
      <c r="N1783" s="26"/>
      <c r="O1783" s="26">
        <f t="shared" si="327"/>
        <v>0</v>
      </c>
      <c r="P1783" s="80"/>
      <c r="Q1783" s="26">
        <f t="shared" si="323"/>
        <v>900</v>
      </c>
      <c r="R1783" s="26">
        <f t="shared" si="330"/>
        <v>0</v>
      </c>
      <c r="S1783" s="26">
        <f t="shared" si="331"/>
        <v>900</v>
      </c>
    </row>
    <row r="1784" spans="2:19" x14ac:dyDescent="0.2">
      <c r="B1784" s="79">
        <f t="shared" si="322"/>
        <v>114</v>
      </c>
      <c r="C1784" s="4"/>
      <c r="D1784" s="4"/>
      <c r="E1784" s="4"/>
      <c r="F1784" s="56" t="s">
        <v>189</v>
      </c>
      <c r="G1784" s="4">
        <v>635</v>
      </c>
      <c r="H1784" s="4" t="s">
        <v>138</v>
      </c>
      <c r="I1784" s="26">
        <v>650</v>
      </c>
      <c r="J1784" s="26"/>
      <c r="K1784" s="26">
        <f t="shared" si="326"/>
        <v>650</v>
      </c>
      <c r="L1784" s="80"/>
      <c r="M1784" s="26"/>
      <c r="N1784" s="26"/>
      <c r="O1784" s="26">
        <f t="shared" si="327"/>
        <v>0</v>
      </c>
      <c r="P1784" s="80"/>
      <c r="Q1784" s="26">
        <f t="shared" si="323"/>
        <v>650</v>
      </c>
      <c r="R1784" s="26">
        <f t="shared" si="330"/>
        <v>0</v>
      </c>
      <c r="S1784" s="26">
        <f t="shared" si="331"/>
        <v>650</v>
      </c>
    </row>
    <row r="1785" spans="2:19" ht="24" x14ac:dyDescent="0.2">
      <c r="B1785" s="79">
        <f t="shared" si="322"/>
        <v>115</v>
      </c>
      <c r="C1785" s="4"/>
      <c r="D1785" s="4"/>
      <c r="E1785" s="4"/>
      <c r="F1785" s="56" t="s">
        <v>189</v>
      </c>
      <c r="G1785" s="4">
        <v>635</v>
      </c>
      <c r="H1785" s="122" t="s">
        <v>695</v>
      </c>
      <c r="I1785" s="26">
        <v>4900</v>
      </c>
      <c r="J1785" s="26"/>
      <c r="K1785" s="26">
        <f t="shared" si="326"/>
        <v>4900</v>
      </c>
      <c r="L1785" s="80"/>
      <c r="M1785" s="26"/>
      <c r="N1785" s="26"/>
      <c r="O1785" s="26">
        <f t="shared" si="327"/>
        <v>0</v>
      </c>
      <c r="P1785" s="80"/>
      <c r="Q1785" s="26">
        <f t="shared" si="323"/>
        <v>4900</v>
      </c>
      <c r="R1785" s="26">
        <f t="shared" si="330"/>
        <v>0</v>
      </c>
      <c r="S1785" s="26">
        <f t="shared" si="331"/>
        <v>4900</v>
      </c>
    </row>
    <row r="1786" spans="2:19" x14ac:dyDescent="0.2">
      <c r="B1786" s="79">
        <f t="shared" si="322"/>
        <v>116</v>
      </c>
      <c r="C1786" s="4"/>
      <c r="D1786" s="4"/>
      <c r="E1786" s="4"/>
      <c r="F1786" s="56" t="s">
        <v>189</v>
      </c>
      <c r="G1786" s="4">
        <v>635</v>
      </c>
      <c r="H1786" s="156" t="s">
        <v>705</v>
      </c>
      <c r="I1786" s="143">
        <v>7000</v>
      </c>
      <c r="J1786" s="143"/>
      <c r="K1786" s="143">
        <f t="shared" si="326"/>
        <v>7000</v>
      </c>
      <c r="L1786" s="166"/>
      <c r="M1786" s="143"/>
      <c r="N1786" s="143"/>
      <c r="O1786" s="143">
        <f t="shared" si="327"/>
        <v>0</v>
      </c>
      <c r="P1786" s="166"/>
      <c r="Q1786" s="143">
        <f t="shared" si="323"/>
        <v>7000</v>
      </c>
      <c r="R1786" s="143">
        <f t="shared" si="330"/>
        <v>0</v>
      </c>
      <c r="S1786" s="143">
        <f t="shared" si="331"/>
        <v>7000</v>
      </c>
    </row>
    <row r="1787" spans="2:19" x14ac:dyDescent="0.2">
      <c r="B1787" s="79">
        <f t="shared" si="322"/>
        <v>117</v>
      </c>
      <c r="C1787" s="4"/>
      <c r="D1787" s="4"/>
      <c r="E1787" s="4"/>
      <c r="F1787" s="56" t="s">
        <v>189</v>
      </c>
      <c r="G1787" s="4">
        <v>635</v>
      </c>
      <c r="H1787" s="148" t="s">
        <v>712</v>
      </c>
      <c r="I1787" s="145">
        <v>1500</v>
      </c>
      <c r="J1787" s="145"/>
      <c r="K1787" s="145">
        <f t="shared" si="326"/>
        <v>1500</v>
      </c>
      <c r="L1787" s="80"/>
      <c r="M1787" s="145"/>
      <c r="N1787" s="145"/>
      <c r="O1787" s="145">
        <f t="shared" si="327"/>
        <v>0</v>
      </c>
      <c r="P1787" s="80"/>
      <c r="Q1787" s="145">
        <f t="shared" si="323"/>
        <v>1500</v>
      </c>
      <c r="R1787" s="145">
        <f t="shared" si="330"/>
        <v>0</v>
      </c>
      <c r="S1787" s="145">
        <f t="shared" si="331"/>
        <v>1500</v>
      </c>
    </row>
    <row r="1788" spans="2:19" x14ac:dyDescent="0.2">
      <c r="B1788" s="79">
        <f t="shared" si="322"/>
        <v>118</v>
      </c>
      <c r="C1788" s="4"/>
      <c r="D1788" s="4"/>
      <c r="E1788" s="4"/>
      <c r="F1788" s="56" t="s">
        <v>189</v>
      </c>
      <c r="G1788" s="4">
        <v>636</v>
      </c>
      <c r="H1788" s="4" t="s">
        <v>133</v>
      </c>
      <c r="I1788" s="26">
        <v>50</v>
      </c>
      <c r="J1788" s="26"/>
      <c r="K1788" s="26">
        <f t="shared" si="326"/>
        <v>50</v>
      </c>
      <c r="L1788" s="80"/>
      <c r="M1788" s="26"/>
      <c r="N1788" s="26"/>
      <c r="O1788" s="26">
        <f t="shared" si="327"/>
        <v>0</v>
      </c>
      <c r="P1788" s="80"/>
      <c r="Q1788" s="26">
        <f t="shared" si="323"/>
        <v>50</v>
      </c>
      <c r="R1788" s="26">
        <f t="shared" si="330"/>
        <v>0</v>
      </c>
      <c r="S1788" s="26">
        <f t="shared" si="331"/>
        <v>50</v>
      </c>
    </row>
    <row r="1789" spans="2:19" x14ac:dyDescent="0.2">
      <c r="B1789" s="79">
        <f t="shared" si="322"/>
        <v>119</v>
      </c>
      <c r="C1789" s="4"/>
      <c r="D1789" s="4"/>
      <c r="E1789" s="4"/>
      <c r="F1789" s="56" t="s">
        <v>189</v>
      </c>
      <c r="G1789" s="4">
        <v>637</v>
      </c>
      <c r="H1789" s="4" t="s">
        <v>129</v>
      </c>
      <c r="I1789" s="26">
        <v>1420</v>
      </c>
      <c r="J1789" s="26"/>
      <c r="K1789" s="26">
        <f t="shared" si="326"/>
        <v>1420</v>
      </c>
      <c r="L1789" s="80"/>
      <c r="M1789" s="26"/>
      <c r="N1789" s="26"/>
      <c r="O1789" s="26">
        <f t="shared" si="327"/>
        <v>0</v>
      </c>
      <c r="P1789" s="80"/>
      <c r="Q1789" s="26">
        <f t="shared" si="323"/>
        <v>1420</v>
      </c>
      <c r="R1789" s="26">
        <f t="shared" si="330"/>
        <v>0</v>
      </c>
      <c r="S1789" s="26">
        <f t="shared" si="331"/>
        <v>1420</v>
      </c>
    </row>
    <row r="1790" spans="2:19" x14ac:dyDescent="0.2">
      <c r="B1790" s="79">
        <f t="shared" si="322"/>
        <v>120</v>
      </c>
      <c r="C1790" s="15"/>
      <c r="D1790" s="15"/>
      <c r="E1790" s="15"/>
      <c r="F1790" s="55" t="s">
        <v>189</v>
      </c>
      <c r="G1790" s="15">
        <v>710</v>
      </c>
      <c r="H1790" s="15" t="s">
        <v>184</v>
      </c>
      <c r="I1790" s="52">
        <v>0</v>
      </c>
      <c r="J1790" s="52">
        <v>0</v>
      </c>
      <c r="K1790" s="52">
        <f t="shared" si="326"/>
        <v>0</v>
      </c>
      <c r="L1790" s="126"/>
      <c r="M1790" s="52">
        <f>M1791</f>
        <v>29600</v>
      </c>
      <c r="N1790" s="52">
        <f>N1791</f>
        <v>0</v>
      </c>
      <c r="O1790" s="52">
        <f t="shared" si="327"/>
        <v>29600</v>
      </c>
      <c r="P1790" s="126"/>
      <c r="Q1790" s="52">
        <f t="shared" si="323"/>
        <v>29600</v>
      </c>
      <c r="R1790" s="52">
        <f t="shared" si="330"/>
        <v>0</v>
      </c>
      <c r="S1790" s="52">
        <f t="shared" si="331"/>
        <v>29600</v>
      </c>
    </row>
    <row r="1791" spans="2:19" x14ac:dyDescent="0.2">
      <c r="B1791" s="79">
        <f t="shared" si="322"/>
        <v>121</v>
      </c>
      <c r="C1791" s="4"/>
      <c r="D1791" s="4"/>
      <c r="E1791" s="4"/>
      <c r="F1791" s="89" t="s">
        <v>189</v>
      </c>
      <c r="G1791" s="90">
        <v>717</v>
      </c>
      <c r="H1791" s="90" t="s">
        <v>194</v>
      </c>
      <c r="I1791" s="91"/>
      <c r="J1791" s="91"/>
      <c r="K1791" s="91">
        <f t="shared" si="326"/>
        <v>0</v>
      </c>
      <c r="L1791" s="80"/>
      <c r="M1791" s="91">
        <f>M1792</f>
        <v>29600</v>
      </c>
      <c r="N1791" s="91">
        <f>N1792</f>
        <v>0</v>
      </c>
      <c r="O1791" s="91">
        <f t="shared" si="327"/>
        <v>29600</v>
      </c>
      <c r="P1791" s="80"/>
      <c r="Q1791" s="91">
        <f t="shared" si="323"/>
        <v>29600</v>
      </c>
      <c r="R1791" s="91">
        <f t="shared" si="330"/>
        <v>0</v>
      </c>
      <c r="S1791" s="91">
        <f t="shared" si="331"/>
        <v>29600</v>
      </c>
    </row>
    <row r="1792" spans="2:19" x14ac:dyDescent="0.2">
      <c r="B1792" s="79">
        <f t="shared" si="322"/>
        <v>122</v>
      </c>
      <c r="C1792" s="4"/>
      <c r="D1792" s="4"/>
      <c r="E1792" s="4"/>
      <c r="F1792" s="56"/>
      <c r="G1792" s="4"/>
      <c r="H1792" s="4" t="s">
        <v>453</v>
      </c>
      <c r="I1792" s="26"/>
      <c r="J1792" s="26"/>
      <c r="K1792" s="26">
        <f t="shared" si="326"/>
        <v>0</v>
      </c>
      <c r="L1792" s="80"/>
      <c r="M1792" s="26">
        <f>40600-10000-1000</f>
        <v>29600</v>
      </c>
      <c r="N1792" s="26"/>
      <c r="O1792" s="26">
        <f t="shared" si="327"/>
        <v>29600</v>
      </c>
      <c r="P1792" s="80"/>
      <c r="Q1792" s="26">
        <f t="shared" si="323"/>
        <v>29600</v>
      </c>
      <c r="R1792" s="26">
        <f t="shared" si="330"/>
        <v>0</v>
      </c>
      <c r="S1792" s="26">
        <f t="shared" si="331"/>
        <v>29600</v>
      </c>
    </row>
    <row r="1793" spans="2:17" x14ac:dyDescent="0.2">
      <c r="B1793" s="101"/>
      <c r="C1793" s="13"/>
      <c r="D1793" s="13"/>
      <c r="E1793" s="13"/>
      <c r="F1793" s="113"/>
      <c r="G1793" s="13"/>
      <c r="H1793" s="13"/>
      <c r="I1793" s="114"/>
      <c r="J1793" s="114"/>
      <c r="K1793" s="114"/>
      <c r="L1793" s="205"/>
      <c r="M1793" s="114"/>
      <c r="N1793" s="114"/>
      <c r="O1793" s="114"/>
      <c r="P1793" s="205"/>
      <c r="Q1793" s="114"/>
    </row>
    <row r="1794" spans="2:17" x14ac:dyDescent="0.2">
      <c r="B1794" s="101"/>
      <c r="C1794" s="13"/>
      <c r="D1794" s="13"/>
      <c r="E1794" s="13"/>
      <c r="F1794" s="113"/>
      <c r="G1794" s="13"/>
      <c r="H1794" s="13"/>
      <c r="I1794" s="114"/>
      <c r="J1794" s="114"/>
      <c r="K1794" s="114"/>
      <c r="L1794" s="205"/>
      <c r="M1794" s="114"/>
      <c r="N1794" s="114"/>
      <c r="O1794" s="114"/>
      <c r="P1794" s="205"/>
      <c r="Q1794" s="114"/>
    </row>
    <row r="1795" spans="2:17" x14ac:dyDescent="0.2">
      <c r="B1795" s="101"/>
      <c r="C1795" s="13"/>
      <c r="D1795" s="13"/>
      <c r="E1795" s="13"/>
      <c r="F1795" s="113"/>
      <c r="G1795" s="13"/>
      <c r="H1795" s="13"/>
      <c r="I1795" s="114"/>
      <c r="J1795" s="114"/>
      <c r="K1795" s="114"/>
      <c r="L1795" s="205"/>
      <c r="M1795" s="114"/>
      <c r="N1795" s="114"/>
      <c r="O1795" s="114"/>
      <c r="P1795" s="205"/>
      <c r="Q1795" s="114"/>
    </row>
    <row r="1796" spans="2:17" x14ac:dyDescent="0.2">
      <c r="B1796" s="101"/>
      <c r="C1796" s="13"/>
      <c r="D1796" s="13"/>
      <c r="E1796" s="13"/>
      <c r="F1796" s="113"/>
      <c r="G1796" s="13"/>
      <c r="H1796" s="13"/>
      <c r="I1796" s="114"/>
      <c r="J1796" s="114"/>
      <c r="K1796" s="114"/>
      <c r="L1796" s="205"/>
      <c r="M1796" s="114"/>
      <c r="N1796" s="114"/>
      <c r="O1796" s="114"/>
      <c r="P1796" s="205"/>
      <c r="Q1796" s="114"/>
    </row>
    <row r="1797" spans="2:17" x14ac:dyDescent="0.2">
      <c r="B1797" s="101"/>
      <c r="C1797" s="13"/>
      <c r="D1797" s="13"/>
      <c r="E1797" s="13"/>
      <c r="F1797" s="113"/>
      <c r="G1797" s="13"/>
      <c r="H1797" s="13"/>
      <c r="I1797" s="114"/>
      <c r="J1797" s="114"/>
      <c r="K1797" s="114"/>
      <c r="L1797" s="205"/>
      <c r="M1797" s="114"/>
      <c r="N1797" s="114"/>
      <c r="O1797" s="114"/>
      <c r="P1797" s="205"/>
      <c r="Q1797" s="114"/>
    </row>
    <row r="1798" spans="2:17" x14ac:dyDescent="0.2">
      <c r="B1798" s="101"/>
      <c r="C1798" s="13"/>
      <c r="D1798" s="13"/>
      <c r="E1798" s="13"/>
      <c r="F1798" s="113"/>
      <c r="G1798" s="13"/>
      <c r="H1798" s="13"/>
      <c r="I1798" s="114"/>
      <c r="J1798" s="114"/>
      <c r="K1798" s="114"/>
      <c r="L1798" s="205"/>
      <c r="M1798" s="114"/>
      <c r="N1798" s="114"/>
      <c r="O1798" s="114"/>
      <c r="P1798" s="205"/>
      <c r="Q1798" s="114"/>
    </row>
    <row r="1799" spans="2:17" x14ac:dyDescent="0.2">
      <c r="B1799" s="101"/>
      <c r="C1799" s="13"/>
      <c r="D1799" s="13"/>
      <c r="E1799" s="13"/>
      <c r="F1799" s="113"/>
      <c r="G1799" s="13"/>
      <c r="H1799" s="13"/>
      <c r="I1799" s="114"/>
      <c r="J1799" s="114"/>
      <c r="K1799" s="114"/>
      <c r="L1799" s="205"/>
      <c r="M1799" s="114"/>
      <c r="N1799" s="114"/>
      <c r="O1799" s="114"/>
      <c r="P1799" s="205"/>
      <c r="Q1799" s="114"/>
    </row>
    <row r="1800" spans="2:17" x14ac:dyDescent="0.2">
      <c r="B1800" s="101"/>
      <c r="C1800" s="13"/>
      <c r="D1800" s="13"/>
      <c r="E1800" s="13"/>
      <c r="F1800" s="113"/>
      <c r="G1800" s="13"/>
      <c r="H1800" s="13"/>
      <c r="I1800" s="114"/>
      <c r="J1800" s="114"/>
      <c r="K1800" s="114"/>
      <c r="L1800" s="205"/>
      <c r="M1800" s="114"/>
      <c r="N1800" s="114"/>
      <c r="O1800" s="114"/>
      <c r="P1800" s="205"/>
      <c r="Q1800" s="114"/>
    </row>
    <row r="1801" spans="2:17" x14ac:dyDescent="0.2">
      <c r="B1801" s="101"/>
      <c r="C1801" s="13"/>
      <c r="D1801" s="13"/>
      <c r="E1801" s="13"/>
      <c r="F1801" s="113"/>
      <c r="G1801" s="13"/>
      <c r="H1801" s="13"/>
      <c r="I1801" s="114"/>
      <c r="J1801" s="114"/>
      <c r="K1801" s="114"/>
      <c r="L1801" s="205"/>
      <c r="M1801" s="114"/>
      <c r="N1801" s="114"/>
      <c r="O1801" s="114"/>
      <c r="P1801" s="205"/>
      <c r="Q1801" s="114"/>
    </row>
    <row r="1802" spans="2:17" x14ac:dyDescent="0.2">
      <c r="B1802" s="101"/>
      <c r="C1802" s="13"/>
      <c r="D1802" s="13"/>
      <c r="E1802" s="13"/>
      <c r="F1802" s="113"/>
      <c r="G1802" s="13"/>
      <c r="H1802" s="13"/>
      <c r="I1802" s="114"/>
      <c r="J1802" s="114"/>
      <c r="K1802" s="114"/>
      <c r="L1802" s="205"/>
      <c r="M1802" s="114"/>
      <c r="N1802" s="114"/>
      <c r="O1802" s="114"/>
      <c r="P1802" s="205"/>
      <c r="Q1802" s="114"/>
    </row>
    <row r="1803" spans="2:17" x14ac:dyDescent="0.2">
      <c r="B1803" s="101"/>
      <c r="C1803" s="13"/>
      <c r="D1803" s="13"/>
      <c r="E1803" s="13"/>
      <c r="F1803" s="113"/>
      <c r="G1803" s="13"/>
      <c r="H1803" s="13"/>
      <c r="I1803" s="114"/>
      <c r="J1803" s="114"/>
      <c r="K1803" s="114"/>
      <c r="L1803" s="205"/>
      <c r="M1803" s="114"/>
      <c r="N1803" s="114"/>
      <c r="O1803" s="114"/>
      <c r="P1803" s="205"/>
      <c r="Q1803" s="114"/>
    </row>
    <row r="1804" spans="2:17" x14ac:dyDescent="0.2">
      <c r="B1804" s="101"/>
      <c r="C1804" s="13"/>
      <c r="D1804" s="13"/>
      <c r="E1804" s="13"/>
      <c r="F1804" s="113"/>
      <c r="G1804" s="13"/>
      <c r="H1804" s="13"/>
      <c r="I1804" s="114"/>
      <c r="J1804" s="114"/>
      <c r="K1804" s="114"/>
      <c r="L1804" s="205"/>
      <c r="M1804" s="114"/>
      <c r="N1804" s="114"/>
      <c r="O1804" s="114"/>
      <c r="P1804" s="205"/>
      <c r="Q1804" s="114"/>
    </row>
    <row r="1805" spans="2:17" x14ac:dyDescent="0.2">
      <c r="B1805" s="101"/>
      <c r="C1805" s="13"/>
      <c r="D1805" s="13"/>
      <c r="E1805" s="13"/>
      <c r="F1805" s="113"/>
      <c r="G1805" s="13"/>
      <c r="H1805" s="13"/>
      <c r="I1805" s="114"/>
      <c r="J1805" s="114"/>
      <c r="K1805" s="114"/>
      <c r="L1805" s="205"/>
      <c r="M1805" s="114"/>
      <c r="N1805" s="114"/>
      <c r="O1805" s="114"/>
      <c r="P1805" s="205"/>
      <c r="Q1805" s="114"/>
    </row>
    <row r="1806" spans="2:17" x14ac:dyDescent="0.2">
      <c r="B1806" s="101"/>
      <c r="C1806" s="13"/>
      <c r="D1806" s="13"/>
      <c r="E1806" s="13"/>
      <c r="F1806" s="113"/>
      <c r="G1806" s="13"/>
      <c r="H1806" s="13"/>
      <c r="I1806" s="114"/>
      <c r="J1806" s="114"/>
      <c r="K1806" s="114"/>
      <c r="L1806" s="205"/>
      <c r="M1806" s="114"/>
      <c r="N1806" s="114"/>
      <c r="O1806" s="114"/>
      <c r="P1806" s="205"/>
      <c r="Q1806" s="114"/>
    </row>
    <row r="1807" spans="2:17" x14ac:dyDescent="0.2">
      <c r="B1807" s="101"/>
      <c r="C1807" s="13"/>
      <c r="D1807" s="13"/>
      <c r="E1807" s="13"/>
      <c r="F1807" s="113"/>
      <c r="G1807" s="13"/>
      <c r="H1807" s="13"/>
      <c r="I1807" s="114"/>
      <c r="J1807" s="114"/>
      <c r="K1807" s="114"/>
      <c r="L1807" s="205"/>
      <c r="M1807" s="114"/>
      <c r="N1807" s="114"/>
      <c r="O1807" s="114"/>
      <c r="P1807" s="205"/>
      <c r="Q1807" s="114"/>
    </row>
    <row r="1808" spans="2:17" x14ac:dyDescent="0.2">
      <c r="B1808" s="101"/>
      <c r="C1808" s="13"/>
      <c r="D1808" s="13"/>
      <c r="E1808" s="13"/>
      <c r="F1808" s="113"/>
      <c r="G1808" s="13"/>
      <c r="H1808" s="13"/>
      <c r="I1808" s="114"/>
      <c r="J1808" s="114"/>
      <c r="K1808" s="114"/>
      <c r="L1808" s="205"/>
      <c r="M1808" s="114"/>
      <c r="N1808" s="114"/>
      <c r="O1808" s="114"/>
      <c r="P1808" s="205"/>
      <c r="Q1808" s="114"/>
    </row>
    <row r="1809" spans="2:17" x14ac:dyDescent="0.2">
      <c r="B1809" s="101"/>
      <c r="C1809" s="13"/>
      <c r="D1809" s="13"/>
      <c r="E1809" s="13"/>
      <c r="F1809" s="113"/>
      <c r="G1809" s="13"/>
      <c r="H1809" s="13"/>
      <c r="I1809" s="114"/>
      <c r="J1809" s="114"/>
      <c r="K1809" s="114"/>
      <c r="L1809" s="205"/>
      <c r="M1809" s="114"/>
      <c r="N1809" s="114"/>
      <c r="O1809" s="114"/>
      <c r="P1809" s="205"/>
      <c r="Q1809" s="114"/>
    </row>
    <row r="1810" spans="2:17" x14ac:dyDescent="0.2">
      <c r="B1810" s="101"/>
      <c r="C1810" s="13"/>
      <c r="D1810" s="13"/>
      <c r="E1810" s="13"/>
      <c r="F1810" s="113"/>
      <c r="G1810" s="13"/>
      <c r="H1810" s="13"/>
      <c r="I1810" s="114"/>
      <c r="J1810" s="114"/>
      <c r="K1810" s="114"/>
      <c r="L1810" s="205"/>
      <c r="M1810" s="114"/>
      <c r="N1810" s="114"/>
      <c r="O1810" s="114"/>
      <c r="P1810" s="205"/>
      <c r="Q1810" s="114"/>
    </row>
    <row r="1811" spans="2:17" x14ac:dyDescent="0.2">
      <c r="B1811" s="101"/>
      <c r="C1811" s="13"/>
      <c r="D1811" s="13"/>
      <c r="E1811" s="13"/>
      <c r="F1811" s="113"/>
      <c r="G1811" s="13"/>
      <c r="H1811" s="13"/>
      <c r="I1811" s="114"/>
      <c r="J1811" s="114"/>
      <c r="K1811" s="114"/>
      <c r="L1811" s="205"/>
      <c r="M1811" s="114"/>
      <c r="N1811" s="114"/>
      <c r="O1811" s="114"/>
      <c r="P1811" s="205"/>
      <c r="Q1811" s="114"/>
    </row>
    <row r="1812" spans="2:17" x14ac:dyDescent="0.2">
      <c r="B1812" s="101"/>
      <c r="C1812" s="13"/>
      <c r="D1812" s="13"/>
      <c r="E1812" s="13"/>
      <c r="F1812" s="113"/>
      <c r="G1812" s="13"/>
      <c r="H1812" s="13"/>
      <c r="I1812" s="114"/>
      <c r="J1812" s="114"/>
      <c r="K1812" s="114"/>
      <c r="L1812" s="205"/>
      <c r="M1812" s="114"/>
      <c r="N1812" s="114"/>
      <c r="O1812" s="114"/>
      <c r="P1812" s="205"/>
      <c r="Q1812" s="114"/>
    </row>
    <row r="1813" spans="2:17" x14ac:dyDescent="0.2">
      <c r="B1813" s="101"/>
      <c r="C1813" s="13"/>
      <c r="D1813" s="13"/>
      <c r="E1813" s="13"/>
      <c r="F1813" s="113"/>
      <c r="G1813" s="13"/>
      <c r="H1813" s="13"/>
      <c r="I1813" s="114"/>
      <c r="J1813" s="114"/>
      <c r="K1813" s="114"/>
      <c r="L1813" s="205"/>
      <c r="M1813" s="114"/>
      <c r="N1813" s="114"/>
      <c r="O1813" s="114"/>
      <c r="P1813" s="205"/>
      <c r="Q1813" s="114"/>
    </row>
    <row r="1814" spans="2:17" x14ac:dyDescent="0.2">
      <c r="B1814" s="101"/>
      <c r="C1814" s="13"/>
      <c r="D1814" s="13"/>
      <c r="E1814" s="13"/>
      <c r="F1814" s="113"/>
      <c r="G1814" s="13"/>
      <c r="H1814" s="13"/>
      <c r="I1814" s="114"/>
      <c r="J1814" s="114"/>
      <c r="K1814" s="114"/>
      <c r="L1814" s="205"/>
      <c r="M1814" s="114"/>
      <c r="N1814" s="114"/>
      <c r="O1814" s="114"/>
      <c r="P1814" s="205"/>
      <c r="Q1814" s="114"/>
    </row>
    <row r="1815" spans="2:17" x14ac:dyDescent="0.2">
      <c r="B1815" s="101"/>
      <c r="C1815" s="13"/>
      <c r="D1815" s="13"/>
      <c r="E1815" s="13"/>
      <c r="F1815" s="113"/>
      <c r="G1815" s="13"/>
      <c r="H1815" s="13"/>
      <c r="I1815" s="114"/>
      <c r="J1815" s="114"/>
      <c r="K1815" s="114"/>
      <c r="L1815" s="205"/>
      <c r="M1815" s="114"/>
      <c r="N1815" s="114"/>
      <c r="O1815" s="114"/>
      <c r="P1815" s="205"/>
      <c r="Q1815" s="114"/>
    </row>
    <row r="1816" spans="2:17" x14ac:dyDescent="0.2">
      <c r="B1816" s="101"/>
      <c r="C1816" s="13"/>
      <c r="D1816" s="13"/>
      <c r="E1816" s="13"/>
      <c r="F1816" s="113"/>
      <c r="G1816" s="13"/>
      <c r="H1816" s="13"/>
      <c r="I1816" s="114"/>
      <c r="J1816" s="114"/>
      <c r="K1816" s="114"/>
      <c r="L1816" s="205"/>
      <c r="M1816" s="114"/>
      <c r="N1816" s="114"/>
      <c r="O1816" s="114"/>
      <c r="P1816" s="205"/>
      <c r="Q1816" s="114"/>
    </row>
    <row r="1817" spans="2:17" x14ac:dyDescent="0.2">
      <c r="B1817" s="101"/>
      <c r="C1817" s="13"/>
      <c r="D1817" s="13"/>
      <c r="E1817" s="13"/>
      <c r="F1817" s="113"/>
      <c r="G1817" s="13"/>
      <c r="H1817" s="13"/>
      <c r="I1817" s="114"/>
      <c r="J1817" s="114"/>
      <c r="K1817" s="114"/>
      <c r="L1817" s="205"/>
      <c r="M1817" s="114"/>
      <c r="N1817" s="114"/>
      <c r="O1817" s="114"/>
      <c r="P1817" s="205"/>
      <c r="Q1817" s="114"/>
    </row>
    <row r="1818" spans="2:17" x14ac:dyDescent="0.2">
      <c r="B1818" s="101"/>
      <c r="C1818" s="13"/>
      <c r="D1818" s="13"/>
      <c r="E1818" s="13"/>
      <c r="F1818" s="113"/>
      <c r="G1818" s="13"/>
      <c r="H1818" s="13"/>
      <c r="I1818" s="114"/>
      <c r="J1818" s="114"/>
      <c r="K1818" s="114"/>
      <c r="L1818" s="205"/>
      <c r="M1818" s="114"/>
      <c r="N1818" s="114"/>
      <c r="O1818" s="114"/>
      <c r="P1818" s="205"/>
      <c r="Q1818" s="114"/>
    </row>
    <row r="1819" spans="2:17" x14ac:dyDescent="0.2">
      <c r="B1819" s="101"/>
      <c r="C1819" s="13"/>
      <c r="D1819" s="13"/>
      <c r="E1819" s="13"/>
      <c r="F1819" s="113"/>
      <c r="G1819" s="13"/>
      <c r="H1819" s="13"/>
      <c r="I1819" s="114"/>
      <c r="J1819" s="114"/>
      <c r="K1819" s="114"/>
      <c r="L1819" s="205"/>
      <c r="M1819" s="114"/>
      <c r="N1819" s="114"/>
      <c r="O1819" s="114"/>
      <c r="P1819" s="205"/>
      <c r="Q1819" s="114"/>
    </row>
    <row r="1820" spans="2:17" x14ac:dyDescent="0.2">
      <c r="B1820" s="101"/>
      <c r="C1820" s="13"/>
      <c r="D1820" s="13"/>
      <c r="E1820" s="13"/>
      <c r="F1820" s="113"/>
      <c r="G1820" s="13"/>
      <c r="H1820" s="13"/>
      <c r="I1820" s="114"/>
      <c r="J1820" s="114"/>
      <c r="K1820" s="114"/>
      <c r="L1820" s="205"/>
      <c r="M1820" s="114"/>
      <c r="N1820" s="114"/>
      <c r="O1820" s="114"/>
      <c r="P1820" s="205"/>
      <c r="Q1820" s="114"/>
    </row>
    <row r="1821" spans="2:17" x14ac:dyDescent="0.2">
      <c r="B1821" s="101"/>
      <c r="C1821" s="13"/>
      <c r="D1821" s="13"/>
      <c r="E1821" s="13"/>
      <c r="F1821" s="113"/>
      <c r="G1821" s="13"/>
      <c r="H1821" s="13"/>
      <c r="I1821" s="114"/>
      <c r="J1821" s="114"/>
      <c r="K1821" s="114"/>
      <c r="L1821" s="205"/>
      <c r="M1821" s="114"/>
      <c r="N1821" s="114"/>
      <c r="O1821" s="114"/>
      <c r="P1821" s="205"/>
      <c r="Q1821" s="114"/>
    </row>
    <row r="1822" spans="2:17" x14ac:dyDescent="0.2">
      <c r="B1822" s="101"/>
      <c r="C1822" s="13"/>
      <c r="D1822" s="13"/>
      <c r="E1822" s="13"/>
      <c r="F1822" s="113"/>
      <c r="G1822" s="13"/>
      <c r="H1822" s="13"/>
      <c r="I1822" s="114"/>
      <c r="J1822" s="114"/>
      <c r="K1822" s="114"/>
      <c r="L1822" s="205"/>
      <c r="M1822" s="114"/>
      <c r="N1822" s="114"/>
      <c r="O1822" s="114"/>
      <c r="P1822" s="205"/>
      <c r="Q1822" s="114"/>
    </row>
    <row r="1823" spans="2:17" x14ac:dyDescent="0.2">
      <c r="B1823" s="101"/>
      <c r="C1823" s="13"/>
      <c r="D1823" s="13"/>
      <c r="E1823" s="13"/>
      <c r="F1823" s="113"/>
      <c r="G1823" s="13"/>
      <c r="H1823" s="13"/>
      <c r="I1823" s="114"/>
      <c r="J1823" s="114"/>
      <c r="K1823" s="114"/>
      <c r="L1823" s="205"/>
      <c r="M1823" s="114"/>
      <c r="N1823" s="114"/>
      <c r="O1823" s="114"/>
      <c r="P1823" s="205"/>
      <c r="Q1823" s="114"/>
    </row>
    <row r="1824" spans="2:17" x14ac:dyDescent="0.2">
      <c r="B1824" s="101"/>
      <c r="C1824" s="13"/>
      <c r="D1824" s="13"/>
      <c r="E1824" s="13"/>
      <c r="F1824" s="113"/>
      <c r="G1824" s="13"/>
      <c r="H1824" s="13"/>
      <c r="I1824" s="114"/>
      <c r="J1824" s="114"/>
      <c r="K1824" s="114"/>
      <c r="L1824" s="205"/>
      <c r="M1824" s="114"/>
      <c r="N1824" s="114"/>
      <c r="O1824" s="114"/>
      <c r="P1824" s="205"/>
      <c r="Q1824" s="114"/>
    </row>
    <row r="1825" spans="2:17" x14ac:dyDescent="0.2">
      <c r="B1825" s="101"/>
      <c r="C1825" s="13"/>
      <c r="D1825" s="13"/>
      <c r="E1825" s="13"/>
      <c r="F1825" s="113"/>
      <c r="G1825" s="13"/>
      <c r="H1825" s="13"/>
      <c r="I1825" s="114"/>
      <c r="J1825" s="114"/>
      <c r="K1825" s="114"/>
      <c r="L1825" s="205"/>
      <c r="M1825" s="114"/>
      <c r="N1825" s="114"/>
      <c r="O1825" s="114"/>
      <c r="P1825" s="205"/>
      <c r="Q1825" s="114"/>
    </row>
    <row r="1826" spans="2:17" x14ac:dyDescent="0.2">
      <c r="B1826" s="101"/>
      <c r="C1826" s="13"/>
      <c r="D1826" s="13"/>
      <c r="E1826" s="13"/>
      <c r="F1826" s="113"/>
      <c r="G1826" s="13"/>
      <c r="H1826" s="13"/>
      <c r="I1826" s="114"/>
      <c r="J1826" s="114"/>
      <c r="K1826" s="114"/>
      <c r="L1826" s="205"/>
      <c r="M1826" s="114"/>
      <c r="N1826" s="114"/>
      <c r="O1826" s="114"/>
      <c r="P1826" s="205"/>
      <c r="Q1826" s="114"/>
    </row>
    <row r="1827" spans="2:17" x14ac:dyDescent="0.2">
      <c r="B1827" s="101"/>
      <c r="C1827" s="13"/>
      <c r="D1827" s="13"/>
      <c r="E1827" s="13"/>
      <c r="F1827" s="113"/>
      <c r="G1827" s="13"/>
      <c r="H1827" s="13"/>
      <c r="I1827" s="114"/>
      <c r="J1827" s="114"/>
      <c r="K1827" s="114"/>
      <c r="L1827" s="205"/>
      <c r="M1827" s="114"/>
      <c r="N1827" s="114"/>
      <c r="O1827" s="114"/>
      <c r="P1827" s="205"/>
      <c r="Q1827" s="114"/>
    </row>
    <row r="1828" spans="2:17" x14ac:dyDescent="0.2">
      <c r="B1828" s="101"/>
      <c r="C1828" s="13"/>
      <c r="D1828" s="13"/>
      <c r="E1828" s="13"/>
      <c r="F1828" s="113"/>
      <c r="G1828" s="13"/>
      <c r="H1828" s="13"/>
      <c r="I1828" s="114"/>
      <c r="J1828" s="114"/>
      <c r="K1828" s="114"/>
      <c r="L1828" s="205"/>
      <c r="M1828" s="114"/>
      <c r="N1828" s="114"/>
      <c r="O1828" s="114"/>
      <c r="P1828" s="205"/>
      <c r="Q1828" s="114"/>
    </row>
    <row r="1829" spans="2:17" x14ac:dyDescent="0.2">
      <c r="B1829" s="101"/>
      <c r="C1829" s="13"/>
      <c r="D1829" s="13"/>
      <c r="E1829" s="13"/>
      <c r="F1829" s="113"/>
      <c r="G1829" s="13"/>
      <c r="H1829" s="13"/>
      <c r="I1829" s="114"/>
      <c r="J1829" s="114"/>
      <c r="K1829" s="114"/>
      <c r="L1829" s="205"/>
      <c r="M1829" s="114"/>
      <c r="N1829" s="114"/>
      <c r="O1829" s="114"/>
      <c r="P1829" s="205"/>
      <c r="Q1829" s="114"/>
    </row>
    <row r="1830" spans="2:17" x14ac:dyDescent="0.2">
      <c r="B1830" s="101"/>
      <c r="C1830" s="13"/>
      <c r="D1830" s="13"/>
      <c r="E1830" s="13"/>
      <c r="F1830" s="113"/>
      <c r="G1830" s="13"/>
      <c r="H1830" s="13"/>
      <c r="I1830" s="114"/>
      <c r="J1830" s="114"/>
      <c r="K1830" s="114"/>
      <c r="L1830" s="205"/>
      <c r="M1830" s="114"/>
      <c r="N1830" s="114"/>
      <c r="O1830" s="114"/>
      <c r="P1830" s="205"/>
      <c r="Q1830" s="114"/>
    </row>
    <row r="1831" spans="2:17" x14ac:dyDescent="0.2">
      <c r="B1831" s="101"/>
      <c r="C1831" s="13"/>
      <c r="D1831" s="13"/>
      <c r="E1831" s="13"/>
      <c r="F1831" s="113"/>
      <c r="G1831" s="13"/>
      <c r="H1831" s="13"/>
      <c r="I1831" s="114"/>
      <c r="J1831" s="114"/>
      <c r="K1831" s="114"/>
      <c r="L1831" s="205"/>
      <c r="M1831" s="114"/>
      <c r="N1831" s="114"/>
      <c r="O1831" s="114"/>
      <c r="P1831" s="205"/>
      <c r="Q1831" s="114"/>
    </row>
    <row r="1832" spans="2:17" x14ac:dyDescent="0.2">
      <c r="B1832" s="101"/>
      <c r="C1832" s="13"/>
      <c r="D1832" s="13"/>
      <c r="E1832" s="13"/>
      <c r="F1832" s="113"/>
      <c r="G1832" s="13"/>
      <c r="H1832" s="13"/>
      <c r="I1832" s="114"/>
      <c r="J1832" s="114"/>
      <c r="K1832" s="114"/>
      <c r="L1832" s="205"/>
      <c r="M1832" s="114"/>
      <c r="N1832" s="114"/>
      <c r="O1832" s="114"/>
      <c r="P1832" s="205"/>
      <c r="Q1832" s="114"/>
    </row>
    <row r="1833" spans="2:17" x14ac:dyDescent="0.2">
      <c r="B1833" s="101"/>
      <c r="C1833" s="13"/>
      <c r="D1833" s="13"/>
      <c r="E1833" s="13"/>
      <c r="F1833" s="113"/>
      <c r="G1833" s="13"/>
      <c r="H1833" s="13"/>
      <c r="I1833" s="114"/>
      <c r="J1833" s="114"/>
      <c r="K1833" s="114"/>
      <c r="L1833" s="205"/>
      <c r="M1833" s="114"/>
      <c r="N1833" s="114"/>
      <c r="O1833" s="114"/>
      <c r="P1833" s="205"/>
      <c r="Q1833" s="114"/>
    </row>
    <row r="1834" spans="2:17" x14ac:dyDescent="0.2">
      <c r="B1834" s="101"/>
      <c r="C1834" s="13"/>
      <c r="D1834" s="13"/>
      <c r="E1834" s="13"/>
      <c r="F1834" s="113"/>
      <c r="G1834" s="13"/>
      <c r="H1834" s="13"/>
      <c r="I1834" s="114"/>
      <c r="J1834" s="114"/>
      <c r="K1834" s="114"/>
      <c r="L1834" s="205"/>
      <c r="M1834" s="114"/>
      <c r="N1834" s="114"/>
      <c r="O1834" s="114"/>
      <c r="P1834" s="205"/>
      <c r="Q1834" s="114"/>
    </row>
    <row r="1835" spans="2:17" x14ac:dyDescent="0.2">
      <c r="B1835" s="101"/>
      <c r="C1835" s="13"/>
      <c r="D1835" s="13"/>
      <c r="E1835" s="13"/>
      <c r="F1835" s="113"/>
      <c r="G1835" s="13"/>
      <c r="H1835" s="13"/>
      <c r="I1835" s="114"/>
      <c r="J1835" s="114"/>
      <c r="K1835" s="114"/>
      <c r="L1835" s="205"/>
      <c r="M1835" s="114"/>
      <c r="N1835" s="114"/>
      <c r="O1835" s="114"/>
      <c r="P1835" s="205"/>
      <c r="Q1835" s="114"/>
    </row>
    <row r="1836" spans="2:17" x14ac:dyDescent="0.2">
      <c r="B1836" s="101"/>
      <c r="C1836" s="13"/>
      <c r="D1836" s="13"/>
      <c r="E1836" s="13"/>
      <c r="F1836" s="113"/>
      <c r="G1836" s="13"/>
      <c r="H1836" s="13"/>
      <c r="I1836" s="114"/>
      <c r="J1836" s="114"/>
      <c r="K1836" s="114"/>
      <c r="L1836" s="205"/>
      <c r="M1836" s="114"/>
      <c r="N1836" s="114"/>
      <c r="O1836" s="114"/>
      <c r="P1836" s="205"/>
      <c r="Q1836" s="114"/>
    </row>
    <row r="1837" spans="2:17" x14ac:dyDescent="0.2">
      <c r="B1837" s="101"/>
      <c r="C1837" s="13"/>
      <c r="D1837" s="13"/>
      <c r="E1837" s="13"/>
      <c r="F1837" s="113"/>
      <c r="G1837" s="13"/>
      <c r="H1837" s="13"/>
      <c r="I1837" s="114"/>
      <c r="J1837" s="114"/>
      <c r="K1837" s="114"/>
      <c r="L1837" s="205"/>
      <c r="M1837" s="114"/>
      <c r="N1837" s="114"/>
      <c r="O1837" s="114"/>
      <c r="P1837" s="205"/>
      <c r="Q1837" s="114"/>
    </row>
    <row r="1838" spans="2:17" x14ac:dyDescent="0.2">
      <c r="B1838" s="101"/>
      <c r="C1838" s="13"/>
      <c r="D1838" s="13"/>
      <c r="E1838" s="13"/>
      <c r="F1838" s="113"/>
      <c r="G1838" s="13"/>
      <c r="H1838" s="13"/>
      <c r="I1838" s="114"/>
      <c r="J1838" s="114"/>
      <c r="K1838" s="114"/>
      <c r="L1838" s="205"/>
      <c r="M1838" s="114"/>
      <c r="N1838" s="114"/>
      <c r="O1838" s="114"/>
      <c r="P1838" s="205"/>
      <c r="Q1838" s="114"/>
    </row>
    <row r="1839" spans="2:17" x14ac:dyDescent="0.2">
      <c r="B1839" s="101"/>
      <c r="C1839" s="13"/>
      <c r="D1839" s="13"/>
      <c r="E1839" s="13"/>
      <c r="F1839" s="113"/>
      <c r="G1839" s="13"/>
      <c r="H1839" s="13"/>
      <c r="I1839" s="114"/>
      <c r="J1839" s="114"/>
      <c r="K1839" s="114"/>
      <c r="L1839" s="205"/>
      <c r="M1839" s="114"/>
      <c r="N1839" s="114"/>
      <c r="O1839" s="114"/>
      <c r="P1839" s="205"/>
      <c r="Q1839" s="114"/>
    </row>
    <row r="1840" spans="2:17" x14ac:dyDescent="0.2">
      <c r="B1840" s="101"/>
      <c r="C1840" s="13"/>
      <c r="D1840" s="13"/>
      <c r="E1840" s="13"/>
      <c r="F1840" s="113"/>
      <c r="G1840" s="13"/>
      <c r="H1840" s="13"/>
      <c r="I1840" s="114"/>
      <c r="J1840" s="114"/>
      <c r="K1840" s="114"/>
      <c r="L1840" s="205"/>
      <c r="M1840" s="114"/>
      <c r="N1840" s="114"/>
      <c r="O1840" s="114"/>
      <c r="P1840" s="205"/>
      <c r="Q1840" s="114"/>
    </row>
    <row r="1841" spans="2:17" x14ac:dyDescent="0.2">
      <c r="B1841" s="101"/>
      <c r="C1841" s="13"/>
      <c r="D1841" s="13"/>
      <c r="E1841" s="13"/>
      <c r="F1841" s="113"/>
      <c r="G1841" s="13"/>
      <c r="H1841" s="13"/>
      <c r="I1841" s="114"/>
      <c r="J1841" s="114"/>
      <c r="K1841" s="114"/>
      <c r="L1841" s="205"/>
      <c r="M1841" s="114"/>
      <c r="N1841" s="114"/>
      <c r="O1841" s="114"/>
      <c r="P1841" s="205"/>
      <c r="Q1841" s="114"/>
    </row>
    <row r="1842" spans="2:17" x14ac:dyDescent="0.2">
      <c r="B1842" s="101"/>
      <c r="C1842" s="13"/>
      <c r="D1842" s="13"/>
      <c r="E1842" s="13"/>
      <c r="F1842" s="113"/>
      <c r="G1842" s="13"/>
      <c r="H1842" s="13"/>
      <c r="I1842" s="114"/>
      <c r="J1842" s="114"/>
      <c r="K1842" s="114"/>
      <c r="L1842" s="205"/>
      <c r="M1842" s="114"/>
      <c r="N1842" s="114"/>
      <c r="O1842" s="114"/>
      <c r="P1842" s="205"/>
      <c r="Q1842" s="114"/>
    </row>
    <row r="1843" spans="2:17" x14ac:dyDescent="0.2">
      <c r="B1843" s="101"/>
      <c r="C1843" s="13"/>
      <c r="D1843" s="13"/>
      <c r="E1843" s="13"/>
      <c r="F1843" s="113"/>
      <c r="G1843" s="13"/>
      <c r="H1843" s="13"/>
      <c r="I1843" s="114"/>
      <c r="J1843" s="114"/>
      <c r="K1843" s="114"/>
      <c r="L1843" s="205"/>
      <c r="M1843" s="114"/>
      <c r="N1843" s="114"/>
      <c r="O1843" s="114"/>
      <c r="P1843" s="205"/>
      <c r="Q1843" s="114"/>
    </row>
    <row r="1844" spans="2:17" x14ac:dyDescent="0.2">
      <c r="B1844" s="101"/>
      <c r="C1844" s="13"/>
      <c r="D1844" s="13"/>
      <c r="E1844" s="13"/>
      <c r="F1844" s="113"/>
      <c r="G1844" s="13"/>
      <c r="H1844" s="13"/>
      <c r="I1844" s="114"/>
      <c r="J1844" s="114"/>
      <c r="K1844" s="114"/>
      <c r="L1844" s="205"/>
      <c r="M1844" s="114"/>
      <c r="N1844" s="114"/>
      <c r="O1844" s="114"/>
      <c r="P1844" s="205"/>
      <c r="Q1844" s="114"/>
    </row>
    <row r="1845" spans="2:17" x14ac:dyDescent="0.2">
      <c r="B1845" s="101"/>
      <c r="C1845" s="13"/>
      <c r="D1845" s="13"/>
      <c r="E1845" s="13"/>
      <c r="F1845" s="113"/>
      <c r="G1845" s="13"/>
      <c r="H1845" s="13"/>
      <c r="I1845" s="114"/>
      <c r="J1845" s="114"/>
      <c r="K1845" s="114"/>
      <c r="L1845" s="205"/>
      <c r="M1845" s="114"/>
      <c r="N1845" s="114"/>
      <c r="O1845" s="114"/>
      <c r="P1845" s="205"/>
      <c r="Q1845" s="114"/>
    </row>
    <row r="1846" spans="2:17" x14ac:dyDescent="0.2">
      <c r="B1846" s="101"/>
      <c r="C1846" s="13"/>
      <c r="D1846" s="13"/>
      <c r="E1846" s="13"/>
      <c r="F1846" s="113"/>
      <c r="G1846" s="13"/>
      <c r="H1846" s="13"/>
      <c r="I1846" s="114"/>
      <c r="J1846" s="114"/>
      <c r="K1846" s="114"/>
      <c r="L1846" s="205"/>
      <c r="M1846" s="114"/>
      <c r="N1846" s="114"/>
      <c r="O1846" s="114"/>
      <c r="P1846" s="205"/>
      <c r="Q1846" s="114"/>
    </row>
    <row r="1847" spans="2:17" x14ac:dyDescent="0.2">
      <c r="B1847" s="101"/>
      <c r="C1847" s="13"/>
      <c r="D1847" s="13"/>
      <c r="E1847" s="13"/>
      <c r="F1847" s="113"/>
      <c r="G1847" s="13"/>
      <c r="H1847" s="13"/>
      <c r="I1847" s="114"/>
      <c r="J1847" s="114"/>
      <c r="K1847" s="114"/>
      <c r="L1847" s="205"/>
      <c r="M1847" s="114"/>
      <c r="N1847" s="114"/>
      <c r="O1847" s="114"/>
      <c r="P1847" s="205"/>
      <c r="Q1847" s="114"/>
    </row>
    <row r="1848" spans="2:17" x14ac:dyDescent="0.2">
      <c r="B1848" s="101"/>
      <c r="C1848" s="13"/>
      <c r="D1848" s="13"/>
      <c r="E1848" s="13"/>
      <c r="F1848" s="113"/>
      <c r="G1848" s="13"/>
      <c r="H1848" s="13"/>
      <c r="I1848" s="114"/>
      <c r="J1848" s="114"/>
      <c r="K1848" s="114"/>
      <c r="L1848" s="205"/>
      <c r="M1848" s="114"/>
      <c r="N1848" s="114"/>
      <c r="O1848" s="114"/>
      <c r="P1848" s="205"/>
      <c r="Q1848" s="114"/>
    </row>
    <row r="1849" spans="2:17" x14ac:dyDescent="0.2">
      <c r="B1849" s="101"/>
      <c r="C1849" s="13"/>
      <c r="D1849" s="13"/>
      <c r="E1849" s="13"/>
      <c r="F1849" s="113"/>
      <c r="G1849" s="13"/>
      <c r="H1849" s="13"/>
      <c r="I1849" s="114"/>
      <c r="J1849" s="114"/>
      <c r="K1849" s="114"/>
      <c r="L1849" s="205"/>
      <c r="M1849" s="114"/>
      <c r="N1849" s="114"/>
      <c r="O1849" s="114"/>
      <c r="P1849" s="205"/>
      <c r="Q1849" s="114"/>
    </row>
    <row r="1850" spans="2:17" x14ac:dyDescent="0.2">
      <c r="B1850" s="101"/>
      <c r="C1850" s="13"/>
      <c r="D1850" s="13"/>
      <c r="E1850" s="13"/>
      <c r="F1850" s="113"/>
      <c r="G1850" s="13"/>
      <c r="H1850" s="13"/>
      <c r="I1850" s="114"/>
      <c r="J1850" s="114"/>
      <c r="K1850" s="114"/>
      <c r="L1850" s="205"/>
      <c r="M1850" s="114"/>
      <c r="N1850" s="114"/>
      <c r="O1850" s="114"/>
      <c r="P1850" s="205"/>
      <c r="Q1850" s="114"/>
    </row>
    <row r="1851" spans="2:17" x14ac:dyDescent="0.2">
      <c r="B1851" s="101"/>
      <c r="C1851" s="13"/>
      <c r="D1851" s="13"/>
      <c r="E1851" s="13"/>
      <c r="F1851" s="113"/>
      <c r="G1851" s="13"/>
      <c r="H1851" s="13"/>
      <c r="I1851" s="114"/>
      <c r="J1851" s="114"/>
      <c r="K1851" s="114"/>
      <c r="L1851" s="205"/>
      <c r="M1851" s="114"/>
      <c r="N1851" s="114"/>
      <c r="O1851" s="114"/>
      <c r="P1851" s="205"/>
      <c r="Q1851" s="114"/>
    </row>
    <row r="1852" spans="2:17" x14ac:dyDescent="0.2">
      <c r="B1852" s="101"/>
      <c r="C1852" s="13"/>
      <c r="D1852" s="13"/>
      <c r="E1852" s="13"/>
      <c r="F1852" s="113"/>
      <c r="G1852" s="13"/>
      <c r="H1852" s="13"/>
      <c r="I1852" s="114"/>
      <c r="J1852" s="114"/>
      <c r="K1852" s="114"/>
      <c r="L1852" s="205"/>
      <c r="M1852" s="114"/>
      <c r="N1852" s="114"/>
      <c r="O1852" s="114"/>
      <c r="P1852" s="205"/>
      <c r="Q1852" s="114"/>
    </row>
    <row r="1853" spans="2:17" x14ac:dyDescent="0.2">
      <c r="B1853" s="101"/>
      <c r="C1853" s="13"/>
      <c r="D1853" s="13"/>
      <c r="E1853" s="13"/>
      <c r="F1853" s="113"/>
      <c r="G1853" s="13"/>
      <c r="H1853" s="13"/>
      <c r="I1853" s="114"/>
      <c r="J1853" s="114"/>
      <c r="K1853" s="114"/>
      <c r="L1853" s="205"/>
      <c r="M1853" s="114"/>
      <c r="N1853" s="114"/>
      <c r="O1853" s="114"/>
      <c r="P1853" s="205"/>
      <c r="Q1853" s="114"/>
    </row>
    <row r="1854" spans="2:17" x14ac:dyDescent="0.2">
      <c r="B1854" s="101"/>
      <c r="C1854" s="13"/>
      <c r="D1854" s="13"/>
      <c r="E1854" s="13"/>
      <c r="F1854" s="113"/>
      <c r="G1854" s="13"/>
      <c r="H1854" s="13"/>
      <c r="I1854" s="114"/>
      <c r="J1854" s="114"/>
      <c r="K1854" s="114"/>
      <c r="L1854" s="205"/>
      <c r="M1854" s="114"/>
      <c r="N1854" s="114"/>
      <c r="O1854" s="114"/>
      <c r="P1854" s="205"/>
      <c r="Q1854" s="114"/>
    </row>
    <row r="1855" spans="2:17" x14ac:dyDescent="0.2">
      <c r="B1855" s="101"/>
      <c r="C1855" s="13"/>
      <c r="D1855" s="13"/>
      <c r="E1855" s="13"/>
      <c r="F1855" s="113"/>
      <c r="G1855" s="13"/>
      <c r="H1855" s="13"/>
      <c r="I1855" s="114"/>
      <c r="J1855" s="114"/>
      <c r="K1855" s="114"/>
      <c r="L1855" s="205"/>
      <c r="M1855" s="114"/>
      <c r="N1855" s="114"/>
      <c r="O1855" s="114"/>
      <c r="P1855" s="205"/>
      <c r="Q1855" s="114"/>
    </row>
    <row r="1856" spans="2:17" x14ac:dyDescent="0.2">
      <c r="B1856" s="101"/>
      <c r="C1856" s="13"/>
      <c r="D1856" s="13"/>
      <c r="E1856" s="13"/>
      <c r="F1856" s="113"/>
      <c r="G1856" s="13"/>
      <c r="H1856" s="13"/>
      <c r="I1856" s="114"/>
      <c r="J1856" s="114"/>
      <c r="K1856" s="114"/>
      <c r="L1856" s="205"/>
      <c r="M1856" s="114"/>
      <c r="N1856" s="114"/>
      <c r="O1856" s="114"/>
      <c r="P1856" s="205"/>
      <c r="Q1856" s="114"/>
    </row>
    <row r="1857" spans="2:19" x14ac:dyDescent="0.2">
      <c r="B1857" s="101"/>
      <c r="C1857" s="13"/>
      <c r="D1857" s="13"/>
      <c r="E1857" s="13"/>
      <c r="F1857" s="113"/>
      <c r="G1857" s="13"/>
      <c r="H1857" s="13"/>
      <c r="I1857" s="114"/>
      <c r="J1857" s="114"/>
      <c r="K1857" s="114"/>
      <c r="L1857" s="205"/>
      <c r="M1857" s="114"/>
      <c r="N1857" s="114"/>
      <c r="O1857" s="114"/>
      <c r="P1857" s="205"/>
      <c r="Q1857" s="114"/>
    </row>
    <row r="1858" spans="2:19" x14ac:dyDescent="0.2">
      <c r="B1858" s="101"/>
      <c r="C1858" s="13"/>
      <c r="D1858" s="13"/>
      <c r="E1858" s="13"/>
      <c r="F1858" s="113"/>
      <c r="G1858" s="13"/>
      <c r="H1858" s="13"/>
      <c r="I1858" s="114"/>
      <c r="J1858" s="114"/>
      <c r="K1858" s="114"/>
      <c r="L1858" s="205"/>
      <c r="M1858" s="114"/>
      <c r="N1858" s="114"/>
      <c r="O1858" s="114"/>
      <c r="P1858" s="205"/>
      <c r="Q1858" s="114"/>
    </row>
    <row r="1859" spans="2:19" x14ac:dyDescent="0.2">
      <c r="B1859" s="101"/>
      <c r="C1859" s="13"/>
      <c r="D1859" s="13"/>
      <c r="E1859" s="13"/>
      <c r="F1859" s="113"/>
      <c r="G1859" s="13"/>
      <c r="H1859" s="13"/>
      <c r="I1859" s="114"/>
      <c r="J1859" s="114"/>
      <c r="K1859" s="114"/>
      <c r="L1859" s="205"/>
      <c r="M1859" s="114"/>
      <c r="N1859" s="114"/>
      <c r="O1859" s="114"/>
      <c r="P1859" s="205"/>
      <c r="Q1859" s="114"/>
    </row>
    <row r="1860" spans="2:19" x14ac:dyDescent="0.2">
      <c r="B1860" s="101"/>
      <c r="C1860" s="13"/>
      <c r="D1860" s="13"/>
      <c r="E1860" s="13"/>
      <c r="F1860" s="113"/>
      <c r="G1860" s="13"/>
      <c r="H1860" s="13"/>
      <c r="I1860" s="114"/>
      <c r="J1860" s="114"/>
      <c r="K1860" s="114"/>
      <c r="L1860" s="205"/>
      <c r="M1860" s="114"/>
      <c r="N1860" s="114"/>
      <c r="O1860" s="114"/>
      <c r="P1860" s="205"/>
      <c r="Q1860" s="114"/>
    </row>
    <row r="1861" spans="2:19" x14ac:dyDescent="0.2">
      <c r="B1861" s="101"/>
      <c r="C1861" s="13"/>
      <c r="D1861" s="13"/>
      <c r="E1861" s="13"/>
      <c r="F1861" s="113"/>
      <c r="G1861" s="13"/>
      <c r="H1861" s="13"/>
      <c r="I1861" s="114"/>
      <c r="J1861" s="114"/>
      <c r="K1861" s="114"/>
      <c r="L1861" s="205"/>
      <c r="M1861" s="114"/>
      <c r="N1861" s="114"/>
      <c r="O1861" s="114"/>
      <c r="P1861" s="205"/>
      <c r="Q1861" s="114"/>
    </row>
    <row r="1862" spans="2:19" x14ac:dyDescent="0.2">
      <c r="B1862" s="101"/>
      <c r="C1862" s="13"/>
      <c r="D1862" s="13"/>
      <c r="E1862" s="13"/>
      <c r="F1862" s="113"/>
      <c r="G1862" s="13"/>
      <c r="H1862" s="13"/>
      <c r="I1862" s="114"/>
      <c r="J1862" s="114"/>
      <c r="K1862" s="114"/>
      <c r="L1862" s="205"/>
      <c r="M1862" s="114"/>
      <c r="N1862" s="114"/>
      <c r="O1862" s="114"/>
      <c r="P1862" s="205"/>
      <c r="Q1862" s="114"/>
    </row>
    <row r="1863" spans="2:19" x14ac:dyDescent="0.2">
      <c r="B1863" s="101"/>
      <c r="C1863" s="13"/>
      <c r="D1863" s="13"/>
      <c r="E1863" s="13"/>
      <c r="F1863" s="113"/>
      <c r="G1863" s="13"/>
      <c r="H1863" s="13"/>
      <c r="I1863" s="114"/>
      <c r="J1863" s="114"/>
      <c r="K1863" s="114"/>
      <c r="L1863" s="205"/>
      <c r="M1863" s="114"/>
      <c r="N1863" s="114"/>
      <c r="O1863" s="114"/>
      <c r="P1863" s="205"/>
      <c r="Q1863" s="114"/>
    </row>
    <row r="1864" spans="2:19" x14ac:dyDescent="0.2">
      <c r="B1864" s="101"/>
      <c r="C1864" s="13"/>
      <c r="D1864" s="13"/>
      <c r="E1864" s="13"/>
      <c r="F1864" s="113"/>
      <c r="G1864" s="13"/>
      <c r="H1864" s="13"/>
      <c r="I1864" s="114"/>
      <c r="J1864" s="114"/>
      <c r="K1864" s="114"/>
      <c r="L1864" s="205"/>
      <c r="M1864" s="114"/>
      <c r="N1864" s="114"/>
      <c r="O1864" s="114"/>
      <c r="P1864" s="205"/>
      <c r="Q1864" s="114"/>
    </row>
    <row r="1865" spans="2:19" ht="27" x14ac:dyDescent="0.35">
      <c r="B1865" s="248" t="s">
        <v>305</v>
      </c>
      <c r="C1865" s="249"/>
      <c r="D1865" s="249"/>
      <c r="E1865" s="249"/>
      <c r="F1865" s="249"/>
      <c r="G1865" s="249"/>
      <c r="H1865" s="249"/>
      <c r="I1865" s="249"/>
      <c r="J1865" s="249"/>
      <c r="K1865" s="249"/>
      <c r="L1865" s="249"/>
      <c r="M1865" s="249"/>
      <c r="N1865" s="249"/>
      <c r="O1865" s="249"/>
      <c r="P1865" s="249"/>
      <c r="Q1865" s="249"/>
    </row>
    <row r="1866" spans="2:19" ht="12.75" customHeight="1" x14ac:dyDescent="0.2">
      <c r="B1866" s="260" t="s">
        <v>281</v>
      </c>
      <c r="C1866" s="261"/>
      <c r="D1866" s="261"/>
      <c r="E1866" s="261"/>
      <c r="F1866" s="261"/>
      <c r="G1866" s="261"/>
      <c r="H1866" s="261"/>
      <c r="I1866" s="261"/>
      <c r="J1866" s="261"/>
      <c r="K1866" s="261"/>
      <c r="L1866" s="261"/>
      <c r="M1866" s="261"/>
      <c r="N1866" s="261"/>
      <c r="O1866" s="262"/>
      <c r="P1866" s="208"/>
      <c r="Q1866" s="250" t="s">
        <v>779</v>
      </c>
      <c r="R1866" s="250" t="s">
        <v>773</v>
      </c>
      <c r="S1866" s="250" t="s">
        <v>774</v>
      </c>
    </row>
    <row r="1867" spans="2:19" ht="12.75" customHeight="1" x14ac:dyDescent="0.2">
      <c r="B1867" s="253" t="s">
        <v>112</v>
      </c>
      <c r="C1867" s="255" t="s">
        <v>120</v>
      </c>
      <c r="D1867" s="255" t="s">
        <v>121</v>
      </c>
      <c r="E1867" s="257" t="s">
        <v>125</v>
      </c>
      <c r="F1867" s="255" t="s">
        <v>122</v>
      </c>
      <c r="G1867" s="255" t="s">
        <v>123</v>
      </c>
      <c r="H1867" s="263" t="s">
        <v>124</v>
      </c>
      <c r="I1867" s="250" t="s">
        <v>777</v>
      </c>
      <c r="J1867" s="251" t="s">
        <v>773</v>
      </c>
      <c r="K1867" s="251" t="s">
        <v>775</v>
      </c>
      <c r="L1867" s="197"/>
      <c r="M1867" s="250" t="s">
        <v>778</v>
      </c>
      <c r="N1867" s="251" t="s">
        <v>773</v>
      </c>
      <c r="O1867" s="251" t="s">
        <v>776</v>
      </c>
      <c r="P1867" s="198"/>
      <c r="Q1867" s="251"/>
      <c r="R1867" s="251"/>
      <c r="S1867" s="251"/>
    </row>
    <row r="1868" spans="2:19" x14ac:dyDescent="0.2">
      <c r="B1868" s="253"/>
      <c r="C1868" s="255"/>
      <c r="D1868" s="255"/>
      <c r="E1868" s="258"/>
      <c r="F1868" s="255"/>
      <c r="G1868" s="255"/>
      <c r="H1868" s="263"/>
      <c r="I1868" s="251"/>
      <c r="J1868" s="251"/>
      <c r="K1868" s="251"/>
      <c r="L1868" s="198"/>
      <c r="M1868" s="251"/>
      <c r="N1868" s="251"/>
      <c r="O1868" s="251"/>
      <c r="P1868" s="198"/>
      <c r="Q1868" s="251"/>
      <c r="R1868" s="251"/>
      <c r="S1868" s="251"/>
    </row>
    <row r="1869" spans="2:19" x14ac:dyDescent="0.2">
      <c r="B1869" s="253"/>
      <c r="C1869" s="255"/>
      <c r="D1869" s="255"/>
      <c r="E1869" s="258"/>
      <c r="F1869" s="255"/>
      <c r="G1869" s="255"/>
      <c r="H1869" s="263"/>
      <c r="I1869" s="251"/>
      <c r="J1869" s="251"/>
      <c r="K1869" s="251"/>
      <c r="L1869" s="198"/>
      <c r="M1869" s="251"/>
      <c r="N1869" s="251"/>
      <c r="O1869" s="251"/>
      <c r="P1869" s="198"/>
      <c r="Q1869" s="251"/>
      <c r="R1869" s="251"/>
      <c r="S1869" s="251"/>
    </row>
    <row r="1870" spans="2:19" ht="13.5" thickBot="1" x14ac:dyDescent="0.25">
      <c r="B1870" s="254"/>
      <c r="C1870" s="256"/>
      <c r="D1870" s="256"/>
      <c r="E1870" s="259"/>
      <c r="F1870" s="256"/>
      <c r="G1870" s="256"/>
      <c r="H1870" s="264"/>
      <c r="I1870" s="252"/>
      <c r="J1870" s="252"/>
      <c r="K1870" s="252"/>
      <c r="L1870" s="199"/>
      <c r="M1870" s="252"/>
      <c r="N1870" s="252"/>
      <c r="O1870" s="252"/>
      <c r="P1870" s="199"/>
      <c r="Q1870" s="252"/>
      <c r="R1870" s="252"/>
      <c r="S1870" s="252"/>
    </row>
    <row r="1871" spans="2:19" ht="16.5" thickTop="1" x14ac:dyDescent="0.2">
      <c r="B1871" s="79">
        <f t="shared" ref="B1871:B1930" si="332">B1870+1</f>
        <v>1</v>
      </c>
      <c r="C1871" s="265" t="s">
        <v>305</v>
      </c>
      <c r="D1871" s="266"/>
      <c r="E1871" s="266"/>
      <c r="F1871" s="266"/>
      <c r="G1871" s="266"/>
      <c r="H1871" s="267"/>
      <c r="I1871" s="47">
        <f>I1927+I1905+I1884+I1872</f>
        <v>385750</v>
      </c>
      <c r="J1871" s="47">
        <f>J1927+J1905+J1884+J1872</f>
        <v>0</v>
      </c>
      <c r="K1871" s="47">
        <f>I1871+J1871</f>
        <v>385750</v>
      </c>
      <c r="L1871" s="200"/>
      <c r="M1871" s="47">
        <f>M1927+M1905+M1884+M1872</f>
        <v>28620</v>
      </c>
      <c r="N1871" s="47">
        <f>N1927+N1905+N1884+N1872</f>
        <v>0</v>
      </c>
      <c r="O1871" s="47">
        <f>M1871+N1871</f>
        <v>28620</v>
      </c>
      <c r="P1871" s="200"/>
      <c r="Q1871" s="47">
        <f t="shared" ref="Q1871:Q1930" si="333">I1871+M1871</f>
        <v>414370</v>
      </c>
      <c r="R1871" s="47">
        <f t="shared" ref="R1871:R1917" si="334">J1871+N1871</f>
        <v>0</v>
      </c>
      <c r="S1871" s="47">
        <f t="shared" ref="S1871:S1917" si="335">K1871+O1871</f>
        <v>414370</v>
      </c>
    </row>
    <row r="1872" spans="2:19" ht="12.75" customHeight="1" x14ac:dyDescent="0.2">
      <c r="B1872" s="79">
        <f t="shared" si="332"/>
        <v>2</v>
      </c>
      <c r="C1872" s="191">
        <v>1</v>
      </c>
      <c r="D1872" s="245" t="s">
        <v>13</v>
      </c>
      <c r="E1872" s="246"/>
      <c r="F1872" s="246"/>
      <c r="G1872" s="246"/>
      <c r="H1872" s="247"/>
      <c r="I1872" s="48">
        <f>I1873</f>
        <v>118000</v>
      </c>
      <c r="J1872" s="48">
        <f>J1873</f>
        <v>0</v>
      </c>
      <c r="K1872" s="48">
        <f t="shared" ref="K1872:K1930" si="336">I1872+J1872</f>
        <v>118000</v>
      </c>
      <c r="L1872" s="201"/>
      <c r="M1872" s="48">
        <f>M1873</f>
        <v>0</v>
      </c>
      <c r="N1872" s="48">
        <f>N1873</f>
        <v>0</v>
      </c>
      <c r="O1872" s="48">
        <f t="shared" ref="O1872:O1930" si="337">M1872+N1872</f>
        <v>0</v>
      </c>
      <c r="P1872" s="201"/>
      <c r="Q1872" s="48">
        <f t="shared" si="333"/>
        <v>118000</v>
      </c>
      <c r="R1872" s="48">
        <f t="shared" si="334"/>
        <v>0</v>
      </c>
      <c r="S1872" s="48">
        <f t="shared" si="335"/>
        <v>118000</v>
      </c>
    </row>
    <row r="1873" spans="2:19" ht="18.75" customHeight="1" x14ac:dyDescent="0.2">
      <c r="B1873" s="79">
        <f t="shared" si="332"/>
        <v>3</v>
      </c>
      <c r="C1873" s="15"/>
      <c r="D1873" s="15"/>
      <c r="E1873" s="15"/>
      <c r="F1873" s="55" t="s">
        <v>75</v>
      </c>
      <c r="G1873" s="15">
        <v>640</v>
      </c>
      <c r="H1873" s="15" t="s">
        <v>135</v>
      </c>
      <c r="I1873" s="52">
        <f>SUM(I1874:I1883)</f>
        <v>118000</v>
      </c>
      <c r="J1873" s="52">
        <f>SUM(J1874:J1883)</f>
        <v>0</v>
      </c>
      <c r="K1873" s="52">
        <f t="shared" si="336"/>
        <v>118000</v>
      </c>
      <c r="L1873" s="126"/>
      <c r="M1873" s="52"/>
      <c r="N1873" s="52"/>
      <c r="O1873" s="52">
        <f t="shared" si="337"/>
        <v>0</v>
      </c>
      <c r="P1873" s="126"/>
      <c r="Q1873" s="52">
        <f t="shared" si="333"/>
        <v>118000</v>
      </c>
      <c r="R1873" s="52">
        <f t="shared" si="334"/>
        <v>0</v>
      </c>
      <c r="S1873" s="52">
        <f t="shared" si="335"/>
        <v>118000</v>
      </c>
    </row>
    <row r="1874" spans="2:19" x14ac:dyDescent="0.2">
      <c r="B1874" s="79">
        <f t="shared" si="332"/>
        <v>4</v>
      </c>
      <c r="C1874" s="15"/>
      <c r="D1874" s="61"/>
      <c r="E1874" s="15"/>
      <c r="F1874" s="55"/>
      <c r="G1874" s="15"/>
      <c r="H1874" s="64" t="s">
        <v>234</v>
      </c>
      <c r="I1874" s="62">
        <f>50000+20000-10000</f>
        <v>60000</v>
      </c>
      <c r="J1874" s="62"/>
      <c r="K1874" s="62">
        <f t="shared" si="336"/>
        <v>60000</v>
      </c>
      <c r="L1874" s="80"/>
      <c r="M1874" s="62"/>
      <c r="N1874" s="62"/>
      <c r="O1874" s="62">
        <f t="shared" si="337"/>
        <v>0</v>
      </c>
      <c r="P1874" s="80"/>
      <c r="Q1874" s="69">
        <f t="shared" si="333"/>
        <v>60000</v>
      </c>
      <c r="R1874" s="69">
        <f t="shared" si="334"/>
        <v>0</v>
      </c>
      <c r="S1874" s="69">
        <f t="shared" si="335"/>
        <v>60000</v>
      </c>
    </row>
    <row r="1875" spans="2:19" ht="17.25" customHeight="1" x14ac:dyDescent="0.2">
      <c r="B1875" s="79">
        <f t="shared" si="332"/>
        <v>5</v>
      </c>
      <c r="C1875" s="15"/>
      <c r="D1875" s="61"/>
      <c r="E1875" s="15"/>
      <c r="F1875" s="55"/>
      <c r="G1875" s="15"/>
      <c r="H1875" s="64" t="s">
        <v>345</v>
      </c>
      <c r="I1875" s="62">
        <v>20000</v>
      </c>
      <c r="J1875" s="62"/>
      <c r="K1875" s="62">
        <f t="shared" si="336"/>
        <v>20000</v>
      </c>
      <c r="L1875" s="80"/>
      <c r="M1875" s="62"/>
      <c r="N1875" s="62"/>
      <c r="O1875" s="62">
        <f t="shared" si="337"/>
        <v>0</v>
      </c>
      <c r="P1875" s="80"/>
      <c r="Q1875" s="69">
        <f t="shared" si="333"/>
        <v>20000</v>
      </c>
      <c r="R1875" s="69">
        <f t="shared" si="334"/>
        <v>0</v>
      </c>
      <c r="S1875" s="69">
        <f t="shared" si="335"/>
        <v>20000</v>
      </c>
    </row>
    <row r="1876" spans="2:19" x14ac:dyDescent="0.2">
      <c r="B1876" s="79">
        <f t="shared" si="332"/>
        <v>6</v>
      </c>
      <c r="C1876" s="15"/>
      <c r="D1876" s="61"/>
      <c r="E1876" s="15"/>
      <c r="F1876" s="55"/>
      <c r="G1876" s="15"/>
      <c r="H1876" s="64" t="s">
        <v>62</v>
      </c>
      <c r="I1876" s="62">
        <f>10000-10000</f>
        <v>0</v>
      </c>
      <c r="J1876" s="62"/>
      <c r="K1876" s="62">
        <f t="shared" si="336"/>
        <v>0</v>
      </c>
      <c r="L1876" s="80"/>
      <c r="M1876" s="62"/>
      <c r="N1876" s="62"/>
      <c r="O1876" s="62">
        <f t="shared" si="337"/>
        <v>0</v>
      </c>
      <c r="P1876" s="80"/>
      <c r="Q1876" s="69">
        <f t="shared" si="333"/>
        <v>0</v>
      </c>
      <c r="R1876" s="69">
        <f t="shared" si="334"/>
        <v>0</v>
      </c>
      <c r="S1876" s="69">
        <f t="shared" si="335"/>
        <v>0</v>
      </c>
    </row>
    <row r="1877" spans="2:19" x14ac:dyDescent="0.2">
      <c r="B1877" s="78">
        <f t="shared" si="332"/>
        <v>7</v>
      </c>
      <c r="C1877" s="72"/>
      <c r="D1877" s="73"/>
      <c r="E1877" s="72"/>
      <c r="F1877" s="76"/>
      <c r="G1877" s="72"/>
      <c r="H1877" s="86" t="s">
        <v>555</v>
      </c>
      <c r="I1877" s="69">
        <v>10000</v>
      </c>
      <c r="J1877" s="69"/>
      <c r="K1877" s="69">
        <f t="shared" si="336"/>
        <v>10000</v>
      </c>
      <c r="L1877" s="166"/>
      <c r="M1877" s="69"/>
      <c r="N1877" s="69"/>
      <c r="O1877" s="69">
        <f t="shared" si="337"/>
        <v>0</v>
      </c>
      <c r="P1877" s="166"/>
      <c r="Q1877" s="69">
        <f t="shared" si="333"/>
        <v>10000</v>
      </c>
      <c r="R1877" s="69">
        <f t="shared" si="334"/>
        <v>0</v>
      </c>
      <c r="S1877" s="69">
        <f t="shared" si="335"/>
        <v>10000</v>
      </c>
    </row>
    <row r="1878" spans="2:19" x14ac:dyDescent="0.2">
      <c r="B1878" s="79">
        <f t="shared" si="332"/>
        <v>8</v>
      </c>
      <c r="C1878" s="15"/>
      <c r="D1878" s="61"/>
      <c r="E1878" s="15"/>
      <c r="F1878" s="55"/>
      <c r="G1878" s="15"/>
      <c r="H1878" s="63" t="s">
        <v>492</v>
      </c>
      <c r="I1878" s="62">
        <v>4000</v>
      </c>
      <c r="J1878" s="62"/>
      <c r="K1878" s="62">
        <f t="shared" si="336"/>
        <v>4000</v>
      </c>
      <c r="L1878" s="80"/>
      <c r="M1878" s="62"/>
      <c r="N1878" s="62"/>
      <c r="O1878" s="62">
        <f t="shared" si="337"/>
        <v>0</v>
      </c>
      <c r="P1878" s="80"/>
      <c r="Q1878" s="69">
        <f t="shared" si="333"/>
        <v>4000</v>
      </c>
      <c r="R1878" s="69">
        <f t="shared" si="334"/>
        <v>0</v>
      </c>
      <c r="S1878" s="69">
        <f t="shared" si="335"/>
        <v>4000</v>
      </c>
    </row>
    <row r="1879" spans="2:19" x14ac:dyDescent="0.2">
      <c r="B1879" s="79">
        <f t="shared" si="332"/>
        <v>9</v>
      </c>
      <c r="C1879" s="15"/>
      <c r="D1879" s="61"/>
      <c r="E1879" s="15"/>
      <c r="F1879" s="55"/>
      <c r="G1879" s="15"/>
      <c r="H1879" s="63" t="s">
        <v>616</v>
      </c>
      <c r="I1879" s="62">
        <f>5000+5000</f>
        <v>10000</v>
      </c>
      <c r="J1879" s="62"/>
      <c r="K1879" s="62">
        <f t="shared" si="336"/>
        <v>10000</v>
      </c>
      <c r="L1879" s="80"/>
      <c r="M1879" s="62"/>
      <c r="N1879" s="62"/>
      <c r="O1879" s="62">
        <f t="shared" si="337"/>
        <v>0</v>
      </c>
      <c r="P1879" s="80"/>
      <c r="Q1879" s="69">
        <f t="shared" si="333"/>
        <v>10000</v>
      </c>
      <c r="R1879" s="69">
        <f t="shared" si="334"/>
        <v>0</v>
      </c>
      <c r="S1879" s="69">
        <f t="shared" si="335"/>
        <v>10000</v>
      </c>
    </row>
    <row r="1880" spans="2:19" x14ac:dyDescent="0.2">
      <c r="B1880" s="79">
        <f t="shared" si="332"/>
        <v>10</v>
      </c>
      <c r="C1880" s="15"/>
      <c r="D1880" s="61"/>
      <c r="E1880" s="15"/>
      <c r="F1880" s="55"/>
      <c r="G1880" s="15"/>
      <c r="H1880" s="63" t="s">
        <v>617</v>
      </c>
      <c r="I1880" s="62">
        <v>5000</v>
      </c>
      <c r="J1880" s="62"/>
      <c r="K1880" s="62">
        <f t="shared" si="336"/>
        <v>5000</v>
      </c>
      <c r="L1880" s="80"/>
      <c r="M1880" s="62"/>
      <c r="N1880" s="62"/>
      <c r="O1880" s="62">
        <f t="shared" si="337"/>
        <v>0</v>
      </c>
      <c r="P1880" s="80"/>
      <c r="Q1880" s="69">
        <f t="shared" si="333"/>
        <v>5000</v>
      </c>
      <c r="R1880" s="69">
        <f t="shared" si="334"/>
        <v>0</v>
      </c>
      <c r="S1880" s="69">
        <f t="shared" si="335"/>
        <v>5000</v>
      </c>
    </row>
    <row r="1881" spans="2:19" x14ac:dyDescent="0.2">
      <c r="B1881" s="79">
        <f t="shared" si="332"/>
        <v>11</v>
      </c>
      <c r="C1881" s="15"/>
      <c r="D1881" s="61"/>
      <c r="E1881" s="15"/>
      <c r="F1881" s="55"/>
      <c r="G1881" s="15"/>
      <c r="H1881" s="63" t="s">
        <v>718</v>
      </c>
      <c r="I1881" s="62">
        <v>4000</v>
      </c>
      <c r="J1881" s="62"/>
      <c r="K1881" s="62">
        <f t="shared" si="336"/>
        <v>4000</v>
      </c>
      <c r="L1881" s="80"/>
      <c r="M1881" s="62"/>
      <c r="N1881" s="62"/>
      <c r="O1881" s="62">
        <f t="shared" si="337"/>
        <v>0</v>
      </c>
      <c r="P1881" s="80"/>
      <c r="Q1881" s="69">
        <f t="shared" si="333"/>
        <v>4000</v>
      </c>
      <c r="R1881" s="69">
        <f t="shared" si="334"/>
        <v>0</v>
      </c>
      <c r="S1881" s="69">
        <f t="shared" si="335"/>
        <v>4000</v>
      </c>
    </row>
    <row r="1882" spans="2:19" x14ac:dyDescent="0.2">
      <c r="B1882" s="79">
        <f t="shared" si="332"/>
        <v>12</v>
      </c>
      <c r="C1882" s="15"/>
      <c r="D1882" s="61"/>
      <c r="E1882" s="15"/>
      <c r="F1882" s="55"/>
      <c r="G1882" s="15"/>
      <c r="H1882" s="63" t="s">
        <v>721</v>
      </c>
      <c r="I1882" s="62">
        <v>3000</v>
      </c>
      <c r="J1882" s="62"/>
      <c r="K1882" s="62">
        <f t="shared" si="336"/>
        <v>3000</v>
      </c>
      <c r="L1882" s="80"/>
      <c r="M1882" s="62"/>
      <c r="N1882" s="62"/>
      <c r="O1882" s="62">
        <f t="shared" si="337"/>
        <v>0</v>
      </c>
      <c r="P1882" s="80"/>
      <c r="Q1882" s="69">
        <f t="shared" si="333"/>
        <v>3000</v>
      </c>
      <c r="R1882" s="69">
        <f t="shared" si="334"/>
        <v>0</v>
      </c>
      <c r="S1882" s="69">
        <f t="shared" si="335"/>
        <v>3000</v>
      </c>
    </row>
    <row r="1883" spans="2:19" ht="24" x14ac:dyDescent="0.2">
      <c r="B1883" s="79">
        <f t="shared" si="332"/>
        <v>13</v>
      </c>
      <c r="C1883" s="4"/>
      <c r="D1883" s="4"/>
      <c r="E1883" s="4"/>
      <c r="F1883" s="68"/>
      <c r="G1883" s="15"/>
      <c r="H1883" s="189" t="s">
        <v>737</v>
      </c>
      <c r="I1883" s="62">
        <v>2000</v>
      </c>
      <c r="J1883" s="62"/>
      <c r="K1883" s="62">
        <f t="shared" si="336"/>
        <v>2000</v>
      </c>
      <c r="L1883" s="80"/>
      <c r="M1883" s="52"/>
      <c r="N1883" s="52"/>
      <c r="O1883" s="52">
        <f t="shared" si="337"/>
        <v>0</v>
      </c>
      <c r="P1883" s="126"/>
      <c r="Q1883" s="69">
        <f t="shared" si="333"/>
        <v>2000</v>
      </c>
      <c r="R1883" s="69">
        <f t="shared" si="334"/>
        <v>0</v>
      </c>
      <c r="S1883" s="69">
        <f t="shared" si="335"/>
        <v>2000</v>
      </c>
    </row>
    <row r="1884" spans="2:19" ht="15" x14ac:dyDescent="0.2">
      <c r="B1884" s="79">
        <f t="shared" si="332"/>
        <v>14</v>
      </c>
      <c r="C1884" s="191">
        <v>2</v>
      </c>
      <c r="D1884" s="245" t="s">
        <v>180</v>
      </c>
      <c r="E1884" s="246"/>
      <c r="F1884" s="246"/>
      <c r="G1884" s="246"/>
      <c r="H1884" s="247"/>
      <c r="I1884" s="48">
        <f>I1885</f>
        <v>103850</v>
      </c>
      <c r="J1884" s="48">
        <f>J1885</f>
        <v>0</v>
      </c>
      <c r="K1884" s="48">
        <f t="shared" si="336"/>
        <v>103850</v>
      </c>
      <c r="L1884" s="201"/>
      <c r="M1884" s="48">
        <v>0</v>
      </c>
      <c r="N1884" s="48"/>
      <c r="O1884" s="48">
        <f t="shared" si="337"/>
        <v>0</v>
      </c>
      <c r="P1884" s="201"/>
      <c r="Q1884" s="48">
        <f t="shared" si="333"/>
        <v>103850</v>
      </c>
      <c r="R1884" s="48">
        <f t="shared" si="334"/>
        <v>0</v>
      </c>
      <c r="S1884" s="48">
        <f t="shared" si="335"/>
        <v>103850</v>
      </c>
    </row>
    <row r="1885" spans="2:19" x14ac:dyDescent="0.2">
      <c r="B1885" s="79">
        <f t="shared" si="332"/>
        <v>15</v>
      </c>
      <c r="C1885" s="15"/>
      <c r="D1885" s="15"/>
      <c r="E1885" s="15"/>
      <c r="F1885" s="55" t="s">
        <v>75</v>
      </c>
      <c r="G1885" s="15">
        <v>630</v>
      </c>
      <c r="H1885" s="15" t="s">
        <v>128</v>
      </c>
      <c r="I1885" s="52">
        <f>I1888+I1886+I1887</f>
        <v>103850</v>
      </c>
      <c r="J1885" s="52">
        <f>J1888+J1886+J1887</f>
        <v>0</v>
      </c>
      <c r="K1885" s="52">
        <f t="shared" si="336"/>
        <v>103850</v>
      </c>
      <c r="L1885" s="126"/>
      <c r="M1885" s="52">
        <f>M1888+M1886</f>
        <v>0</v>
      </c>
      <c r="N1885" s="52">
        <f>N1888+N1886</f>
        <v>0</v>
      </c>
      <c r="O1885" s="52">
        <f t="shared" si="337"/>
        <v>0</v>
      </c>
      <c r="P1885" s="126"/>
      <c r="Q1885" s="52">
        <f t="shared" si="333"/>
        <v>103850</v>
      </c>
      <c r="R1885" s="52">
        <f t="shared" si="334"/>
        <v>0</v>
      </c>
      <c r="S1885" s="52">
        <f t="shared" si="335"/>
        <v>103850</v>
      </c>
    </row>
    <row r="1886" spans="2:19" x14ac:dyDescent="0.2">
      <c r="B1886" s="79">
        <f t="shared" si="332"/>
        <v>16</v>
      </c>
      <c r="C1886" s="4"/>
      <c r="D1886" s="4"/>
      <c r="E1886" s="4"/>
      <c r="F1886" s="56" t="s">
        <v>75</v>
      </c>
      <c r="G1886" s="4">
        <v>633</v>
      </c>
      <c r="H1886" s="4" t="s">
        <v>132</v>
      </c>
      <c r="I1886" s="26">
        <f>5100-1500</f>
        <v>3600</v>
      </c>
      <c r="J1886" s="26"/>
      <c r="K1886" s="26">
        <f t="shared" si="336"/>
        <v>3600</v>
      </c>
      <c r="L1886" s="80"/>
      <c r="M1886" s="26"/>
      <c r="N1886" s="26"/>
      <c r="O1886" s="26">
        <f t="shared" si="337"/>
        <v>0</v>
      </c>
      <c r="P1886" s="80"/>
      <c r="Q1886" s="26">
        <f t="shared" si="333"/>
        <v>3600</v>
      </c>
      <c r="R1886" s="26">
        <f t="shared" si="334"/>
        <v>0</v>
      </c>
      <c r="S1886" s="26">
        <f t="shared" si="335"/>
        <v>3600</v>
      </c>
    </row>
    <row r="1887" spans="2:19" x14ac:dyDescent="0.2">
      <c r="B1887" s="79"/>
      <c r="C1887" s="4"/>
      <c r="D1887" s="4"/>
      <c r="E1887" s="4"/>
      <c r="F1887" s="56"/>
      <c r="G1887" s="4">
        <v>633</v>
      </c>
      <c r="H1887" s="4" t="s">
        <v>347</v>
      </c>
      <c r="I1887" s="62">
        <v>600</v>
      </c>
      <c r="J1887" s="62"/>
      <c r="K1887" s="62">
        <f t="shared" si="336"/>
        <v>600</v>
      </c>
      <c r="L1887" s="80"/>
      <c r="M1887" s="26"/>
      <c r="N1887" s="26"/>
      <c r="O1887" s="26">
        <f t="shared" si="337"/>
        <v>0</v>
      </c>
      <c r="P1887" s="80"/>
      <c r="Q1887" s="26">
        <f t="shared" si="333"/>
        <v>600</v>
      </c>
      <c r="R1887" s="26">
        <f t="shared" si="334"/>
        <v>0</v>
      </c>
      <c r="S1887" s="26">
        <f t="shared" si="335"/>
        <v>600</v>
      </c>
    </row>
    <row r="1888" spans="2:19" x14ac:dyDescent="0.2">
      <c r="B1888" s="79">
        <f>B1886+1</f>
        <v>17</v>
      </c>
      <c r="C1888" s="4"/>
      <c r="D1888" s="4"/>
      <c r="E1888" s="4"/>
      <c r="F1888" s="56" t="s">
        <v>75</v>
      </c>
      <c r="G1888" s="4">
        <v>637</v>
      </c>
      <c r="H1888" s="4" t="s">
        <v>129</v>
      </c>
      <c r="I1888" s="26">
        <f>SUM(I1889:I1904)</f>
        <v>99650</v>
      </c>
      <c r="J1888" s="26">
        <f>SUM(J1889:J1904)</f>
        <v>0</v>
      </c>
      <c r="K1888" s="26">
        <f t="shared" si="336"/>
        <v>99650</v>
      </c>
      <c r="L1888" s="80"/>
      <c r="M1888" s="26"/>
      <c r="N1888" s="26"/>
      <c r="O1888" s="26">
        <f t="shared" si="337"/>
        <v>0</v>
      </c>
      <c r="P1888" s="80"/>
      <c r="Q1888" s="26">
        <f t="shared" si="333"/>
        <v>99650</v>
      </c>
      <c r="R1888" s="26">
        <f t="shared" si="334"/>
        <v>0</v>
      </c>
      <c r="S1888" s="26">
        <f t="shared" si="335"/>
        <v>99650</v>
      </c>
    </row>
    <row r="1889" spans="1:19" x14ac:dyDescent="0.2">
      <c r="B1889" s="79">
        <f t="shared" si="332"/>
        <v>18</v>
      </c>
      <c r="C1889" s="4"/>
      <c r="D1889" s="4"/>
      <c r="E1889" s="4"/>
      <c r="F1889" s="56"/>
      <c r="G1889" s="4"/>
      <c r="H1889" s="4" t="s">
        <v>233</v>
      </c>
      <c r="I1889" s="62">
        <v>10000</v>
      </c>
      <c r="J1889" s="62"/>
      <c r="K1889" s="62">
        <f t="shared" si="336"/>
        <v>10000</v>
      </c>
      <c r="L1889" s="80"/>
      <c r="M1889" s="26"/>
      <c r="N1889" s="26"/>
      <c r="O1889" s="26">
        <f t="shared" si="337"/>
        <v>0</v>
      </c>
      <c r="P1889" s="80"/>
      <c r="Q1889" s="26">
        <f t="shared" si="333"/>
        <v>10000</v>
      </c>
      <c r="R1889" s="26">
        <f t="shared" si="334"/>
        <v>0</v>
      </c>
      <c r="S1889" s="26">
        <f t="shared" si="335"/>
        <v>10000</v>
      </c>
    </row>
    <row r="1890" spans="1:19" x14ac:dyDescent="0.2">
      <c r="B1890" s="79">
        <f t="shared" si="332"/>
        <v>19</v>
      </c>
      <c r="C1890" s="4"/>
      <c r="D1890" s="4"/>
      <c r="E1890" s="4"/>
      <c r="F1890" s="56"/>
      <c r="G1890" s="4"/>
      <c r="H1890" s="4" t="s">
        <v>346</v>
      </c>
      <c r="I1890" s="62">
        <f>3000+1500</f>
        <v>4500</v>
      </c>
      <c r="J1890" s="62"/>
      <c r="K1890" s="62">
        <f t="shared" si="336"/>
        <v>4500</v>
      </c>
      <c r="L1890" s="80"/>
      <c r="M1890" s="26"/>
      <c r="N1890" s="26"/>
      <c r="O1890" s="26">
        <f t="shared" si="337"/>
        <v>0</v>
      </c>
      <c r="P1890" s="80"/>
      <c r="Q1890" s="26">
        <f t="shared" si="333"/>
        <v>4500</v>
      </c>
      <c r="R1890" s="26">
        <f t="shared" si="334"/>
        <v>0</v>
      </c>
      <c r="S1890" s="26">
        <f t="shared" si="335"/>
        <v>4500</v>
      </c>
    </row>
    <row r="1891" spans="1:19" s="75" customFormat="1" x14ac:dyDescent="0.2">
      <c r="A1891" s="71"/>
      <c r="B1891" s="79">
        <f t="shared" si="332"/>
        <v>20</v>
      </c>
      <c r="C1891" s="4"/>
      <c r="D1891" s="4"/>
      <c r="E1891" s="4"/>
      <c r="F1891" s="56"/>
      <c r="G1891" s="4"/>
      <c r="H1891" s="4" t="s">
        <v>347</v>
      </c>
      <c r="I1891" s="62">
        <f>12000+5900-1140</f>
        <v>16760</v>
      </c>
      <c r="J1891" s="62"/>
      <c r="K1891" s="62">
        <f t="shared" si="336"/>
        <v>16760</v>
      </c>
      <c r="L1891" s="80"/>
      <c r="M1891" s="26"/>
      <c r="N1891" s="26"/>
      <c r="O1891" s="26">
        <f t="shared" si="337"/>
        <v>0</v>
      </c>
      <c r="P1891" s="80"/>
      <c r="Q1891" s="26">
        <f t="shared" si="333"/>
        <v>16760</v>
      </c>
      <c r="R1891" s="26">
        <f t="shared" si="334"/>
        <v>0</v>
      </c>
      <c r="S1891" s="26">
        <f t="shared" si="335"/>
        <v>16760</v>
      </c>
    </row>
    <row r="1892" spans="1:19" s="75" customFormat="1" ht="24" x14ac:dyDescent="0.2">
      <c r="A1892" s="71"/>
      <c r="B1892" s="79">
        <f t="shared" si="332"/>
        <v>21</v>
      </c>
      <c r="C1892" s="82"/>
      <c r="D1892" s="82"/>
      <c r="E1892" s="82"/>
      <c r="F1892" s="83"/>
      <c r="G1892" s="82"/>
      <c r="H1892" s="84" t="s">
        <v>432</v>
      </c>
      <c r="I1892" s="69">
        <v>3000</v>
      </c>
      <c r="J1892" s="69"/>
      <c r="K1892" s="69">
        <f t="shared" si="336"/>
        <v>3000</v>
      </c>
      <c r="L1892" s="166"/>
      <c r="M1892" s="66"/>
      <c r="N1892" s="66"/>
      <c r="O1892" s="66">
        <f t="shared" si="337"/>
        <v>0</v>
      </c>
      <c r="P1892" s="166"/>
      <c r="Q1892" s="66">
        <f t="shared" si="333"/>
        <v>3000</v>
      </c>
      <c r="R1892" s="66">
        <f t="shared" si="334"/>
        <v>0</v>
      </c>
      <c r="S1892" s="66">
        <f t="shared" si="335"/>
        <v>3000</v>
      </c>
    </row>
    <row r="1893" spans="1:19" x14ac:dyDescent="0.2">
      <c r="B1893" s="79">
        <f t="shared" si="332"/>
        <v>22</v>
      </c>
      <c r="C1893" s="82"/>
      <c r="D1893" s="82"/>
      <c r="E1893" s="82"/>
      <c r="F1893" s="83"/>
      <c r="G1893" s="82"/>
      <c r="H1893" s="84" t="s">
        <v>428</v>
      </c>
      <c r="I1893" s="69">
        <f>10000-1480</f>
        <v>8520</v>
      </c>
      <c r="J1893" s="69"/>
      <c r="K1893" s="69">
        <f t="shared" si="336"/>
        <v>8520</v>
      </c>
      <c r="L1893" s="166"/>
      <c r="M1893" s="66"/>
      <c r="N1893" s="66"/>
      <c r="O1893" s="66">
        <f t="shared" si="337"/>
        <v>0</v>
      </c>
      <c r="P1893" s="166"/>
      <c r="Q1893" s="66">
        <f t="shared" si="333"/>
        <v>8520</v>
      </c>
      <c r="R1893" s="66">
        <f t="shared" si="334"/>
        <v>0</v>
      </c>
      <c r="S1893" s="66">
        <f t="shared" si="335"/>
        <v>8520</v>
      </c>
    </row>
    <row r="1894" spans="1:19" x14ac:dyDescent="0.2">
      <c r="B1894" s="79">
        <f t="shared" si="332"/>
        <v>23</v>
      </c>
      <c r="C1894" s="4"/>
      <c r="D1894" s="4"/>
      <c r="E1894" s="4"/>
      <c r="F1894" s="56"/>
      <c r="G1894" s="4"/>
      <c r="H1894" s="4" t="s">
        <v>245</v>
      </c>
      <c r="I1894" s="62">
        <v>3000</v>
      </c>
      <c r="J1894" s="62"/>
      <c r="K1894" s="62">
        <f t="shared" si="336"/>
        <v>3000</v>
      </c>
      <c r="L1894" s="80"/>
      <c r="M1894" s="26"/>
      <c r="N1894" s="26"/>
      <c r="O1894" s="26">
        <f t="shared" si="337"/>
        <v>0</v>
      </c>
      <c r="P1894" s="80"/>
      <c r="Q1894" s="26">
        <f t="shared" si="333"/>
        <v>3000</v>
      </c>
      <c r="R1894" s="26">
        <f t="shared" si="334"/>
        <v>0</v>
      </c>
      <c r="S1894" s="26">
        <f t="shared" si="335"/>
        <v>3000</v>
      </c>
    </row>
    <row r="1895" spans="1:19" x14ac:dyDescent="0.2">
      <c r="B1895" s="79">
        <f t="shared" si="332"/>
        <v>24</v>
      </c>
      <c r="C1895" s="4"/>
      <c r="D1895" s="4"/>
      <c r="E1895" s="4"/>
      <c r="F1895" s="56"/>
      <c r="G1895" s="4"/>
      <c r="H1895" s="4" t="s">
        <v>246</v>
      </c>
      <c r="I1895" s="62">
        <v>2500</v>
      </c>
      <c r="J1895" s="62"/>
      <c r="K1895" s="62">
        <f t="shared" si="336"/>
        <v>2500</v>
      </c>
      <c r="L1895" s="80"/>
      <c r="M1895" s="26"/>
      <c r="N1895" s="26"/>
      <c r="O1895" s="26">
        <f t="shared" si="337"/>
        <v>0</v>
      </c>
      <c r="P1895" s="80"/>
      <c r="Q1895" s="26">
        <f t="shared" si="333"/>
        <v>2500</v>
      </c>
      <c r="R1895" s="26">
        <f t="shared" si="334"/>
        <v>0</v>
      </c>
      <c r="S1895" s="26">
        <f t="shared" si="335"/>
        <v>2500</v>
      </c>
    </row>
    <row r="1896" spans="1:19" x14ac:dyDescent="0.2">
      <c r="B1896" s="79">
        <f t="shared" si="332"/>
        <v>25</v>
      </c>
      <c r="C1896" s="4"/>
      <c r="D1896" s="4"/>
      <c r="E1896" s="4"/>
      <c r="F1896" s="56"/>
      <c r="G1896" s="4"/>
      <c r="H1896" s="4" t="s">
        <v>18</v>
      </c>
      <c r="I1896" s="62">
        <f>18000+1140</f>
        <v>19140</v>
      </c>
      <c r="J1896" s="62"/>
      <c r="K1896" s="62">
        <f t="shared" si="336"/>
        <v>19140</v>
      </c>
      <c r="L1896" s="80"/>
      <c r="M1896" s="26"/>
      <c r="N1896" s="26"/>
      <c r="O1896" s="26">
        <f t="shared" si="337"/>
        <v>0</v>
      </c>
      <c r="P1896" s="80"/>
      <c r="Q1896" s="26">
        <f t="shared" si="333"/>
        <v>19140</v>
      </c>
      <c r="R1896" s="26">
        <f t="shared" si="334"/>
        <v>0</v>
      </c>
      <c r="S1896" s="26">
        <f t="shared" si="335"/>
        <v>19140</v>
      </c>
    </row>
    <row r="1897" spans="1:19" x14ac:dyDescent="0.2">
      <c r="B1897" s="79">
        <f t="shared" si="332"/>
        <v>26</v>
      </c>
      <c r="C1897" s="4"/>
      <c r="D1897" s="4"/>
      <c r="E1897" s="4"/>
      <c r="F1897" s="56"/>
      <c r="G1897" s="4"/>
      <c r="H1897" s="4" t="s">
        <v>24</v>
      </c>
      <c r="I1897" s="62">
        <f>8000+1480</f>
        <v>9480</v>
      </c>
      <c r="J1897" s="62"/>
      <c r="K1897" s="62">
        <f t="shared" si="336"/>
        <v>9480</v>
      </c>
      <c r="L1897" s="80"/>
      <c r="M1897" s="26"/>
      <c r="N1897" s="26"/>
      <c r="O1897" s="26">
        <f t="shared" si="337"/>
        <v>0</v>
      </c>
      <c r="P1897" s="80"/>
      <c r="Q1897" s="26">
        <f t="shared" si="333"/>
        <v>9480</v>
      </c>
      <c r="R1897" s="26">
        <f t="shared" si="334"/>
        <v>0</v>
      </c>
      <c r="S1897" s="26">
        <f t="shared" si="335"/>
        <v>9480</v>
      </c>
    </row>
    <row r="1898" spans="1:19" x14ac:dyDescent="0.2">
      <c r="B1898" s="79">
        <f t="shared" si="332"/>
        <v>27</v>
      </c>
      <c r="C1898" s="4"/>
      <c r="D1898" s="4"/>
      <c r="E1898" s="4"/>
      <c r="F1898" s="56"/>
      <c r="G1898" s="4"/>
      <c r="H1898" s="4" t="s">
        <v>79</v>
      </c>
      <c r="I1898" s="62">
        <v>1500</v>
      </c>
      <c r="J1898" s="62"/>
      <c r="K1898" s="62">
        <f t="shared" si="336"/>
        <v>1500</v>
      </c>
      <c r="L1898" s="80"/>
      <c r="M1898" s="26"/>
      <c r="N1898" s="26"/>
      <c r="O1898" s="26">
        <f t="shared" si="337"/>
        <v>0</v>
      </c>
      <c r="P1898" s="80"/>
      <c r="Q1898" s="26">
        <f t="shared" si="333"/>
        <v>1500</v>
      </c>
      <c r="R1898" s="26">
        <f t="shared" si="334"/>
        <v>0</v>
      </c>
      <c r="S1898" s="26">
        <f t="shared" si="335"/>
        <v>1500</v>
      </c>
    </row>
    <row r="1899" spans="1:19" x14ac:dyDescent="0.2">
      <c r="B1899" s="79">
        <f t="shared" si="332"/>
        <v>28</v>
      </c>
      <c r="C1899" s="4"/>
      <c r="D1899" s="4"/>
      <c r="E1899" s="4"/>
      <c r="F1899" s="56"/>
      <c r="G1899" s="4"/>
      <c r="H1899" s="4" t="s">
        <v>238</v>
      </c>
      <c r="I1899" s="62">
        <v>500</v>
      </c>
      <c r="J1899" s="62"/>
      <c r="K1899" s="62">
        <f t="shared" si="336"/>
        <v>500</v>
      </c>
      <c r="L1899" s="80"/>
      <c r="M1899" s="26"/>
      <c r="N1899" s="26"/>
      <c r="O1899" s="26">
        <f t="shared" si="337"/>
        <v>0</v>
      </c>
      <c r="P1899" s="80"/>
      <c r="Q1899" s="26">
        <f t="shared" si="333"/>
        <v>500</v>
      </c>
      <c r="R1899" s="26">
        <f t="shared" si="334"/>
        <v>0</v>
      </c>
      <c r="S1899" s="26">
        <f t="shared" si="335"/>
        <v>500</v>
      </c>
    </row>
    <row r="1900" spans="1:19" x14ac:dyDescent="0.2">
      <c r="B1900" s="79">
        <f t="shared" si="332"/>
        <v>29</v>
      </c>
      <c r="C1900" s="4"/>
      <c r="D1900" s="4"/>
      <c r="E1900" s="4"/>
      <c r="F1900" s="56"/>
      <c r="G1900" s="4"/>
      <c r="H1900" s="4" t="s">
        <v>475</v>
      </c>
      <c r="I1900" s="26">
        <f>4000-550</f>
        <v>3450</v>
      </c>
      <c r="J1900" s="26"/>
      <c r="K1900" s="26">
        <f t="shared" si="336"/>
        <v>3450</v>
      </c>
      <c r="L1900" s="80"/>
      <c r="M1900" s="26"/>
      <c r="N1900" s="26"/>
      <c r="O1900" s="26">
        <f t="shared" si="337"/>
        <v>0</v>
      </c>
      <c r="P1900" s="80"/>
      <c r="Q1900" s="26">
        <f t="shared" si="333"/>
        <v>3450</v>
      </c>
      <c r="R1900" s="26">
        <f t="shared" si="334"/>
        <v>0</v>
      </c>
      <c r="S1900" s="26">
        <f t="shared" si="335"/>
        <v>3450</v>
      </c>
    </row>
    <row r="1901" spans="1:19" x14ac:dyDescent="0.2">
      <c r="B1901" s="79">
        <f t="shared" si="332"/>
        <v>30</v>
      </c>
      <c r="C1901" s="4"/>
      <c r="D1901" s="4"/>
      <c r="E1901" s="4"/>
      <c r="F1901" s="56"/>
      <c r="G1901" s="4"/>
      <c r="H1901" s="4" t="s">
        <v>740</v>
      </c>
      <c r="I1901" s="26">
        <v>4000</v>
      </c>
      <c r="J1901" s="26"/>
      <c r="K1901" s="26">
        <f t="shared" si="336"/>
        <v>4000</v>
      </c>
      <c r="L1901" s="80"/>
      <c r="M1901" s="26"/>
      <c r="N1901" s="26"/>
      <c r="O1901" s="26">
        <f t="shared" si="337"/>
        <v>0</v>
      </c>
      <c r="P1901" s="80"/>
      <c r="Q1901" s="26">
        <f t="shared" si="333"/>
        <v>4000</v>
      </c>
      <c r="R1901" s="26">
        <f t="shared" si="334"/>
        <v>0</v>
      </c>
      <c r="S1901" s="26">
        <f t="shared" si="335"/>
        <v>4000</v>
      </c>
    </row>
    <row r="1902" spans="1:19" x14ac:dyDescent="0.2">
      <c r="B1902" s="79">
        <f t="shared" si="332"/>
        <v>31</v>
      </c>
      <c r="C1902" s="4"/>
      <c r="D1902" s="4"/>
      <c r="E1902" s="4"/>
      <c r="F1902" s="56"/>
      <c r="G1902" s="4"/>
      <c r="H1902" s="4" t="s">
        <v>753</v>
      </c>
      <c r="I1902" s="26">
        <v>3000</v>
      </c>
      <c r="J1902" s="26"/>
      <c r="K1902" s="26">
        <f t="shared" si="336"/>
        <v>3000</v>
      </c>
      <c r="L1902" s="80"/>
      <c r="M1902" s="26"/>
      <c r="N1902" s="26"/>
      <c r="O1902" s="26">
        <f t="shared" si="337"/>
        <v>0</v>
      </c>
      <c r="P1902" s="80"/>
      <c r="Q1902" s="26">
        <f t="shared" si="333"/>
        <v>3000</v>
      </c>
      <c r="R1902" s="26">
        <f t="shared" si="334"/>
        <v>0</v>
      </c>
      <c r="S1902" s="26">
        <f t="shared" si="335"/>
        <v>3000</v>
      </c>
    </row>
    <row r="1903" spans="1:19" x14ac:dyDescent="0.2">
      <c r="B1903" s="79">
        <f t="shared" si="332"/>
        <v>32</v>
      </c>
      <c r="C1903" s="4"/>
      <c r="D1903" s="4"/>
      <c r="E1903" s="4"/>
      <c r="F1903" s="56"/>
      <c r="G1903" s="4"/>
      <c r="H1903" s="4" t="s">
        <v>754</v>
      </c>
      <c r="I1903" s="26">
        <v>2600</v>
      </c>
      <c r="J1903" s="26"/>
      <c r="K1903" s="26">
        <f t="shared" si="336"/>
        <v>2600</v>
      </c>
      <c r="L1903" s="80"/>
      <c r="M1903" s="26"/>
      <c r="N1903" s="26"/>
      <c r="O1903" s="26">
        <f t="shared" si="337"/>
        <v>0</v>
      </c>
      <c r="P1903" s="80"/>
      <c r="Q1903" s="26">
        <f t="shared" si="333"/>
        <v>2600</v>
      </c>
      <c r="R1903" s="26">
        <f t="shared" si="334"/>
        <v>0</v>
      </c>
      <c r="S1903" s="26">
        <f t="shared" si="335"/>
        <v>2600</v>
      </c>
    </row>
    <row r="1904" spans="1:19" x14ac:dyDescent="0.2">
      <c r="B1904" s="79">
        <f t="shared" si="332"/>
        <v>33</v>
      </c>
      <c r="C1904" s="4"/>
      <c r="D1904" s="4"/>
      <c r="E1904" s="4"/>
      <c r="F1904" s="56"/>
      <c r="G1904" s="4"/>
      <c r="H1904" s="4" t="s">
        <v>755</v>
      </c>
      <c r="I1904" s="26">
        <v>7700</v>
      </c>
      <c r="J1904" s="26"/>
      <c r="K1904" s="26">
        <f t="shared" si="336"/>
        <v>7700</v>
      </c>
      <c r="L1904" s="80"/>
      <c r="M1904" s="26"/>
      <c r="N1904" s="26"/>
      <c r="O1904" s="26">
        <f t="shared" si="337"/>
        <v>0</v>
      </c>
      <c r="P1904" s="80"/>
      <c r="Q1904" s="26">
        <f t="shared" si="333"/>
        <v>7700</v>
      </c>
      <c r="R1904" s="26">
        <f t="shared" si="334"/>
        <v>0</v>
      </c>
      <c r="S1904" s="26">
        <f t="shared" si="335"/>
        <v>7700</v>
      </c>
    </row>
    <row r="1905" spans="2:19" ht="15" x14ac:dyDescent="0.2">
      <c r="B1905" s="79">
        <f t="shared" si="332"/>
        <v>34</v>
      </c>
      <c r="C1905" s="191">
        <v>3</v>
      </c>
      <c r="D1905" s="245" t="s">
        <v>142</v>
      </c>
      <c r="E1905" s="246"/>
      <c r="F1905" s="246"/>
      <c r="G1905" s="246"/>
      <c r="H1905" s="247"/>
      <c r="I1905" s="48">
        <f>I1906+I1907+I1914</f>
        <v>163900</v>
      </c>
      <c r="J1905" s="48">
        <f>J1906+J1907+J1914</f>
        <v>0</v>
      </c>
      <c r="K1905" s="48">
        <f t="shared" si="336"/>
        <v>163900</v>
      </c>
      <c r="L1905" s="201"/>
      <c r="M1905" s="48">
        <f>M1911+M1914</f>
        <v>10300</v>
      </c>
      <c r="N1905" s="48">
        <f>N1911+N1914</f>
        <v>0</v>
      </c>
      <c r="O1905" s="48">
        <f t="shared" si="337"/>
        <v>10300</v>
      </c>
      <c r="P1905" s="201"/>
      <c r="Q1905" s="48">
        <f t="shared" si="333"/>
        <v>174200</v>
      </c>
      <c r="R1905" s="48">
        <f t="shared" si="334"/>
        <v>0</v>
      </c>
      <c r="S1905" s="48">
        <f t="shared" si="335"/>
        <v>174200</v>
      </c>
    </row>
    <row r="1906" spans="2:19" x14ac:dyDescent="0.2">
      <c r="B1906" s="79">
        <f t="shared" si="332"/>
        <v>35</v>
      </c>
      <c r="C1906" s="15"/>
      <c r="D1906" s="15"/>
      <c r="E1906" s="15"/>
      <c r="F1906" s="55" t="s">
        <v>75</v>
      </c>
      <c r="G1906" s="15">
        <v>620</v>
      </c>
      <c r="H1906" s="15" t="s">
        <v>131</v>
      </c>
      <c r="I1906" s="52">
        <v>2400</v>
      </c>
      <c r="J1906" s="52"/>
      <c r="K1906" s="52">
        <f t="shared" si="336"/>
        <v>2400</v>
      </c>
      <c r="L1906" s="126"/>
      <c r="M1906" s="52"/>
      <c r="N1906" s="52"/>
      <c r="O1906" s="52">
        <f t="shared" si="337"/>
        <v>0</v>
      </c>
      <c r="P1906" s="126"/>
      <c r="Q1906" s="52">
        <f t="shared" si="333"/>
        <v>2400</v>
      </c>
      <c r="R1906" s="52">
        <f t="shared" si="334"/>
        <v>0</v>
      </c>
      <c r="S1906" s="52">
        <f t="shared" si="335"/>
        <v>2400</v>
      </c>
    </row>
    <row r="1907" spans="2:19" x14ac:dyDescent="0.2">
      <c r="B1907" s="79">
        <f t="shared" si="332"/>
        <v>36</v>
      </c>
      <c r="C1907" s="15"/>
      <c r="D1907" s="15"/>
      <c r="E1907" s="15"/>
      <c r="F1907" s="55" t="s">
        <v>75</v>
      </c>
      <c r="G1907" s="15">
        <v>630</v>
      </c>
      <c r="H1907" s="15" t="s">
        <v>128</v>
      </c>
      <c r="I1907" s="52">
        <f>I1908+I1909+I1910</f>
        <v>26700</v>
      </c>
      <c r="J1907" s="52">
        <f>J1908+J1909+J1910</f>
        <v>0</v>
      </c>
      <c r="K1907" s="52">
        <f t="shared" si="336"/>
        <v>26700</v>
      </c>
      <c r="L1907" s="126"/>
      <c r="M1907" s="52">
        <v>0</v>
      </c>
      <c r="N1907" s="52"/>
      <c r="O1907" s="52">
        <f t="shared" si="337"/>
        <v>0</v>
      </c>
      <c r="P1907" s="126"/>
      <c r="Q1907" s="52">
        <f t="shared" si="333"/>
        <v>26700</v>
      </c>
      <c r="R1907" s="52">
        <f t="shared" si="334"/>
        <v>0</v>
      </c>
      <c r="S1907" s="52">
        <f t="shared" si="335"/>
        <v>26700</v>
      </c>
    </row>
    <row r="1908" spans="2:19" x14ac:dyDescent="0.2">
      <c r="B1908" s="79">
        <f t="shared" si="332"/>
        <v>37</v>
      </c>
      <c r="C1908" s="4"/>
      <c r="D1908" s="4"/>
      <c r="E1908" s="4"/>
      <c r="F1908" s="56" t="s">
        <v>75</v>
      </c>
      <c r="G1908" s="4">
        <v>633</v>
      </c>
      <c r="H1908" s="4" t="s">
        <v>132</v>
      </c>
      <c r="I1908" s="26">
        <v>5000</v>
      </c>
      <c r="J1908" s="26"/>
      <c r="K1908" s="26">
        <f t="shared" si="336"/>
        <v>5000</v>
      </c>
      <c r="L1908" s="80"/>
      <c r="M1908" s="26"/>
      <c r="N1908" s="26"/>
      <c r="O1908" s="26">
        <f t="shared" si="337"/>
        <v>0</v>
      </c>
      <c r="P1908" s="80"/>
      <c r="Q1908" s="26">
        <f t="shared" si="333"/>
        <v>5000</v>
      </c>
      <c r="R1908" s="26">
        <f t="shared" si="334"/>
        <v>0</v>
      </c>
      <c r="S1908" s="26">
        <f t="shared" si="335"/>
        <v>5000</v>
      </c>
    </row>
    <row r="1909" spans="2:19" x14ac:dyDescent="0.2">
      <c r="B1909" s="79">
        <f t="shared" si="332"/>
        <v>38</v>
      </c>
      <c r="C1909" s="4"/>
      <c r="D1909" s="4"/>
      <c r="E1909" s="4"/>
      <c r="F1909" s="56" t="s">
        <v>75</v>
      </c>
      <c r="G1909" s="4">
        <v>637</v>
      </c>
      <c r="H1909" s="4" t="s">
        <v>129</v>
      </c>
      <c r="I1909" s="26">
        <f>12200-2500</f>
        <v>9700</v>
      </c>
      <c r="J1909" s="26"/>
      <c r="K1909" s="26">
        <f t="shared" si="336"/>
        <v>9700</v>
      </c>
      <c r="L1909" s="80"/>
      <c r="M1909" s="26"/>
      <c r="N1909" s="26"/>
      <c r="O1909" s="26">
        <f t="shared" si="337"/>
        <v>0</v>
      </c>
      <c r="P1909" s="80"/>
      <c r="Q1909" s="26">
        <f t="shared" si="333"/>
        <v>9700</v>
      </c>
      <c r="R1909" s="26">
        <f t="shared" si="334"/>
        <v>0</v>
      </c>
      <c r="S1909" s="26">
        <f t="shared" si="335"/>
        <v>9700</v>
      </c>
    </row>
    <row r="1910" spans="2:19" x14ac:dyDescent="0.2">
      <c r="B1910" s="79">
        <f t="shared" si="332"/>
        <v>39</v>
      </c>
      <c r="C1910" s="4"/>
      <c r="D1910" s="4"/>
      <c r="E1910" s="4"/>
      <c r="F1910" s="56" t="s">
        <v>75</v>
      </c>
      <c r="G1910" s="4">
        <v>630</v>
      </c>
      <c r="H1910" s="4" t="s">
        <v>143</v>
      </c>
      <c r="I1910" s="62">
        <f>500+9000+2500</f>
        <v>12000</v>
      </c>
      <c r="J1910" s="62"/>
      <c r="K1910" s="62">
        <f t="shared" si="336"/>
        <v>12000</v>
      </c>
      <c r="L1910" s="80"/>
      <c r="M1910" s="26"/>
      <c r="N1910" s="26"/>
      <c r="O1910" s="26">
        <f t="shared" si="337"/>
        <v>0</v>
      </c>
      <c r="P1910" s="80"/>
      <c r="Q1910" s="26">
        <f t="shared" si="333"/>
        <v>12000</v>
      </c>
      <c r="R1910" s="26">
        <f t="shared" si="334"/>
        <v>0</v>
      </c>
      <c r="S1910" s="26">
        <f t="shared" si="335"/>
        <v>12000</v>
      </c>
    </row>
    <row r="1911" spans="2:19" x14ac:dyDescent="0.2">
      <c r="B1911" s="79">
        <f t="shared" si="332"/>
        <v>40</v>
      </c>
      <c r="C1911" s="4"/>
      <c r="D1911" s="4"/>
      <c r="E1911" s="4"/>
      <c r="F1911" s="55" t="s">
        <v>189</v>
      </c>
      <c r="G1911" s="15">
        <v>710</v>
      </c>
      <c r="H1911" s="15" t="s">
        <v>184</v>
      </c>
      <c r="I1911" s="52">
        <v>0</v>
      </c>
      <c r="J1911" s="52"/>
      <c r="K1911" s="52">
        <f t="shared" si="336"/>
        <v>0</v>
      </c>
      <c r="L1911" s="126"/>
      <c r="M1911" s="52">
        <f>M1912</f>
        <v>5300</v>
      </c>
      <c r="N1911" s="52">
        <f>N1912</f>
        <v>0</v>
      </c>
      <c r="O1911" s="52">
        <f t="shared" si="337"/>
        <v>5300</v>
      </c>
      <c r="P1911" s="126"/>
      <c r="Q1911" s="52">
        <f t="shared" si="333"/>
        <v>5300</v>
      </c>
      <c r="R1911" s="52">
        <f t="shared" si="334"/>
        <v>0</v>
      </c>
      <c r="S1911" s="52">
        <f t="shared" si="335"/>
        <v>5300</v>
      </c>
    </row>
    <row r="1912" spans="2:19" x14ac:dyDescent="0.2">
      <c r="B1912" s="79">
        <f t="shared" si="332"/>
        <v>41</v>
      </c>
      <c r="C1912" s="4"/>
      <c r="D1912" s="4"/>
      <c r="E1912" s="4"/>
      <c r="F1912" s="89" t="s">
        <v>189</v>
      </c>
      <c r="G1912" s="90">
        <v>716</v>
      </c>
      <c r="H1912" s="90" t="s">
        <v>0</v>
      </c>
      <c r="I1912" s="91"/>
      <c r="J1912" s="91"/>
      <c r="K1912" s="91">
        <f t="shared" si="336"/>
        <v>0</v>
      </c>
      <c r="L1912" s="80"/>
      <c r="M1912" s="91">
        <f>M1913</f>
        <v>5300</v>
      </c>
      <c r="N1912" s="91">
        <f>N1913</f>
        <v>0</v>
      </c>
      <c r="O1912" s="91">
        <f t="shared" si="337"/>
        <v>5300</v>
      </c>
      <c r="P1912" s="80"/>
      <c r="Q1912" s="91">
        <f t="shared" si="333"/>
        <v>5300</v>
      </c>
      <c r="R1912" s="91">
        <f t="shared" si="334"/>
        <v>0</v>
      </c>
      <c r="S1912" s="91">
        <f t="shared" si="335"/>
        <v>5300</v>
      </c>
    </row>
    <row r="1913" spans="2:19" ht="24" x14ac:dyDescent="0.2">
      <c r="B1913" s="79">
        <f t="shared" si="332"/>
        <v>42</v>
      </c>
      <c r="C1913" s="4"/>
      <c r="D1913" s="4"/>
      <c r="E1913" s="4"/>
      <c r="F1913" s="76"/>
      <c r="G1913" s="72"/>
      <c r="H1913" s="84" t="s">
        <v>667</v>
      </c>
      <c r="I1913" s="74"/>
      <c r="J1913" s="74"/>
      <c r="K1913" s="74">
        <f t="shared" si="336"/>
        <v>0</v>
      </c>
      <c r="L1913" s="206"/>
      <c r="M1913" s="69">
        <v>5300</v>
      </c>
      <c r="N1913" s="69"/>
      <c r="O1913" s="69">
        <f t="shared" si="337"/>
        <v>5300</v>
      </c>
      <c r="P1913" s="166"/>
      <c r="Q1913" s="69">
        <f t="shared" si="333"/>
        <v>5300</v>
      </c>
      <c r="R1913" s="69">
        <f t="shared" si="334"/>
        <v>0</v>
      </c>
      <c r="S1913" s="69">
        <f t="shared" si="335"/>
        <v>5300</v>
      </c>
    </row>
    <row r="1914" spans="2:19" ht="15" x14ac:dyDescent="0.25">
      <c r="B1914" s="79">
        <f t="shared" si="332"/>
        <v>43</v>
      </c>
      <c r="C1914" s="18"/>
      <c r="D1914" s="18"/>
      <c r="E1914" s="18">
        <v>2</v>
      </c>
      <c r="F1914" s="53"/>
      <c r="G1914" s="18"/>
      <c r="H1914" s="18" t="s">
        <v>257</v>
      </c>
      <c r="I1914" s="50">
        <f>I1915</f>
        <v>134800</v>
      </c>
      <c r="J1914" s="50">
        <f>J1915</f>
        <v>0</v>
      </c>
      <c r="K1914" s="50">
        <f t="shared" si="336"/>
        <v>134800</v>
      </c>
      <c r="L1914" s="203"/>
      <c r="M1914" s="50">
        <f>M1915+M1924</f>
        <v>5000</v>
      </c>
      <c r="N1914" s="50">
        <f>N1915+N1924</f>
        <v>0</v>
      </c>
      <c r="O1914" s="50">
        <f t="shared" si="337"/>
        <v>5000</v>
      </c>
      <c r="P1914" s="203"/>
      <c r="Q1914" s="50">
        <f t="shared" si="333"/>
        <v>139800</v>
      </c>
      <c r="R1914" s="50">
        <f t="shared" si="334"/>
        <v>0</v>
      </c>
      <c r="S1914" s="50">
        <f t="shared" si="335"/>
        <v>139800</v>
      </c>
    </row>
    <row r="1915" spans="2:19" x14ac:dyDescent="0.2">
      <c r="B1915" s="79">
        <f t="shared" si="332"/>
        <v>44</v>
      </c>
      <c r="C1915" s="15"/>
      <c r="D1915" s="15"/>
      <c r="E1915" s="15"/>
      <c r="F1915" s="55" t="s">
        <v>75</v>
      </c>
      <c r="G1915" s="15">
        <v>630</v>
      </c>
      <c r="H1915" s="15" t="s">
        <v>128</v>
      </c>
      <c r="I1915" s="52">
        <f>I1923+I1921+I1917+I1916+I1922+I1918+I1919+I1920</f>
        <v>134800</v>
      </c>
      <c r="J1915" s="52">
        <f>J1923+J1921+J1917+J1916+J1922+J1918+J1919+J1920</f>
        <v>0</v>
      </c>
      <c r="K1915" s="52">
        <f t="shared" si="336"/>
        <v>134800</v>
      </c>
      <c r="L1915" s="126"/>
      <c r="M1915" s="52">
        <f>M1923+M1921+M1917+M1916</f>
        <v>0</v>
      </c>
      <c r="N1915" s="52">
        <f>N1923+N1921+N1917+N1916</f>
        <v>0</v>
      </c>
      <c r="O1915" s="52">
        <f t="shared" si="337"/>
        <v>0</v>
      </c>
      <c r="P1915" s="126"/>
      <c r="Q1915" s="52">
        <f t="shared" si="333"/>
        <v>134800</v>
      </c>
      <c r="R1915" s="52">
        <f t="shared" si="334"/>
        <v>0</v>
      </c>
      <c r="S1915" s="52">
        <f t="shared" si="335"/>
        <v>134800</v>
      </c>
    </row>
    <row r="1916" spans="2:19" x14ac:dyDescent="0.2">
      <c r="B1916" s="79">
        <f t="shared" si="332"/>
        <v>45</v>
      </c>
      <c r="C1916" s="4"/>
      <c r="D1916" s="4"/>
      <c r="E1916" s="4"/>
      <c r="F1916" s="56" t="s">
        <v>75</v>
      </c>
      <c r="G1916" s="4">
        <v>632</v>
      </c>
      <c r="H1916" s="4" t="s">
        <v>139</v>
      </c>
      <c r="I1916" s="26">
        <v>114000</v>
      </c>
      <c r="J1916" s="26"/>
      <c r="K1916" s="26">
        <f t="shared" si="336"/>
        <v>114000</v>
      </c>
      <c r="L1916" s="80"/>
      <c r="M1916" s="26"/>
      <c r="N1916" s="26"/>
      <c r="O1916" s="26">
        <f t="shared" si="337"/>
        <v>0</v>
      </c>
      <c r="P1916" s="80"/>
      <c r="Q1916" s="26">
        <f t="shared" si="333"/>
        <v>114000</v>
      </c>
      <c r="R1916" s="26">
        <f t="shared" si="334"/>
        <v>0</v>
      </c>
      <c r="S1916" s="26">
        <f t="shared" si="335"/>
        <v>114000</v>
      </c>
    </row>
    <row r="1917" spans="2:19" x14ac:dyDescent="0.2">
      <c r="B1917" s="79">
        <f t="shared" si="332"/>
        <v>46</v>
      </c>
      <c r="C1917" s="4"/>
      <c r="D1917" s="4"/>
      <c r="E1917" s="4"/>
      <c r="F1917" s="56" t="s">
        <v>75</v>
      </c>
      <c r="G1917" s="4">
        <v>633</v>
      </c>
      <c r="H1917" s="4" t="s">
        <v>132</v>
      </c>
      <c r="I1917" s="26">
        <v>2500</v>
      </c>
      <c r="J1917" s="26"/>
      <c r="K1917" s="26">
        <f t="shared" si="336"/>
        <v>2500</v>
      </c>
      <c r="L1917" s="80"/>
      <c r="M1917" s="26"/>
      <c r="N1917" s="26"/>
      <c r="O1917" s="26">
        <f t="shared" si="337"/>
        <v>0</v>
      </c>
      <c r="P1917" s="80"/>
      <c r="Q1917" s="26">
        <f t="shared" si="333"/>
        <v>2500</v>
      </c>
      <c r="R1917" s="26">
        <f t="shared" si="334"/>
        <v>0</v>
      </c>
      <c r="S1917" s="26">
        <f t="shared" si="335"/>
        <v>2500</v>
      </c>
    </row>
    <row r="1918" spans="2:19" x14ac:dyDescent="0.2">
      <c r="B1918" s="79">
        <f t="shared" si="332"/>
        <v>47</v>
      </c>
      <c r="C1918" s="82"/>
      <c r="D1918" s="82"/>
      <c r="E1918" s="82"/>
      <c r="F1918" s="158" t="s">
        <v>75</v>
      </c>
      <c r="G1918" s="154">
        <v>633</v>
      </c>
      <c r="H1918" s="155" t="s">
        <v>576</v>
      </c>
      <c r="I1918" s="150">
        <v>1000</v>
      </c>
      <c r="J1918" s="150"/>
      <c r="K1918" s="150">
        <f t="shared" si="336"/>
        <v>1000</v>
      </c>
      <c r="L1918" s="166"/>
      <c r="M1918" s="150"/>
      <c r="N1918" s="150"/>
      <c r="O1918" s="150">
        <f t="shared" si="337"/>
        <v>0</v>
      </c>
      <c r="P1918" s="166"/>
      <c r="Q1918" s="150">
        <f>M1918+I1918</f>
        <v>1000</v>
      </c>
      <c r="R1918" s="150">
        <f t="shared" ref="R1918:S1920" si="338">N1918+J1918</f>
        <v>0</v>
      </c>
      <c r="S1918" s="150">
        <f t="shared" si="338"/>
        <v>1000</v>
      </c>
    </row>
    <row r="1919" spans="2:19" x14ac:dyDescent="0.2">
      <c r="B1919" s="79">
        <f t="shared" si="332"/>
        <v>48</v>
      </c>
      <c r="C1919" s="82"/>
      <c r="D1919" s="82"/>
      <c r="E1919" s="82"/>
      <c r="F1919" s="158" t="s">
        <v>75</v>
      </c>
      <c r="G1919" s="154">
        <v>633</v>
      </c>
      <c r="H1919" s="155" t="s">
        <v>577</v>
      </c>
      <c r="I1919" s="150">
        <v>1000</v>
      </c>
      <c r="J1919" s="150"/>
      <c r="K1919" s="150">
        <f t="shared" si="336"/>
        <v>1000</v>
      </c>
      <c r="L1919" s="166"/>
      <c r="M1919" s="150"/>
      <c r="N1919" s="150"/>
      <c r="O1919" s="150">
        <f t="shared" si="337"/>
        <v>0</v>
      </c>
      <c r="P1919" s="166"/>
      <c r="Q1919" s="150">
        <f t="shared" ref="Q1919:Q1920" si="339">M1919+I1919</f>
        <v>1000</v>
      </c>
      <c r="R1919" s="150">
        <f t="shared" si="338"/>
        <v>0</v>
      </c>
      <c r="S1919" s="150">
        <f t="shared" si="338"/>
        <v>1000</v>
      </c>
    </row>
    <row r="1920" spans="2:19" x14ac:dyDescent="0.2">
      <c r="B1920" s="79">
        <f t="shared" si="332"/>
        <v>49</v>
      </c>
      <c r="C1920" s="82"/>
      <c r="D1920" s="82"/>
      <c r="E1920" s="82"/>
      <c r="F1920" s="158" t="s">
        <v>75</v>
      </c>
      <c r="G1920" s="154">
        <v>633</v>
      </c>
      <c r="H1920" s="155" t="s">
        <v>578</v>
      </c>
      <c r="I1920" s="150">
        <v>1000</v>
      </c>
      <c r="J1920" s="150"/>
      <c r="K1920" s="150">
        <f t="shared" si="336"/>
        <v>1000</v>
      </c>
      <c r="L1920" s="166"/>
      <c r="M1920" s="150"/>
      <c r="N1920" s="150"/>
      <c r="O1920" s="150">
        <f t="shared" si="337"/>
        <v>0</v>
      </c>
      <c r="P1920" s="166"/>
      <c r="Q1920" s="150">
        <f t="shared" si="339"/>
        <v>1000</v>
      </c>
      <c r="R1920" s="150">
        <f t="shared" si="338"/>
        <v>0</v>
      </c>
      <c r="S1920" s="150">
        <f t="shared" si="338"/>
        <v>1000</v>
      </c>
    </row>
    <row r="1921" spans="2:19" x14ac:dyDescent="0.2">
      <c r="B1921" s="79">
        <f t="shared" si="332"/>
        <v>50</v>
      </c>
      <c r="C1921" s="4"/>
      <c r="D1921" s="4"/>
      <c r="E1921" s="4"/>
      <c r="F1921" s="56" t="s">
        <v>75</v>
      </c>
      <c r="G1921" s="4">
        <v>635</v>
      </c>
      <c r="H1921" s="4" t="s">
        <v>138</v>
      </c>
      <c r="I1921" s="26">
        <f>10500-1000-2000</f>
        <v>7500</v>
      </c>
      <c r="J1921" s="26"/>
      <c r="K1921" s="26">
        <f t="shared" si="336"/>
        <v>7500</v>
      </c>
      <c r="L1921" s="80"/>
      <c r="M1921" s="26"/>
      <c r="N1921" s="26"/>
      <c r="O1921" s="26">
        <f t="shared" si="337"/>
        <v>0</v>
      </c>
      <c r="P1921" s="80"/>
      <c r="Q1921" s="26">
        <f t="shared" si="333"/>
        <v>7500</v>
      </c>
      <c r="R1921" s="26">
        <f t="shared" ref="R1921" si="340">J1921+N1921</f>
        <v>0</v>
      </c>
      <c r="S1921" s="26">
        <f t="shared" ref="S1921" si="341">K1921+O1921</f>
        <v>7500</v>
      </c>
    </row>
    <row r="1922" spans="2:19" ht="24" x14ac:dyDescent="0.2">
      <c r="B1922" s="79">
        <f t="shared" si="332"/>
        <v>51</v>
      </c>
      <c r="C1922" s="4"/>
      <c r="D1922" s="4"/>
      <c r="E1922" s="4"/>
      <c r="F1922" s="83" t="s">
        <v>75</v>
      </c>
      <c r="G1922" s="82">
        <v>635</v>
      </c>
      <c r="H1922" s="135" t="s">
        <v>546</v>
      </c>
      <c r="I1922" s="131">
        <f>3000-3000</f>
        <v>0</v>
      </c>
      <c r="J1922" s="131"/>
      <c r="K1922" s="131">
        <f t="shared" si="336"/>
        <v>0</v>
      </c>
      <c r="L1922" s="166"/>
      <c r="M1922" s="131"/>
      <c r="N1922" s="131"/>
      <c r="O1922" s="131">
        <f t="shared" si="337"/>
        <v>0</v>
      </c>
      <c r="P1922" s="166"/>
      <c r="Q1922" s="131">
        <f>I1922</f>
        <v>0</v>
      </c>
      <c r="R1922" s="131">
        <f t="shared" ref="R1922:S1922" si="342">J1922</f>
        <v>0</v>
      </c>
      <c r="S1922" s="131">
        <f t="shared" si="342"/>
        <v>0</v>
      </c>
    </row>
    <row r="1923" spans="2:19" x14ac:dyDescent="0.2">
      <c r="B1923" s="79">
        <f t="shared" si="332"/>
        <v>52</v>
      </c>
      <c r="C1923" s="4"/>
      <c r="D1923" s="4"/>
      <c r="E1923" s="4"/>
      <c r="F1923" s="56" t="s">
        <v>75</v>
      </c>
      <c r="G1923" s="4">
        <v>637</v>
      </c>
      <c r="H1923" s="4" t="s">
        <v>129</v>
      </c>
      <c r="I1923" s="26">
        <v>7800</v>
      </c>
      <c r="J1923" s="26"/>
      <c r="K1923" s="26">
        <f t="shared" si="336"/>
        <v>7800</v>
      </c>
      <c r="L1923" s="80"/>
      <c r="M1923" s="26"/>
      <c r="N1923" s="26"/>
      <c r="O1923" s="26">
        <f t="shared" si="337"/>
        <v>0</v>
      </c>
      <c r="P1923" s="80"/>
      <c r="Q1923" s="26">
        <f t="shared" si="333"/>
        <v>7800</v>
      </c>
      <c r="R1923" s="26">
        <f t="shared" ref="R1923:R1930" si="343">J1923+N1923</f>
        <v>0</v>
      </c>
      <c r="S1923" s="26">
        <f t="shared" ref="S1923:S1930" si="344">K1923+O1923</f>
        <v>7800</v>
      </c>
    </row>
    <row r="1924" spans="2:19" x14ac:dyDescent="0.2">
      <c r="B1924" s="79">
        <f t="shared" si="332"/>
        <v>53</v>
      </c>
      <c r="C1924" s="4"/>
      <c r="D1924" s="4"/>
      <c r="E1924" s="4"/>
      <c r="F1924" s="55" t="s">
        <v>75</v>
      </c>
      <c r="G1924" s="15">
        <v>710</v>
      </c>
      <c r="H1924" s="15" t="s">
        <v>184</v>
      </c>
      <c r="I1924" s="52">
        <v>0</v>
      </c>
      <c r="J1924" s="52">
        <v>0</v>
      </c>
      <c r="K1924" s="52">
        <f t="shared" si="336"/>
        <v>0</v>
      </c>
      <c r="L1924" s="126"/>
      <c r="M1924" s="52">
        <f>M1925</f>
        <v>5000</v>
      </c>
      <c r="N1924" s="52">
        <f>N1925</f>
        <v>0</v>
      </c>
      <c r="O1924" s="52">
        <f t="shared" si="337"/>
        <v>5000</v>
      </c>
      <c r="P1924" s="126"/>
      <c r="Q1924" s="52">
        <f t="shared" si="333"/>
        <v>5000</v>
      </c>
      <c r="R1924" s="52">
        <f t="shared" si="343"/>
        <v>0</v>
      </c>
      <c r="S1924" s="52">
        <f t="shared" si="344"/>
        <v>5000</v>
      </c>
    </row>
    <row r="1925" spans="2:19" x14ac:dyDescent="0.2">
      <c r="B1925" s="79">
        <f t="shared" si="332"/>
        <v>54</v>
      </c>
      <c r="C1925" s="4"/>
      <c r="D1925" s="4"/>
      <c r="E1925" s="4"/>
      <c r="F1925" s="89" t="s">
        <v>75</v>
      </c>
      <c r="G1925" s="90">
        <v>717</v>
      </c>
      <c r="H1925" s="90" t="s">
        <v>0</v>
      </c>
      <c r="I1925" s="91"/>
      <c r="J1925" s="91"/>
      <c r="K1925" s="91">
        <f t="shared" si="336"/>
        <v>0</v>
      </c>
      <c r="L1925" s="80"/>
      <c r="M1925" s="91">
        <f>M1926</f>
        <v>5000</v>
      </c>
      <c r="N1925" s="91">
        <f>N1926</f>
        <v>0</v>
      </c>
      <c r="O1925" s="91">
        <f t="shared" si="337"/>
        <v>5000</v>
      </c>
      <c r="P1925" s="80"/>
      <c r="Q1925" s="91">
        <f t="shared" si="333"/>
        <v>5000</v>
      </c>
      <c r="R1925" s="91">
        <f t="shared" si="343"/>
        <v>0</v>
      </c>
      <c r="S1925" s="91">
        <f t="shared" si="344"/>
        <v>5000</v>
      </c>
    </row>
    <row r="1926" spans="2:19" ht="24" x14ac:dyDescent="0.2">
      <c r="B1926" s="79">
        <f t="shared" si="332"/>
        <v>55</v>
      </c>
      <c r="C1926" s="4"/>
      <c r="D1926" s="4"/>
      <c r="E1926" s="4"/>
      <c r="F1926" s="76"/>
      <c r="G1926" s="72"/>
      <c r="H1926" s="84" t="s">
        <v>546</v>
      </c>
      <c r="I1926" s="74"/>
      <c r="J1926" s="74"/>
      <c r="K1926" s="74">
        <f t="shared" si="336"/>
        <v>0</v>
      </c>
      <c r="L1926" s="206"/>
      <c r="M1926" s="69">
        <v>5000</v>
      </c>
      <c r="N1926" s="69"/>
      <c r="O1926" s="69">
        <f t="shared" si="337"/>
        <v>5000</v>
      </c>
      <c r="P1926" s="166"/>
      <c r="Q1926" s="69">
        <f t="shared" si="333"/>
        <v>5000</v>
      </c>
      <c r="R1926" s="69">
        <f t="shared" si="343"/>
        <v>0</v>
      </c>
      <c r="S1926" s="69">
        <f t="shared" si="344"/>
        <v>5000</v>
      </c>
    </row>
    <row r="1927" spans="2:19" ht="15" x14ac:dyDescent="0.2">
      <c r="B1927" s="79">
        <f t="shared" si="332"/>
        <v>56</v>
      </c>
      <c r="C1927" s="191">
        <v>4</v>
      </c>
      <c r="D1927" s="245" t="s">
        <v>204</v>
      </c>
      <c r="E1927" s="246"/>
      <c r="F1927" s="246"/>
      <c r="G1927" s="246"/>
      <c r="H1927" s="247"/>
      <c r="I1927" s="48">
        <f>I1928</f>
        <v>0</v>
      </c>
      <c r="J1927" s="48">
        <f>J1928</f>
        <v>0</v>
      </c>
      <c r="K1927" s="48">
        <f t="shared" si="336"/>
        <v>0</v>
      </c>
      <c r="L1927" s="201"/>
      <c r="M1927" s="48">
        <f>M1928</f>
        <v>18320</v>
      </c>
      <c r="N1927" s="48">
        <f>N1928</f>
        <v>0</v>
      </c>
      <c r="O1927" s="48">
        <f t="shared" si="337"/>
        <v>18320</v>
      </c>
      <c r="P1927" s="201"/>
      <c r="Q1927" s="48">
        <f t="shared" si="333"/>
        <v>18320</v>
      </c>
      <c r="R1927" s="48">
        <f t="shared" si="343"/>
        <v>0</v>
      </c>
      <c r="S1927" s="48">
        <f t="shared" si="344"/>
        <v>18320</v>
      </c>
    </row>
    <row r="1928" spans="2:19" x14ac:dyDescent="0.2">
      <c r="B1928" s="79">
        <f t="shared" si="332"/>
        <v>57</v>
      </c>
      <c r="C1928" s="15"/>
      <c r="D1928" s="15"/>
      <c r="E1928" s="15"/>
      <c r="F1928" s="55" t="s">
        <v>75</v>
      </c>
      <c r="G1928" s="15">
        <v>710</v>
      </c>
      <c r="H1928" s="15" t="s">
        <v>184</v>
      </c>
      <c r="I1928" s="52">
        <f>I1929</f>
        <v>0</v>
      </c>
      <c r="J1928" s="52">
        <f>J1929</f>
        <v>0</v>
      </c>
      <c r="K1928" s="52">
        <f t="shared" si="336"/>
        <v>0</v>
      </c>
      <c r="L1928" s="126"/>
      <c r="M1928" s="52">
        <f>M1929</f>
        <v>18320</v>
      </c>
      <c r="N1928" s="52">
        <f>N1929</f>
        <v>0</v>
      </c>
      <c r="O1928" s="52">
        <f t="shared" si="337"/>
        <v>18320</v>
      </c>
      <c r="P1928" s="126"/>
      <c r="Q1928" s="52">
        <f t="shared" si="333"/>
        <v>18320</v>
      </c>
      <c r="R1928" s="52">
        <f t="shared" si="343"/>
        <v>0</v>
      </c>
      <c r="S1928" s="52">
        <f t="shared" si="344"/>
        <v>18320</v>
      </c>
    </row>
    <row r="1929" spans="2:19" x14ac:dyDescent="0.2">
      <c r="B1929" s="79">
        <f t="shared" si="332"/>
        <v>58</v>
      </c>
      <c r="C1929" s="4"/>
      <c r="D1929" s="4"/>
      <c r="E1929" s="4"/>
      <c r="F1929" s="89" t="s">
        <v>75</v>
      </c>
      <c r="G1929" s="90">
        <v>717</v>
      </c>
      <c r="H1929" s="90" t="s">
        <v>194</v>
      </c>
      <c r="I1929" s="91"/>
      <c r="J1929" s="91"/>
      <c r="K1929" s="91">
        <f t="shared" si="336"/>
        <v>0</v>
      </c>
      <c r="L1929" s="80"/>
      <c r="M1929" s="91">
        <v>18320</v>
      </c>
      <c r="N1929" s="91"/>
      <c r="O1929" s="91">
        <f t="shared" si="337"/>
        <v>18320</v>
      </c>
      <c r="P1929" s="80"/>
      <c r="Q1929" s="91">
        <f t="shared" si="333"/>
        <v>18320</v>
      </c>
      <c r="R1929" s="91">
        <f t="shared" si="343"/>
        <v>0</v>
      </c>
      <c r="S1929" s="91">
        <f t="shared" si="344"/>
        <v>18320</v>
      </c>
    </row>
    <row r="1930" spans="2:19" x14ac:dyDescent="0.2">
      <c r="B1930" s="79">
        <f t="shared" si="332"/>
        <v>59</v>
      </c>
      <c r="C1930" s="4"/>
      <c r="D1930" s="4"/>
      <c r="E1930" s="4"/>
      <c r="F1930" s="56"/>
      <c r="G1930" s="4"/>
      <c r="H1930" s="4" t="s">
        <v>386</v>
      </c>
      <c r="I1930" s="26"/>
      <c r="J1930" s="26"/>
      <c r="K1930" s="26">
        <f t="shared" si="336"/>
        <v>0</v>
      </c>
      <c r="L1930" s="80"/>
      <c r="M1930" s="26">
        <v>18320</v>
      </c>
      <c r="N1930" s="26"/>
      <c r="O1930" s="26">
        <f t="shared" si="337"/>
        <v>18320</v>
      </c>
      <c r="P1930" s="80"/>
      <c r="Q1930" s="26">
        <f t="shared" si="333"/>
        <v>18320</v>
      </c>
      <c r="R1930" s="26">
        <f t="shared" si="343"/>
        <v>0</v>
      </c>
      <c r="S1930" s="26">
        <f t="shared" si="344"/>
        <v>18320</v>
      </c>
    </row>
    <row r="2003" spans="2:19" ht="27" x14ac:dyDescent="0.35">
      <c r="B2003" s="248" t="s">
        <v>307</v>
      </c>
      <c r="C2003" s="249"/>
      <c r="D2003" s="249"/>
      <c r="E2003" s="249"/>
      <c r="F2003" s="249"/>
      <c r="G2003" s="249"/>
      <c r="H2003" s="249"/>
      <c r="I2003" s="249"/>
      <c r="J2003" s="249"/>
      <c r="K2003" s="249"/>
      <c r="L2003" s="249"/>
      <c r="M2003" s="249"/>
      <c r="N2003" s="249"/>
      <c r="O2003" s="249"/>
      <c r="P2003" s="249"/>
      <c r="Q2003" s="249"/>
    </row>
    <row r="2004" spans="2:19" ht="12.75" customHeight="1" x14ac:dyDescent="0.2">
      <c r="B2004" s="260" t="s">
        <v>281</v>
      </c>
      <c r="C2004" s="261"/>
      <c r="D2004" s="261"/>
      <c r="E2004" s="261"/>
      <c r="F2004" s="261"/>
      <c r="G2004" s="261"/>
      <c r="H2004" s="261"/>
      <c r="I2004" s="261"/>
      <c r="J2004" s="261"/>
      <c r="K2004" s="261"/>
      <c r="L2004" s="261"/>
      <c r="M2004" s="261"/>
      <c r="N2004" s="261"/>
      <c r="O2004" s="262"/>
      <c r="P2004" s="208"/>
      <c r="Q2004" s="250" t="s">
        <v>779</v>
      </c>
      <c r="R2004" s="250" t="s">
        <v>773</v>
      </c>
      <c r="S2004" s="250" t="s">
        <v>774</v>
      </c>
    </row>
    <row r="2005" spans="2:19" ht="12.75" customHeight="1" x14ac:dyDescent="0.2">
      <c r="B2005" s="253" t="s">
        <v>112</v>
      </c>
      <c r="C2005" s="255" t="s">
        <v>120</v>
      </c>
      <c r="D2005" s="255" t="s">
        <v>121</v>
      </c>
      <c r="E2005" s="257" t="s">
        <v>125</v>
      </c>
      <c r="F2005" s="255" t="s">
        <v>122</v>
      </c>
      <c r="G2005" s="255" t="s">
        <v>123</v>
      </c>
      <c r="H2005" s="263" t="s">
        <v>124</v>
      </c>
      <c r="I2005" s="250" t="s">
        <v>777</v>
      </c>
      <c r="J2005" s="251" t="s">
        <v>773</v>
      </c>
      <c r="K2005" s="251" t="s">
        <v>775</v>
      </c>
      <c r="L2005" s="197"/>
      <c r="M2005" s="250" t="s">
        <v>778</v>
      </c>
      <c r="N2005" s="251" t="s">
        <v>773</v>
      </c>
      <c r="O2005" s="251" t="s">
        <v>776</v>
      </c>
      <c r="P2005" s="198"/>
      <c r="Q2005" s="251"/>
      <c r="R2005" s="251"/>
      <c r="S2005" s="251"/>
    </row>
    <row r="2006" spans="2:19" x14ac:dyDescent="0.2">
      <c r="B2006" s="253"/>
      <c r="C2006" s="255"/>
      <c r="D2006" s="255"/>
      <c r="E2006" s="258"/>
      <c r="F2006" s="255"/>
      <c r="G2006" s="255"/>
      <c r="H2006" s="263"/>
      <c r="I2006" s="251"/>
      <c r="J2006" s="251"/>
      <c r="K2006" s="251"/>
      <c r="L2006" s="198"/>
      <c r="M2006" s="251"/>
      <c r="N2006" s="251"/>
      <c r="O2006" s="251"/>
      <c r="P2006" s="198"/>
      <c r="Q2006" s="251"/>
      <c r="R2006" s="251"/>
      <c r="S2006" s="251"/>
    </row>
    <row r="2007" spans="2:19" x14ac:dyDescent="0.2">
      <c r="B2007" s="253"/>
      <c r="C2007" s="255"/>
      <c r="D2007" s="255"/>
      <c r="E2007" s="258"/>
      <c r="F2007" s="255"/>
      <c r="G2007" s="255"/>
      <c r="H2007" s="263"/>
      <c r="I2007" s="251"/>
      <c r="J2007" s="251"/>
      <c r="K2007" s="251"/>
      <c r="L2007" s="198"/>
      <c r="M2007" s="251"/>
      <c r="N2007" s="251"/>
      <c r="O2007" s="251"/>
      <c r="P2007" s="198"/>
      <c r="Q2007" s="251"/>
      <c r="R2007" s="251"/>
      <c r="S2007" s="251"/>
    </row>
    <row r="2008" spans="2:19" ht="13.5" thickBot="1" x14ac:dyDescent="0.25">
      <c r="B2008" s="254"/>
      <c r="C2008" s="256"/>
      <c r="D2008" s="256"/>
      <c r="E2008" s="259"/>
      <c r="F2008" s="256"/>
      <c r="G2008" s="256"/>
      <c r="H2008" s="264"/>
      <c r="I2008" s="252"/>
      <c r="J2008" s="252"/>
      <c r="K2008" s="252"/>
      <c r="L2008" s="199"/>
      <c r="M2008" s="252"/>
      <c r="N2008" s="252"/>
      <c r="O2008" s="252"/>
      <c r="P2008" s="199"/>
      <c r="Q2008" s="252"/>
      <c r="R2008" s="252"/>
      <c r="S2008" s="252"/>
    </row>
    <row r="2009" spans="2:19" ht="16.5" thickTop="1" x14ac:dyDescent="0.2">
      <c r="B2009" s="79">
        <f t="shared" ref="B2009:B2072" si="345">B2008+1</f>
        <v>1</v>
      </c>
      <c r="C2009" s="265" t="s">
        <v>307</v>
      </c>
      <c r="D2009" s="266"/>
      <c r="E2009" s="266"/>
      <c r="F2009" s="266"/>
      <c r="G2009" s="266"/>
      <c r="H2009" s="267"/>
      <c r="I2009" s="47">
        <f>I2096+I2085+I2082+I2069+I2058+I2010</f>
        <v>3582573</v>
      </c>
      <c r="J2009" s="47">
        <f>J2096+J2085+J2082+J2069+J2058+J2010</f>
        <v>0</v>
      </c>
      <c r="K2009" s="47">
        <f>I2009+J2009</f>
        <v>3582573</v>
      </c>
      <c r="L2009" s="200"/>
      <c r="M2009" s="47">
        <f>M2096+M2085+M2082+M2069+M2058+M2010</f>
        <v>144660</v>
      </c>
      <c r="N2009" s="47">
        <f>N2096+N2085+N2082+N2069+N2058+N2010</f>
        <v>0</v>
      </c>
      <c r="O2009" s="47">
        <f>M2009+N2009</f>
        <v>144660</v>
      </c>
      <c r="P2009" s="200"/>
      <c r="Q2009" s="47">
        <f t="shared" ref="Q2009:Q2039" si="346">I2009+M2009</f>
        <v>3727233</v>
      </c>
      <c r="R2009" s="47">
        <f t="shared" ref="R2009:R2014" si="347">J2009+N2009</f>
        <v>0</v>
      </c>
      <c r="S2009" s="47">
        <f t="shared" ref="S2009:S2014" si="348">K2009+O2009</f>
        <v>3727233</v>
      </c>
    </row>
    <row r="2010" spans="2:19" ht="15" x14ac:dyDescent="0.2">
      <c r="B2010" s="79">
        <f t="shared" si="345"/>
        <v>2</v>
      </c>
      <c r="C2010" s="191">
        <v>1</v>
      </c>
      <c r="D2010" s="245" t="s">
        <v>206</v>
      </c>
      <c r="E2010" s="246"/>
      <c r="F2010" s="246"/>
      <c r="G2010" s="246"/>
      <c r="H2010" s="247"/>
      <c r="I2010" s="48">
        <f>I2011+I2029+I2014</f>
        <v>707103</v>
      </c>
      <c r="J2010" s="48">
        <f>J2011+J2029+J2014</f>
        <v>0</v>
      </c>
      <c r="K2010" s="48">
        <f t="shared" ref="K2010:K2073" si="349">I2010+J2010</f>
        <v>707103</v>
      </c>
      <c r="L2010" s="201"/>
      <c r="M2010" s="48">
        <f>M2011+M2022+M2019</f>
        <v>45100</v>
      </c>
      <c r="N2010" s="48">
        <f>N2011+N2022+N2019</f>
        <v>0</v>
      </c>
      <c r="O2010" s="48">
        <f t="shared" ref="O2010:O2073" si="350">M2010+N2010</f>
        <v>45100</v>
      </c>
      <c r="P2010" s="201"/>
      <c r="Q2010" s="48">
        <f t="shared" si="346"/>
        <v>752203</v>
      </c>
      <c r="R2010" s="48">
        <f t="shared" si="347"/>
        <v>0</v>
      </c>
      <c r="S2010" s="48">
        <f t="shared" si="348"/>
        <v>752203</v>
      </c>
    </row>
    <row r="2011" spans="2:19" x14ac:dyDescent="0.2">
      <c r="B2011" s="79">
        <f t="shared" si="345"/>
        <v>3</v>
      </c>
      <c r="C2011" s="15"/>
      <c r="D2011" s="15"/>
      <c r="E2011" s="15"/>
      <c r="F2011" s="55" t="s">
        <v>15</v>
      </c>
      <c r="G2011" s="15">
        <v>630</v>
      </c>
      <c r="H2011" s="15" t="s">
        <v>128</v>
      </c>
      <c r="I2011" s="52">
        <f>I2012+I2013</f>
        <v>59440</v>
      </c>
      <c r="J2011" s="52">
        <f>J2012+J2013</f>
        <v>0</v>
      </c>
      <c r="K2011" s="52">
        <f t="shared" si="349"/>
        <v>59440</v>
      </c>
      <c r="L2011" s="126"/>
      <c r="M2011" s="52">
        <v>0</v>
      </c>
      <c r="N2011" s="52">
        <v>0</v>
      </c>
      <c r="O2011" s="52">
        <f t="shared" si="350"/>
        <v>0</v>
      </c>
      <c r="P2011" s="126"/>
      <c r="Q2011" s="52">
        <f t="shared" si="346"/>
        <v>59440</v>
      </c>
      <c r="R2011" s="52">
        <f t="shared" si="347"/>
        <v>0</v>
      </c>
      <c r="S2011" s="52">
        <f t="shared" si="348"/>
        <v>59440</v>
      </c>
    </row>
    <row r="2012" spans="2:19" x14ac:dyDescent="0.2">
      <c r="B2012" s="79">
        <f t="shared" si="345"/>
        <v>4</v>
      </c>
      <c r="C2012" s="4"/>
      <c r="D2012" s="4"/>
      <c r="E2012" s="4"/>
      <c r="F2012" s="56" t="s">
        <v>15</v>
      </c>
      <c r="G2012" s="4">
        <v>635</v>
      </c>
      <c r="H2012" s="4" t="s">
        <v>420</v>
      </c>
      <c r="I2012" s="26">
        <f>50000+20000-11560</f>
        <v>58440</v>
      </c>
      <c r="J2012" s="26"/>
      <c r="K2012" s="26">
        <f t="shared" si="349"/>
        <v>58440</v>
      </c>
      <c r="L2012" s="80"/>
      <c r="M2012" s="26"/>
      <c r="N2012" s="26"/>
      <c r="O2012" s="26">
        <f t="shared" si="350"/>
        <v>0</v>
      </c>
      <c r="P2012" s="80"/>
      <c r="Q2012" s="26">
        <f t="shared" si="346"/>
        <v>58440</v>
      </c>
      <c r="R2012" s="26">
        <f t="shared" si="347"/>
        <v>0</v>
      </c>
      <c r="S2012" s="26">
        <f t="shared" si="348"/>
        <v>58440</v>
      </c>
    </row>
    <row r="2013" spans="2:19" x14ac:dyDescent="0.2">
      <c r="B2013" s="79">
        <f t="shared" si="345"/>
        <v>5</v>
      </c>
      <c r="C2013" s="4"/>
      <c r="D2013" s="4"/>
      <c r="E2013" s="4"/>
      <c r="F2013" s="56" t="s">
        <v>15</v>
      </c>
      <c r="G2013" s="4">
        <v>637</v>
      </c>
      <c r="H2013" s="4" t="s">
        <v>747</v>
      </c>
      <c r="I2013" s="26">
        <v>1000</v>
      </c>
      <c r="J2013" s="26"/>
      <c r="K2013" s="26">
        <f t="shared" si="349"/>
        <v>1000</v>
      </c>
      <c r="L2013" s="80"/>
      <c r="M2013" s="26"/>
      <c r="N2013" s="26"/>
      <c r="O2013" s="26">
        <f t="shared" si="350"/>
        <v>0</v>
      </c>
      <c r="P2013" s="80"/>
      <c r="Q2013" s="26">
        <f>I2013+M2013</f>
        <v>1000</v>
      </c>
      <c r="R2013" s="26">
        <f t="shared" si="347"/>
        <v>0</v>
      </c>
      <c r="S2013" s="26">
        <f t="shared" si="348"/>
        <v>1000</v>
      </c>
    </row>
    <row r="2014" spans="2:19" x14ac:dyDescent="0.2">
      <c r="B2014" s="79">
        <f t="shared" si="345"/>
        <v>6</v>
      </c>
      <c r="C2014" s="4"/>
      <c r="D2014" s="4"/>
      <c r="E2014" s="4"/>
      <c r="F2014" s="55" t="s">
        <v>205</v>
      </c>
      <c r="G2014" s="15">
        <v>630</v>
      </c>
      <c r="H2014" s="15" t="s">
        <v>128</v>
      </c>
      <c r="I2014" s="52">
        <f>I2015+I2016+I2017+I2018</f>
        <v>316858</v>
      </c>
      <c r="J2014" s="52">
        <f>J2015+J2016+J2017+J2018</f>
        <v>0</v>
      </c>
      <c r="K2014" s="52">
        <f t="shared" si="349"/>
        <v>316858</v>
      </c>
      <c r="L2014" s="126"/>
      <c r="M2014" s="52">
        <v>0</v>
      </c>
      <c r="N2014" s="52">
        <v>0</v>
      </c>
      <c r="O2014" s="52">
        <f t="shared" si="350"/>
        <v>0</v>
      </c>
      <c r="P2014" s="126"/>
      <c r="Q2014" s="52">
        <f t="shared" ref="Q2014" si="351">I2014+M2014</f>
        <v>316858</v>
      </c>
      <c r="R2014" s="52">
        <f t="shared" si="347"/>
        <v>0</v>
      </c>
      <c r="S2014" s="52">
        <f t="shared" si="348"/>
        <v>316858</v>
      </c>
    </row>
    <row r="2015" spans="2:19" x14ac:dyDescent="0.2">
      <c r="B2015" s="79">
        <f t="shared" si="345"/>
        <v>7</v>
      </c>
      <c r="C2015" s="4"/>
      <c r="D2015" s="4"/>
      <c r="E2015" s="4"/>
      <c r="F2015" s="56" t="s">
        <v>205</v>
      </c>
      <c r="G2015" s="4">
        <v>635</v>
      </c>
      <c r="H2015" s="4" t="s">
        <v>622</v>
      </c>
      <c r="I2015" s="26">
        <f>11275+2820</f>
        <v>14095</v>
      </c>
      <c r="J2015" s="26"/>
      <c r="K2015" s="26">
        <f t="shared" si="349"/>
        <v>14095</v>
      </c>
      <c r="L2015" s="80"/>
      <c r="M2015" s="26"/>
      <c r="N2015" s="26"/>
      <c r="O2015" s="26">
        <f t="shared" si="350"/>
        <v>0</v>
      </c>
      <c r="P2015" s="80"/>
      <c r="Q2015" s="26"/>
      <c r="R2015" s="26"/>
      <c r="S2015" s="26"/>
    </row>
    <row r="2016" spans="2:19" x14ac:dyDescent="0.2">
      <c r="B2016" s="79">
        <f t="shared" si="345"/>
        <v>8</v>
      </c>
      <c r="C2016" s="4"/>
      <c r="D2016" s="4"/>
      <c r="E2016" s="4"/>
      <c r="F2016" s="56" t="s">
        <v>205</v>
      </c>
      <c r="G2016" s="4">
        <v>635</v>
      </c>
      <c r="H2016" s="4" t="s">
        <v>623</v>
      </c>
      <c r="I2016" s="26">
        <f>51750+12938</f>
        <v>64688</v>
      </c>
      <c r="J2016" s="26"/>
      <c r="K2016" s="26">
        <f t="shared" si="349"/>
        <v>64688</v>
      </c>
      <c r="L2016" s="80"/>
      <c r="M2016" s="26"/>
      <c r="N2016" s="26"/>
      <c r="O2016" s="26">
        <f t="shared" si="350"/>
        <v>0</v>
      </c>
      <c r="P2016" s="80"/>
      <c r="Q2016" s="26"/>
      <c r="R2016" s="26"/>
      <c r="S2016" s="26"/>
    </row>
    <row r="2017" spans="2:19" x14ac:dyDescent="0.2">
      <c r="B2017" s="79">
        <f t="shared" si="345"/>
        <v>9</v>
      </c>
      <c r="C2017" s="4"/>
      <c r="D2017" s="4"/>
      <c r="E2017" s="4"/>
      <c r="F2017" s="56" t="s">
        <v>205</v>
      </c>
      <c r="G2017" s="4">
        <v>635</v>
      </c>
      <c r="H2017" s="4" t="s">
        <v>624</v>
      </c>
      <c r="I2017" s="26">
        <f>63850+21100</f>
        <v>84950</v>
      </c>
      <c r="J2017" s="26"/>
      <c r="K2017" s="26">
        <f t="shared" si="349"/>
        <v>84950</v>
      </c>
      <c r="L2017" s="80"/>
      <c r="M2017" s="26"/>
      <c r="N2017" s="26"/>
      <c r="O2017" s="26">
        <f t="shared" si="350"/>
        <v>0</v>
      </c>
      <c r="P2017" s="80"/>
      <c r="Q2017" s="26"/>
      <c r="R2017" s="26"/>
      <c r="S2017" s="26"/>
    </row>
    <row r="2018" spans="2:19" x14ac:dyDescent="0.2">
      <c r="B2018" s="79">
        <f t="shared" si="345"/>
        <v>10</v>
      </c>
      <c r="C2018" s="4"/>
      <c r="D2018" s="4"/>
      <c r="E2018" s="4"/>
      <c r="F2018" s="56" t="s">
        <v>205</v>
      </c>
      <c r="G2018" s="4">
        <v>635</v>
      </c>
      <c r="H2018" s="4" t="s">
        <v>625</v>
      </c>
      <c r="I2018" s="26">
        <f>122500+30625</f>
        <v>153125</v>
      </c>
      <c r="J2018" s="26"/>
      <c r="K2018" s="26">
        <f t="shared" si="349"/>
        <v>153125</v>
      </c>
      <c r="L2018" s="80"/>
      <c r="M2018" s="26"/>
      <c r="N2018" s="26"/>
      <c r="O2018" s="26">
        <f t="shared" si="350"/>
        <v>0</v>
      </c>
      <c r="P2018" s="80"/>
      <c r="Q2018" s="26"/>
      <c r="R2018" s="26"/>
      <c r="S2018" s="26"/>
    </row>
    <row r="2019" spans="2:19" x14ac:dyDescent="0.2">
      <c r="B2019" s="79">
        <f t="shared" si="345"/>
        <v>11</v>
      </c>
      <c r="C2019" s="4"/>
      <c r="D2019" s="4"/>
      <c r="E2019" s="4"/>
      <c r="F2019" s="55" t="s">
        <v>15</v>
      </c>
      <c r="G2019" s="15">
        <v>710</v>
      </c>
      <c r="H2019" s="15" t="s">
        <v>184</v>
      </c>
      <c r="I2019" s="52">
        <v>0</v>
      </c>
      <c r="J2019" s="52">
        <v>0</v>
      </c>
      <c r="K2019" s="52">
        <f t="shared" si="349"/>
        <v>0</v>
      </c>
      <c r="L2019" s="126"/>
      <c r="M2019" s="52">
        <f>M2020</f>
        <v>26100</v>
      </c>
      <c r="N2019" s="52">
        <f>N2020</f>
        <v>0</v>
      </c>
      <c r="O2019" s="52">
        <f t="shared" si="350"/>
        <v>26100</v>
      </c>
      <c r="P2019" s="126"/>
      <c r="Q2019" s="52">
        <f t="shared" ref="Q2019:Q2020" si="352">I2019+M2019</f>
        <v>26100</v>
      </c>
      <c r="R2019" s="52">
        <f t="shared" ref="R2019:R2020" si="353">J2019+N2019</f>
        <v>0</v>
      </c>
      <c r="S2019" s="52">
        <f t="shared" ref="S2019:S2020" si="354">K2019+O2019</f>
        <v>26100</v>
      </c>
    </row>
    <row r="2020" spans="2:19" x14ac:dyDescent="0.2">
      <c r="B2020" s="79">
        <f t="shared" si="345"/>
        <v>12</v>
      </c>
      <c r="C2020" s="4"/>
      <c r="D2020" s="4"/>
      <c r="E2020" s="4"/>
      <c r="F2020" s="89" t="s">
        <v>15</v>
      </c>
      <c r="G2020" s="90">
        <v>717</v>
      </c>
      <c r="H2020" s="90" t="s">
        <v>194</v>
      </c>
      <c r="I2020" s="91"/>
      <c r="J2020" s="91"/>
      <c r="K2020" s="91">
        <f t="shared" si="349"/>
        <v>0</v>
      </c>
      <c r="L2020" s="80"/>
      <c r="M2020" s="91">
        <f>M2021</f>
        <v>26100</v>
      </c>
      <c r="N2020" s="91">
        <f>N2021</f>
        <v>0</v>
      </c>
      <c r="O2020" s="91">
        <f t="shared" si="350"/>
        <v>26100</v>
      </c>
      <c r="P2020" s="80"/>
      <c r="Q2020" s="91">
        <f t="shared" si="352"/>
        <v>26100</v>
      </c>
      <c r="R2020" s="91">
        <f t="shared" si="353"/>
        <v>0</v>
      </c>
      <c r="S2020" s="91">
        <f t="shared" si="354"/>
        <v>26100</v>
      </c>
    </row>
    <row r="2021" spans="2:19" x14ac:dyDescent="0.2">
      <c r="B2021" s="79">
        <f t="shared" si="345"/>
        <v>13</v>
      </c>
      <c r="C2021" s="4"/>
      <c r="D2021" s="4"/>
      <c r="E2021" s="4"/>
      <c r="F2021" s="56"/>
      <c r="G2021" s="4"/>
      <c r="H2021" s="4" t="s">
        <v>618</v>
      </c>
      <c r="I2021" s="26"/>
      <c r="J2021" s="26"/>
      <c r="K2021" s="26">
        <f t="shared" si="349"/>
        <v>0</v>
      </c>
      <c r="L2021" s="80"/>
      <c r="M2021" s="26">
        <f>2100+24000</f>
        <v>26100</v>
      </c>
      <c r="N2021" s="26"/>
      <c r="O2021" s="26">
        <f t="shared" si="350"/>
        <v>26100</v>
      </c>
      <c r="P2021" s="80"/>
      <c r="Q2021" s="26">
        <f>M2021</f>
        <v>26100</v>
      </c>
      <c r="R2021" s="26">
        <f t="shared" ref="R2021:S2021" si="355">N2021</f>
        <v>0</v>
      </c>
      <c r="S2021" s="26">
        <f t="shared" si="355"/>
        <v>26100</v>
      </c>
    </row>
    <row r="2022" spans="2:19" x14ac:dyDescent="0.2">
      <c r="B2022" s="79">
        <f t="shared" si="345"/>
        <v>14</v>
      </c>
      <c r="C2022" s="4"/>
      <c r="D2022" s="4"/>
      <c r="E2022" s="4"/>
      <c r="F2022" s="55" t="s">
        <v>205</v>
      </c>
      <c r="G2022" s="15">
        <v>710</v>
      </c>
      <c r="H2022" s="15" t="s">
        <v>184</v>
      </c>
      <c r="I2022" s="52">
        <v>0</v>
      </c>
      <c r="J2022" s="52">
        <v>0</v>
      </c>
      <c r="K2022" s="52">
        <f t="shared" si="349"/>
        <v>0</v>
      </c>
      <c r="L2022" s="126"/>
      <c r="M2022" s="52">
        <f>M2023</f>
        <v>19000</v>
      </c>
      <c r="N2022" s="52">
        <f>N2023</f>
        <v>0</v>
      </c>
      <c r="O2022" s="52">
        <f t="shared" si="350"/>
        <v>19000</v>
      </c>
      <c r="P2022" s="126"/>
      <c r="Q2022" s="52">
        <f t="shared" si="346"/>
        <v>19000</v>
      </c>
      <c r="R2022" s="52">
        <f t="shared" ref="R2022:R2039" si="356">J2022+N2022</f>
        <v>0</v>
      </c>
      <c r="S2022" s="52">
        <f t="shared" ref="S2022:S2039" si="357">K2022+O2022</f>
        <v>19000</v>
      </c>
    </row>
    <row r="2023" spans="2:19" x14ac:dyDescent="0.2">
      <c r="B2023" s="79">
        <f t="shared" si="345"/>
        <v>15</v>
      </c>
      <c r="C2023" s="4"/>
      <c r="D2023" s="4"/>
      <c r="E2023" s="4"/>
      <c r="F2023" s="89" t="s">
        <v>205</v>
      </c>
      <c r="G2023" s="90">
        <v>717</v>
      </c>
      <c r="H2023" s="90" t="s">
        <v>194</v>
      </c>
      <c r="I2023" s="91"/>
      <c r="J2023" s="91"/>
      <c r="K2023" s="91">
        <f t="shared" si="349"/>
        <v>0</v>
      </c>
      <c r="L2023" s="80"/>
      <c r="M2023" s="91">
        <f>SUM(M2024:M2028)</f>
        <v>19000</v>
      </c>
      <c r="N2023" s="91">
        <f>SUM(N2024:N2028)</f>
        <v>0</v>
      </c>
      <c r="O2023" s="91">
        <f t="shared" si="350"/>
        <v>19000</v>
      </c>
      <c r="P2023" s="80"/>
      <c r="Q2023" s="91">
        <f t="shared" si="346"/>
        <v>19000</v>
      </c>
      <c r="R2023" s="91">
        <f t="shared" si="356"/>
        <v>0</v>
      </c>
      <c r="S2023" s="91">
        <f t="shared" si="357"/>
        <v>19000</v>
      </c>
    </row>
    <row r="2024" spans="2:19" x14ac:dyDescent="0.2">
      <c r="B2024" s="79">
        <f t="shared" si="345"/>
        <v>16</v>
      </c>
      <c r="C2024" s="82"/>
      <c r="D2024" s="82"/>
      <c r="E2024" s="82"/>
      <c r="F2024" s="158" t="s">
        <v>205</v>
      </c>
      <c r="G2024" s="154">
        <v>717</v>
      </c>
      <c r="H2024" s="154" t="s">
        <v>579</v>
      </c>
      <c r="I2024" s="150"/>
      <c r="J2024" s="150"/>
      <c r="K2024" s="150">
        <f t="shared" si="349"/>
        <v>0</v>
      </c>
      <c r="L2024" s="166"/>
      <c r="M2024" s="150">
        <f>7000-4500-1500-1000</f>
        <v>0</v>
      </c>
      <c r="N2024" s="150"/>
      <c r="O2024" s="150">
        <f t="shared" si="350"/>
        <v>0</v>
      </c>
      <c r="P2024" s="166"/>
      <c r="Q2024" s="150">
        <f t="shared" si="346"/>
        <v>0</v>
      </c>
      <c r="R2024" s="150">
        <f t="shared" si="356"/>
        <v>0</v>
      </c>
      <c r="S2024" s="150">
        <f t="shared" si="357"/>
        <v>0</v>
      </c>
    </row>
    <row r="2025" spans="2:19" ht="24" x14ac:dyDescent="0.2">
      <c r="B2025" s="79">
        <f t="shared" si="345"/>
        <v>17</v>
      </c>
      <c r="C2025" s="82"/>
      <c r="D2025" s="82"/>
      <c r="E2025" s="82"/>
      <c r="F2025" s="158" t="s">
        <v>205</v>
      </c>
      <c r="G2025" s="154">
        <v>717</v>
      </c>
      <c r="H2025" s="155" t="s">
        <v>580</v>
      </c>
      <c r="I2025" s="150"/>
      <c r="J2025" s="150"/>
      <c r="K2025" s="150">
        <f t="shared" si="349"/>
        <v>0</v>
      </c>
      <c r="L2025" s="166"/>
      <c r="M2025" s="150">
        <f>10000-10000</f>
        <v>0</v>
      </c>
      <c r="N2025" s="150"/>
      <c r="O2025" s="150">
        <f t="shared" si="350"/>
        <v>0</v>
      </c>
      <c r="P2025" s="166"/>
      <c r="Q2025" s="150">
        <f t="shared" si="346"/>
        <v>0</v>
      </c>
      <c r="R2025" s="150">
        <f t="shared" si="356"/>
        <v>0</v>
      </c>
      <c r="S2025" s="150">
        <f t="shared" si="357"/>
        <v>0</v>
      </c>
    </row>
    <row r="2026" spans="2:19" x14ac:dyDescent="0.2">
      <c r="B2026" s="79">
        <f t="shared" si="345"/>
        <v>18</v>
      </c>
      <c r="C2026" s="82"/>
      <c r="D2026" s="82"/>
      <c r="E2026" s="82"/>
      <c r="F2026" s="158" t="s">
        <v>205</v>
      </c>
      <c r="G2026" s="154">
        <v>717</v>
      </c>
      <c r="H2026" s="154" t="s">
        <v>581</v>
      </c>
      <c r="I2026" s="150"/>
      <c r="J2026" s="150"/>
      <c r="K2026" s="150">
        <f t="shared" si="349"/>
        <v>0</v>
      </c>
      <c r="L2026" s="166"/>
      <c r="M2026" s="150">
        <v>7000</v>
      </c>
      <c r="N2026" s="150"/>
      <c r="O2026" s="150">
        <f t="shared" si="350"/>
        <v>7000</v>
      </c>
      <c r="P2026" s="166"/>
      <c r="Q2026" s="150">
        <f t="shared" si="346"/>
        <v>7000</v>
      </c>
      <c r="R2026" s="150">
        <f t="shared" si="356"/>
        <v>0</v>
      </c>
      <c r="S2026" s="150">
        <f t="shared" si="357"/>
        <v>7000</v>
      </c>
    </row>
    <row r="2027" spans="2:19" ht="12.75" customHeight="1" x14ac:dyDescent="0.2">
      <c r="B2027" s="79">
        <f t="shared" si="345"/>
        <v>19</v>
      </c>
      <c r="C2027" s="82"/>
      <c r="D2027" s="82"/>
      <c r="E2027" s="82"/>
      <c r="F2027" s="158" t="s">
        <v>205</v>
      </c>
      <c r="G2027" s="154">
        <v>717</v>
      </c>
      <c r="H2027" s="155" t="s">
        <v>582</v>
      </c>
      <c r="I2027" s="150"/>
      <c r="J2027" s="150"/>
      <c r="K2027" s="150">
        <f t="shared" si="349"/>
        <v>0</v>
      </c>
      <c r="L2027" s="166"/>
      <c r="M2027" s="150">
        <v>3000</v>
      </c>
      <c r="N2027" s="150"/>
      <c r="O2027" s="150">
        <f t="shared" si="350"/>
        <v>3000</v>
      </c>
      <c r="P2027" s="166"/>
      <c r="Q2027" s="150">
        <f t="shared" si="346"/>
        <v>3000</v>
      </c>
      <c r="R2027" s="150">
        <f t="shared" si="356"/>
        <v>0</v>
      </c>
      <c r="S2027" s="150">
        <f t="shared" si="357"/>
        <v>3000</v>
      </c>
    </row>
    <row r="2028" spans="2:19" ht="21.75" customHeight="1" x14ac:dyDescent="0.2">
      <c r="B2028" s="78">
        <f t="shared" si="345"/>
        <v>20</v>
      </c>
      <c r="C2028" s="82"/>
      <c r="D2028" s="82"/>
      <c r="E2028" s="82"/>
      <c r="F2028" s="158" t="s">
        <v>205</v>
      </c>
      <c r="G2028" s="154">
        <v>717</v>
      </c>
      <c r="H2028" s="154" t="s">
        <v>583</v>
      </c>
      <c r="I2028" s="150"/>
      <c r="J2028" s="150"/>
      <c r="K2028" s="150">
        <f t="shared" si="349"/>
        <v>0</v>
      </c>
      <c r="L2028" s="166"/>
      <c r="M2028" s="150">
        <v>9000</v>
      </c>
      <c r="N2028" s="150"/>
      <c r="O2028" s="150">
        <f t="shared" si="350"/>
        <v>9000</v>
      </c>
      <c r="P2028" s="166"/>
      <c r="Q2028" s="150">
        <f t="shared" si="346"/>
        <v>9000</v>
      </c>
      <c r="R2028" s="150">
        <f t="shared" si="356"/>
        <v>0</v>
      </c>
      <c r="S2028" s="150">
        <f t="shared" si="357"/>
        <v>9000</v>
      </c>
    </row>
    <row r="2029" spans="2:19" ht="18" customHeight="1" x14ac:dyDescent="0.2">
      <c r="B2029" s="78">
        <f t="shared" si="345"/>
        <v>21</v>
      </c>
      <c r="C2029" s="159"/>
      <c r="D2029" s="159"/>
      <c r="E2029" s="159">
        <v>2</v>
      </c>
      <c r="F2029" s="160"/>
      <c r="G2029" s="159"/>
      <c r="H2029" s="159" t="s">
        <v>257</v>
      </c>
      <c r="I2029" s="161">
        <f>I2030+I2031+I2032+I2039+I2041+I2042+I2043+I2054+I2056</f>
        <v>330805</v>
      </c>
      <c r="J2029" s="161">
        <f>J2030+J2031+J2032+J2039+J2041+J2042+J2043+J2054+J2056</f>
        <v>0</v>
      </c>
      <c r="K2029" s="161">
        <f t="shared" si="349"/>
        <v>330805</v>
      </c>
      <c r="L2029" s="207"/>
      <c r="M2029" s="161">
        <v>0</v>
      </c>
      <c r="N2029" s="161">
        <v>0</v>
      </c>
      <c r="O2029" s="161">
        <f t="shared" si="350"/>
        <v>0</v>
      </c>
      <c r="P2029" s="207"/>
      <c r="Q2029" s="161">
        <f t="shared" si="346"/>
        <v>330805</v>
      </c>
      <c r="R2029" s="161">
        <f t="shared" si="356"/>
        <v>0</v>
      </c>
      <c r="S2029" s="161">
        <f t="shared" si="357"/>
        <v>330805</v>
      </c>
    </row>
    <row r="2030" spans="2:19" x14ac:dyDescent="0.2">
      <c r="B2030" s="79">
        <f t="shared" si="345"/>
        <v>22</v>
      </c>
      <c r="C2030" s="15"/>
      <c r="D2030" s="15"/>
      <c r="E2030" s="15"/>
      <c r="F2030" s="55" t="s">
        <v>15</v>
      </c>
      <c r="G2030" s="15">
        <v>610</v>
      </c>
      <c r="H2030" s="15" t="s">
        <v>136</v>
      </c>
      <c r="I2030" s="52">
        <f>23500+11920</f>
        <v>35420</v>
      </c>
      <c r="J2030" s="52"/>
      <c r="K2030" s="52">
        <f t="shared" si="349"/>
        <v>35420</v>
      </c>
      <c r="L2030" s="126"/>
      <c r="M2030" s="52"/>
      <c r="N2030" s="52"/>
      <c r="O2030" s="52">
        <f t="shared" si="350"/>
        <v>0</v>
      </c>
      <c r="P2030" s="126"/>
      <c r="Q2030" s="52">
        <f t="shared" si="346"/>
        <v>35420</v>
      </c>
      <c r="R2030" s="52">
        <f t="shared" si="356"/>
        <v>0</v>
      </c>
      <c r="S2030" s="52">
        <f t="shared" si="357"/>
        <v>35420</v>
      </c>
    </row>
    <row r="2031" spans="2:19" x14ac:dyDescent="0.2">
      <c r="B2031" s="79">
        <f t="shared" si="345"/>
        <v>23</v>
      </c>
      <c r="C2031" s="15"/>
      <c r="D2031" s="15"/>
      <c r="E2031" s="15"/>
      <c r="F2031" s="55" t="s">
        <v>15</v>
      </c>
      <c r="G2031" s="15">
        <v>620</v>
      </c>
      <c r="H2031" s="15" t="s">
        <v>131</v>
      </c>
      <c r="I2031" s="52">
        <f>8550+4520</f>
        <v>13070</v>
      </c>
      <c r="J2031" s="52"/>
      <c r="K2031" s="52">
        <f t="shared" si="349"/>
        <v>13070</v>
      </c>
      <c r="L2031" s="126"/>
      <c r="M2031" s="52"/>
      <c r="N2031" s="52"/>
      <c r="O2031" s="52">
        <f t="shared" si="350"/>
        <v>0</v>
      </c>
      <c r="P2031" s="126"/>
      <c r="Q2031" s="52">
        <f t="shared" si="346"/>
        <v>13070</v>
      </c>
      <c r="R2031" s="52">
        <f t="shared" si="356"/>
        <v>0</v>
      </c>
      <c r="S2031" s="52">
        <f t="shared" si="357"/>
        <v>13070</v>
      </c>
    </row>
    <row r="2032" spans="2:19" x14ac:dyDescent="0.2">
      <c r="B2032" s="79">
        <f t="shared" si="345"/>
        <v>24</v>
      </c>
      <c r="C2032" s="15"/>
      <c r="D2032" s="15"/>
      <c r="E2032" s="15"/>
      <c r="F2032" s="55" t="s">
        <v>15</v>
      </c>
      <c r="G2032" s="15">
        <v>630</v>
      </c>
      <c r="H2032" s="15" t="s">
        <v>128</v>
      </c>
      <c r="I2032" s="52">
        <f>I2038+I2037+I2036+I2035+I2034+I2033</f>
        <v>32560</v>
      </c>
      <c r="J2032" s="52">
        <f>J2038+J2037+J2036+J2035+J2034+J2033</f>
        <v>0</v>
      </c>
      <c r="K2032" s="52">
        <f t="shared" si="349"/>
        <v>32560</v>
      </c>
      <c r="L2032" s="126"/>
      <c r="M2032" s="52">
        <f>M2038+M2037+M2036+M2035+M2034+M2033</f>
        <v>0</v>
      </c>
      <c r="N2032" s="52">
        <f>N2038+N2037+N2036+N2035+N2034+N2033</f>
        <v>0</v>
      </c>
      <c r="O2032" s="52">
        <f t="shared" si="350"/>
        <v>0</v>
      </c>
      <c r="P2032" s="126"/>
      <c r="Q2032" s="52">
        <f t="shared" si="346"/>
        <v>32560</v>
      </c>
      <c r="R2032" s="52">
        <f t="shared" si="356"/>
        <v>0</v>
      </c>
      <c r="S2032" s="52">
        <f t="shared" si="357"/>
        <v>32560</v>
      </c>
    </row>
    <row r="2033" spans="2:19" x14ac:dyDescent="0.2">
      <c r="B2033" s="79">
        <f t="shared" si="345"/>
        <v>25</v>
      </c>
      <c r="C2033" s="4"/>
      <c r="D2033" s="4"/>
      <c r="E2033" s="4"/>
      <c r="F2033" s="56" t="s">
        <v>15</v>
      </c>
      <c r="G2033" s="4">
        <v>631</v>
      </c>
      <c r="H2033" s="4" t="s">
        <v>134</v>
      </c>
      <c r="I2033" s="26">
        <v>50</v>
      </c>
      <c r="J2033" s="26"/>
      <c r="K2033" s="26">
        <f t="shared" si="349"/>
        <v>50</v>
      </c>
      <c r="L2033" s="80"/>
      <c r="M2033" s="26"/>
      <c r="N2033" s="26"/>
      <c r="O2033" s="26">
        <f t="shared" si="350"/>
        <v>0</v>
      </c>
      <c r="P2033" s="80"/>
      <c r="Q2033" s="26">
        <f t="shared" si="346"/>
        <v>50</v>
      </c>
      <c r="R2033" s="26">
        <f t="shared" si="356"/>
        <v>0</v>
      </c>
      <c r="S2033" s="26">
        <f t="shared" si="357"/>
        <v>50</v>
      </c>
    </row>
    <row r="2034" spans="2:19" x14ac:dyDescent="0.2">
      <c r="B2034" s="79">
        <f t="shared" si="345"/>
        <v>26</v>
      </c>
      <c r="C2034" s="4"/>
      <c r="D2034" s="4"/>
      <c r="E2034" s="4"/>
      <c r="F2034" s="56" t="s">
        <v>15</v>
      </c>
      <c r="G2034" s="4">
        <v>632</v>
      </c>
      <c r="H2034" s="4" t="s">
        <v>139</v>
      </c>
      <c r="I2034" s="26">
        <v>3350</v>
      </c>
      <c r="J2034" s="26"/>
      <c r="K2034" s="26">
        <f t="shared" si="349"/>
        <v>3350</v>
      </c>
      <c r="L2034" s="80"/>
      <c r="M2034" s="26"/>
      <c r="N2034" s="26"/>
      <c r="O2034" s="26">
        <f t="shared" si="350"/>
        <v>0</v>
      </c>
      <c r="P2034" s="80"/>
      <c r="Q2034" s="26">
        <f t="shared" si="346"/>
        <v>3350</v>
      </c>
      <c r="R2034" s="26">
        <f t="shared" si="356"/>
        <v>0</v>
      </c>
      <c r="S2034" s="26">
        <f t="shared" si="357"/>
        <v>3350</v>
      </c>
    </row>
    <row r="2035" spans="2:19" x14ac:dyDescent="0.2">
      <c r="B2035" s="79">
        <f t="shared" si="345"/>
        <v>27</v>
      </c>
      <c r="C2035" s="4"/>
      <c r="D2035" s="4"/>
      <c r="E2035" s="4"/>
      <c r="F2035" s="56" t="s">
        <v>15</v>
      </c>
      <c r="G2035" s="4">
        <v>633</v>
      </c>
      <c r="H2035" s="4" t="s">
        <v>132</v>
      </c>
      <c r="I2035" s="26">
        <f>7600+3020</f>
        <v>10620</v>
      </c>
      <c r="J2035" s="26"/>
      <c r="K2035" s="26">
        <f t="shared" si="349"/>
        <v>10620</v>
      </c>
      <c r="L2035" s="80"/>
      <c r="M2035" s="26"/>
      <c r="N2035" s="26"/>
      <c r="O2035" s="26">
        <f t="shared" si="350"/>
        <v>0</v>
      </c>
      <c r="P2035" s="80"/>
      <c r="Q2035" s="26">
        <f t="shared" si="346"/>
        <v>10620</v>
      </c>
      <c r="R2035" s="26">
        <f t="shared" si="356"/>
        <v>0</v>
      </c>
      <c r="S2035" s="26">
        <f t="shared" si="357"/>
        <v>10620</v>
      </c>
    </row>
    <row r="2036" spans="2:19" x14ac:dyDescent="0.2">
      <c r="B2036" s="79">
        <f t="shared" si="345"/>
        <v>28</v>
      </c>
      <c r="C2036" s="4"/>
      <c r="D2036" s="4"/>
      <c r="E2036" s="4"/>
      <c r="F2036" s="56" t="s">
        <v>15</v>
      </c>
      <c r="G2036" s="4">
        <v>634</v>
      </c>
      <c r="H2036" s="4" t="s">
        <v>137</v>
      </c>
      <c r="I2036" s="26">
        <v>2670</v>
      </c>
      <c r="J2036" s="26"/>
      <c r="K2036" s="26">
        <f t="shared" si="349"/>
        <v>2670</v>
      </c>
      <c r="L2036" s="80"/>
      <c r="M2036" s="26"/>
      <c r="N2036" s="26"/>
      <c r="O2036" s="26">
        <f t="shared" si="350"/>
        <v>0</v>
      </c>
      <c r="P2036" s="80"/>
      <c r="Q2036" s="26">
        <f t="shared" si="346"/>
        <v>2670</v>
      </c>
      <c r="R2036" s="26">
        <f t="shared" si="356"/>
        <v>0</v>
      </c>
      <c r="S2036" s="26">
        <f t="shared" si="357"/>
        <v>2670</v>
      </c>
    </row>
    <row r="2037" spans="2:19" x14ac:dyDescent="0.2">
      <c r="B2037" s="79">
        <f t="shared" si="345"/>
        <v>29</v>
      </c>
      <c r="C2037" s="4"/>
      <c r="D2037" s="4"/>
      <c r="E2037" s="4"/>
      <c r="F2037" s="56" t="s">
        <v>15</v>
      </c>
      <c r="G2037" s="4">
        <v>635</v>
      </c>
      <c r="H2037" s="4" t="s">
        <v>138</v>
      </c>
      <c r="I2037" s="26">
        <f>1300+5200</f>
        <v>6500</v>
      </c>
      <c r="J2037" s="26"/>
      <c r="K2037" s="26">
        <f t="shared" si="349"/>
        <v>6500</v>
      </c>
      <c r="L2037" s="80"/>
      <c r="M2037" s="26"/>
      <c r="N2037" s="26"/>
      <c r="O2037" s="26">
        <f t="shared" si="350"/>
        <v>0</v>
      </c>
      <c r="P2037" s="80"/>
      <c r="Q2037" s="26">
        <f t="shared" si="346"/>
        <v>6500</v>
      </c>
      <c r="R2037" s="26">
        <f t="shared" si="356"/>
        <v>0</v>
      </c>
      <c r="S2037" s="26">
        <f t="shared" si="357"/>
        <v>6500</v>
      </c>
    </row>
    <row r="2038" spans="2:19" x14ac:dyDescent="0.2">
      <c r="B2038" s="79">
        <f t="shared" si="345"/>
        <v>30</v>
      </c>
      <c r="C2038" s="4"/>
      <c r="D2038" s="4"/>
      <c r="E2038" s="4"/>
      <c r="F2038" s="56" t="s">
        <v>15</v>
      </c>
      <c r="G2038" s="4">
        <v>637</v>
      </c>
      <c r="H2038" s="4" t="s">
        <v>129</v>
      </c>
      <c r="I2038" s="26">
        <f>7900+1540-70</f>
        <v>9370</v>
      </c>
      <c r="J2038" s="26"/>
      <c r="K2038" s="26">
        <f t="shared" si="349"/>
        <v>9370</v>
      </c>
      <c r="L2038" s="80"/>
      <c r="M2038" s="26"/>
      <c r="N2038" s="26"/>
      <c r="O2038" s="26">
        <f t="shared" si="350"/>
        <v>0</v>
      </c>
      <c r="P2038" s="80"/>
      <c r="Q2038" s="26">
        <f t="shared" si="346"/>
        <v>9370</v>
      </c>
      <c r="R2038" s="26">
        <f t="shared" si="356"/>
        <v>0</v>
      </c>
      <c r="S2038" s="26">
        <f t="shared" si="357"/>
        <v>9370</v>
      </c>
    </row>
    <row r="2039" spans="2:19" x14ac:dyDescent="0.2">
      <c r="B2039" s="79">
        <f t="shared" si="345"/>
        <v>31</v>
      </c>
      <c r="C2039" s="15"/>
      <c r="D2039" s="15"/>
      <c r="E2039" s="15"/>
      <c r="F2039" s="55" t="s">
        <v>15</v>
      </c>
      <c r="G2039" s="15">
        <v>640</v>
      </c>
      <c r="H2039" s="15" t="s">
        <v>135</v>
      </c>
      <c r="I2039" s="52">
        <f>190+70</f>
        <v>260</v>
      </c>
      <c r="J2039" s="52"/>
      <c r="K2039" s="52">
        <f t="shared" si="349"/>
        <v>260</v>
      </c>
      <c r="L2039" s="126"/>
      <c r="M2039" s="52"/>
      <c r="N2039" s="52"/>
      <c r="O2039" s="52">
        <f t="shared" si="350"/>
        <v>0</v>
      </c>
      <c r="P2039" s="126"/>
      <c r="Q2039" s="52">
        <f t="shared" si="346"/>
        <v>260</v>
      </c>
      <c r="R2039" s="52">
        <f t="shared" si="356"/>
        <v>0</v>
      </c>
      <c r="S2039" s="52">
        <f t="shared" si="357"/>
        <v>260</v>
      </c>
    </row>
    <row r="2040" spans="2:19" x14ac:dyDescent="0.2">
      <c r="B2040" s="79">
        <f t="shared" si="345"/>
        <v>32</v>
      </c>
      <c r="C2040" s="15"/>
      <c r="D2040" s="15"/>
      <c r="E2040" s="15"/>
      <c r="F2040" s="55"/>
      <c r="G2040" s="15"/>
      <c r="H2040" s="15"/>
      <c r="I2040" s="52"/>
      <c r="J2040" s="52"/>
      <c r="K2040" s="52">
        <f t="shared" si="349"/>
        <v>0</v>
      </c>
      <c r="L2040" s="126"/>
      <c r="M2040" s="52"/>
      <c r="N2040" s="52"/>
      <c r="O2040" s="52">
        <f t="shared" si="350"/>
        <v>0</v>
      </c>
      <c r="P2040" s="126"/>
      <c r="Q2040" s="52"/>
      <c r="R2040" s="52"/>
      <c r="S2040" s="52"/>
    </row>
    <row r="2041" spans="2:19" x14ac:dyDescent="0.2">
      <c r="B2041" s="79">
        <f t="shared" si="345"/>
        <v>33</v>
      </c>
      <c r="C2041" s="15"/>
      <c r="D2041" s="15"/>
      <c r="E2041" s="15"/>
      <c r="F2041" s="55" t="s">
        <v>205</v>
      </c>
      <c r="G2041" s="15">
        <v>610</v>
      </c>
      <c r="H2041" s="15" t="s">
        <v>136</v>
      </c>
      <c r="I2041" s="52">
        <v>66300</v>
      </c>
      <c r="J2041" s="52"/>
      <c r="K2041" s="52">
        <f t="shared" si="349"/>
        <v>66300</v>
      </c>
      <c r="L2041" s="126"/>
      <c r="M2041" s="52"/>
      <c r="N2041" s="52"/>
      <c r="O2041" s="52">
        <f t="shared" si="350"/>
        <v>0</v>
      </c>
      <c r="P2041" s="126"/>
      <c r="Q2041" s="52">
        <f t="shared" ref="Q2041:Q2054" si="358">I2041+M2041</f>
        <v>66300</v>
      </c>
      <c r="R2041" s="52">
        <f t="shared" ref="R2041:R2046" si="359">J2041+N2041</f>
        <v>0</v>
      </c>
      <c r="S2041" s="52">
        <f t="shared" ref="S2041:S2046" si="360">K2041+O2041</f>
        <v>66300</v>
      </c>
    </row>
    <row r="2042" spans="2:19" x14ac:dyDescent="0.2">
      <c r="B2042" s="79">
        <f t="shared" si="345"/>
        <v>34</v>
      </c>
      <c r="C2042" s="15"/>
      <c r="D2042" s="15"/>
      <c r="E2042" s="15"/>
      <c r="F2042" s="55" t="s">
        <v>205</v>
      </c>
      <c r="G2042" s="15">
        <v>620</v>
      </c>
      <c r="H2042" s="15" t="s">
        <v>131</v>
      </c>
      <c r="I2042" s="52">
        <f>99020-72520+3500</f>
        <v>30000</v>
      </c>
      <c r="J2042" s="52"/>
      <c r="K2042" s="52">
        <f t="shared" si="349"/>
        <v>30000</v>
      </c>
      <c r="L2042" s="126"/>
      <c r="M2042" s="52"/>
      <c r="N2042" s="52"/>
      <c r="O2042" s="52">
        <f t="shared" si="350"/>
        <v>0</v>
      </c>
      <c r="P2042" s="126"/>
      <c r="Q2042" s="52">
        <f t="shared" si="358"/>
        <v>30000</v>
      </c>
      <c r="R2042" s="52">
        <f t="shared" si="359"/>
        <v>0</v>
      </c>
      <c r="S2042" s="52">
        <f t="shared" si="360"/>
        <v>30000</v>
      </c>
    </row>
    <row r="2043" spans="2:19" x14ac:dyDescent="0.2">
      <c r="B2043" s="79">
        <f t="shared" si="345"/>
        <v>35</v>
      </c>
      <c r="C2043" s="15"/>
      <c r="D2043" s="15"/>
      <c r="E2043" s="15"/>
      <c r="F2043" s="55" t="s">
        <v>205</v>
      </c>
      <c r="G2043" s="15">
        <v>630</v>
      </c>
      <c r="H2043" s="15" t="s">
        <v>128</v>
      </c>
      <c r="I2043" s="52">
        <f>I2051+I2050+I2046+I2045+I2044+I2047+I2048+I2052+I2053+I2049</f>
        <v>92895</v>
      </c>
      <c r="J2043" s="52">
        <f>J2051+J2050+J2046+J2045+J2044+J2047+J2048+J2052+J2053+J2049</f>
        <v>0</v>
      </c>
      <c r="K2043" s="52">
        <f t="shared" si="349"/>
        <v>92895</v>
      </c>
      <c r="L2043" s="126"/>
      <c r="M2043" s="52">
        <f>M2051+M2050+M2046+M2045+M2044</f>
        <v>0</v>
      </c>
      <c r="N2043" s="52">
        <f>N2051+N2050+N2046+N2045+N2044</f>
        <v>0</v>
      </c>
      <c r="O2043" s="52">
        <f t="shared" si="350"/>
        <v>0</v>
      </c>
      <c r="P2043" s="126"/>
      <c r="Q2043" s="52">
        <f t="shared" si="358"/>
        <v>92895</v>
      </c>
      <c r="R2043" s="52">
        <f t="shared" si="359"/>
        <v>0</v>
      </c>
      <c r="S2043" s="52">
        <f t="shared" si="360"/>
        <v>92895</v>
      </c>
    </row>
    <row r="2044" spans="2:19" x14ac:dyDescent="0.2">
      <c r="B2044" s="79">
        <f t="shared" si="345"/>
        <v>36</v>
      </c>
      <c r="C2044" s="4"/>
      <c r="D2044" s="4"/>
      <c r="E2044" s="4"/>
      <c r="F2044" s="56" t="s">
        <v>205</v>
      </c>
      <c r="G2044" s="4">
        <v>633</v>
      </c>
      <c r="H2044" s="4" t="s">
        <v>132</v>
      </c>
      <c r="I2044" s="26">
        <f>26750-4000-3500</f>
        <v>19250</v>
      </c>
      <c r="J2044" s="26"/>
      <c r="K2044" s="26">
        <f t="shared" si="349"/>
        <v>19250</v>
      </c>
      <c r="L2044" s="80"/>
      <c r="M2044" s="26"/>
      <c r="N2044" s="26"/>
      <c r="O2044" s="26">
        <f t="shared" si="350"/>
        <v>0</v>
      </c>
      <c r="P2044" s="80"/>
      <c r="Q2044" s="26">
        <f t="shared" si="358"/>
        <v>19250</v>
      </c>
      <c r="R2044" s="26">
        <f t="shared" si="359"/>
        <v>0</v>
      </c>
      <c r="S2044" s="26">
        <f t="shared" si="360"/>
        <v>19250</v>
      </c>
    </row>
    <row r="2045" spans="2:19" x14ac:dyDescent="0.2">
      <c r="B2045" s="79">
        <f t="shared" si="345"/>
        <v>37</v>
      </c>
      <c r="C2045" s="4"/>
      <c r="D2045" s="4"/>
      <c r="E2045" s="4"/>
      <c r="F2045" s="56" t="s">
        <v>205</v>
      </c>
      <c r="G2045" s="4">
        <v>634</v>
      </c>
      <c r="H2045" s="4" t="s">
        <v>137</v>
      </c>
      <c r="I2045" s="26">
        <v>20300</v>
      </c>
      <c r="J2045" s="26"/>
      <c r="K2045" s="26">
        <f t="shared" si="349"/>
        <v>20300</v>
      </c>
      <c r="L2045" s="80"/>
      <c r="M2045" s="26"/>
      <c r="N2045" s="26"/>
      <c r="O2045" s="26">
        <f t="shared" si="350"/>
        <v>0</v>
      </c>
      <c r="P2045" s="80"/>
      <c r="Q2045" s="26">
        <f t="shared" si="358"/>
        <v>20300</v>
      </c>
      <c r="R2045" s="26">
        <f t="shared" si="359"/>
        <v>0</v>
      </c>
      <c r="S2045" s="26">
        <f t="shared" si="360"/>
        <v>20300</v>
      </c>
    </row>
    <row r="2046" spans="2:19" x14ac:dyDescent="0.2">
      <c r="B2046" s="79">
        <f t="shared" si="345"/>
        <v>38</v>
      </c>
      <c r="C2046" s="4"/>
      <c r="D2046" s="4"/>
      <c r="E2046" s="4"/>
      <c r="F2046" s="56" t="s">
        <v>205</v>
      </c>
      <c r="G2046" s="4">
        <v>635</v>
      </c>
      <c r="H2046" s="4" t="s">
        <v>138</v>
      </c>
      <c r="I2046" s="26">
        <f>13000+278550-29000-249375-5200</f>
        <v>7975</v>
      </c>
      <c r="J2046" s="26"/>
      <c r="K2046" s="26">
        <f t="shared" si="349"/>
        <v>7975</v>
      </c>
      <c r="L2046" s="80"/>
      <c r="M2046" s="26"/>
      <c r="N2046" s="26"/>
      <c r="O2046" s="26">
        <f t="shared" si="350"/>
        <v>0</v>
      </c>
      <c r="P2046" s="80"/>
      <c r="Q2046" s="26">
        <f t="shared" si="358"/>
        <v>7975</v>
      </c>
      <c r="R2046" s="26">
        <f t="shared" si="359"/>
        <v>0</v>
      </c>
      <c r="S2046" s="26">
        <f t="shared" si="360"/>
        <v>7975</v>
      </c>
    </row>
    <row r="2047" spans="2:19" x14ac:dyDescent="0.2">
      <c r="B2047" s="79">
        <f t="shared" si="345"/>
        <v>39</v>
      </c>
      <c r="C2047" s="4"/>
      <c r="D2047" s="4"/>
      <c r="E2047" s="4"/>
      <c r="F2047" s="56" t="s">
        <v>205</v>
      </c>
      <c r="G2047" s="4">
        <v>635</v>
      </c>
      <c r="H2047" s="4" t="s">
        <v>696</v>
      </c>
      <c r="I2047" s="26">
        <v>7700</v>
      </c>
      <c r="J2047" s="26"/>
      <c r="K2047" s="26">
        <f t="shared" si="349"/>
        <v>7700</v>
      </c>
      <c r="L2047" s="80"/>
      <c r="M2047" s="26"/>
      <c r="N2047" s="26"/>
      <c r="O2047" s="26">
        <f t="shared" si="350"/>
        <v>0</v>
      </c>
      <c r="P2047" s="80"/>
      <c r="Q2047" s="26"/>
      <c r="R2047" s="26"/>
      <c r="S2047" s="26"/>
    </row>
    <row r="2048" spans="2:19" ht="24" x14ac:dyDescent="0.2">
      <c r="B2048" s="79">
        <f t="shared" si="345"/>
        <v>40</v>
      </c>
      <c r="C2048" s="4"/>
      <c r="D2048" s="4"/>
      <c r="E2048" s="4"/>
      <c r="F2048" s="83" t="s">
        <v>205</v>
      </c>
      <c r="G2048" s="82">
        <v>635</v>
      </c>
      <c r="H2048" s="84" t="s">
        <v>697</v>
      </c>
      <c r="I2048" s="26">
        <v>3000</v>
      </c>
      <c r="J2048" s="26"/>
      <c r="K2048" s="26">
        <f t="shared" si="349"/>
        <v>3000</v>
      </c>
      <c r="L2048" s="80"/>
      <c r="M2048" s="26"/>
      <c r="N2048" s="26"/>
      <c r="O2048" s="26">
        <f t="shared" si="350"/>
        <v>0</v>
      </c>
      <c r="P2048" s="80"/>
      <c r="Q2048" s="26"/>
      <c r="R2048" s="26"/>
      <c r="S2048" s="26"/>
    </row>
    <row r="2049" spans="2:19" ht="24" x14ac:dyDescent="0.2">
      <c r="B2049" s="79">
        <f t="shared" si="345"/>
        <v>41</v>
      </c>
      <c r="C2049" s="4"/>
      <c r="D2049" s="4"/>
      <c r="E2049" s="4"/>
      <c r="F2049" s="143">
        <v>620</v>
      </c>
      <c r="G2049" s="143">
        <v>635</v>
      </c>
      <c r="H2049" s="156" t="s">
        <v>702</v>
      </c>
      <c r="I2049" s="143">
        <v>5000</v>
      </c>
      <c r="J2049" s="143"/>
      <c r="K2049" s="143">
        <f t="shared" si="349"/>
        <v>5000</v>
      </c>
      <c r="L2049" s="166"/>
      <c r="M2049" s="143"/>
      <c r="N2049" s="143"/>
      <c r="O2049" s="143">
        <f t="shared" si="350"/>
        <v>0</v>
      </c>
      <c r="P2049" s="166"/>
      <c r="Q2049" s="143">
        <f t="shared" ref="Q2049" si="361">I2049+M2049</f>
        <v>5000</v>
      </c>
      <c r="R2049" s="143">
        <f t="shared" ref="R2049:R2051" si="362">J2049+N2049</f>
        <v>0</v>
      </c>
      <c r="S2049" s="143">
        <f t="shared" ref="S2049:S2051" si="363">K2049+O2049</f>
        <v>5000</v>
      </c>
    </row>
    <row r="2050" spans="2:19" x14ac:dyDescent="0.2">
      <c r="B2050" s="79">
        <f t="shared" si="345"/>
        <v>42</v>
      </c>
      <c r="C2050" s="4"/>
      <c r="D2050" s="4"/>
      <c r="E2050" s="4"/>
      <c r="F2050" s="56" t="s">
        <v>205</v>
      </c>
      <c r="G2050" s="4">
        <v>636</v>
      </c>
      <c r="H2050" s="4" t="s">
        <v>133</v>
      </c>
      <c r="I2050" s="26">
        <v>150</v>
      </c>
      <c r="J2050" s="26"/>
      <c r="K2050" s="26">
        <f t="shared" si="349"/>
        <v>150</v>
      </c>
      <c r="L2050" s="80"/>
      <c r="M2050" s="26"/>
      <c r="N2050" s="26"/>
      <c r="O2050" s="26">
        <f t="shared" si="350"/>
        <v>0</v>
      </c>
      <c r="P2050" s="80"/>
      <c r="Q2050" s="26">
        <f t="shared" si="358"/>
        <v>150</v>
      </c>
      <c r="R2050" s="26">
        <f t="shared" si="362"/>
        <v>0</v>
      </c>
      <c r="S2050" s="26">
        <f t="shared" si="363"/>
        <v>150</v>
      </c>
    </row>
    <row r="2051" spans="2:19" x14ac:dyDescent="0.2">
      <c r="B2051" s="79">
        <f t="shared" si="345"/>
        <v>43</v>
      </c>
      <c r="C2051" s="4"/>
      <c r="D2051" s="4"/>
      <c r="E2051" s="4"/>
      <c r="F2051" s="56" t="s">
        <v>205</v>
      </c>
      <c r="G2051" s="4">
        <v>637</v>
      </c>
      <c r="H2051" s="4" t="s">
        <v>129</v>
      </c>
      <c r="I2051" s="26">
        <f>230050-211530</f>
        <v>18520</v>
      </c>
      <c r="J2051" s="26"/>
      <c r="K2051" s="26">
        <f t="shared" si="349"/>
        <v>18520</v>
      </c>
      <c r="L2051" s="80"/>
      <c r="M2051" s="26"/>
      <c r="N2051" s="26"/>
      <c r="O2051" s="26">
        <f t="shared" si="350"/>
        <v>0</v>
      </c>
      <c r="P2051" s="80"/>
      <c r="Q2051" s="26">
        <f t="shared" si="358"/>
        <v>18520</v>
      </c>
      <c r="R2051" s="26">
        <f t="shared" si="362"/>
        <v>0</v>
      </c>
      <c r="S2051" s="26">
        <f t="shared" si="363"/>
        <v>18520</v>
      </c>
    </row>
    <row r="2052" spans="2:19" x14ac:dyDescent="0.2">
      <c r="B2052" s="79">
        <f t="shared" si="345"/>
        <v>44</v>
      </c>
      <c r="C2052" s="4"/>
      <c r="D2052" s="4"/>
      <c r="E2052" s="4"/>
      <c r="F2052" s="56" t="s">
        <v>205</v>
      </c>
      <c r="G2052" s="4">
        <v>637</v>
      </c>
      <c r="H2052" s="4" t="s">
        <v>698</v>
      </c>
      <c r="I2052" s="26">
        <v>3000</v>
      </c>
      <c r="J2052" s="26"/>
      <c r="K2052" s="26">
        <f t="shared" si="349"/>
        <v>3000</v>
      </c>
      <c r="L2052" s="80"/>
      <c r="M2052" s="26"/>
      <c r="N2052" s="26"/>
      <c r="O2052" s="26">
        <f t="shared" si="350"/>
        <v>0</v>
      </c>
      <c r="P2052" s="80"/>
      <c r="Q2052" s="26"/>
      <c r="R2052" s="26"/>
      <c r="S2052" s="26"/>
    </row>
    <row r="2053" spans="2:19" x14ac:dyDescent="0.2">
      <c r="B2053" s="79">
        <f t="shared" si="345"/>
        <v>45</v>
      </c>
      <c r="C2053" s="4"/>
      <c r="D2053" s="4"/>
      <c r="E2053" s="4"/>
      <c r="F2053" s="56" t="s">
        <v>205</v>
      </c>
      <c r="G2053" s="4">
        <v>637</v>
      </c>
      <c r="H2053" s="4" t="s">
        <v>699</v>
      </c>
      <c r="I2053" s="26">
        <v>8000</v>
      </c>
      <c r="J2053" s="26"/>
      <c r="K2053" s="26">
        <f t="shared" si="349"/>
        <v>8000</v>
      </c>
      <c r="L2053" s="80"/>
      <c r="M2053" s="26"/>
      <c r="N2053" s="26"/>
      <c r="O2053" s="26">
        <f t="shared" si="350"/>
        <v>0</v>
      </c>
      <c r="P2053" s="80"/>
      <c r="Q2053" s="26"/>
      <c r="R2053" s="26"/>
      <c r="S2053" s="26"/>
    </row>
    <row r="2054" spans="2:19" x14ac:dyDescent="0.2">
      <c r="B2054" s="79">
        <f t="shared" si="345"/>
        <v>46</v>
      </c>
      <c r="C2054" s="15"/>
      <c r="D2054" s="15"/>
      <c r="E2054" s="15"/>
      <c r="F2054" s="55" t="s">
        <v>205</v>
      </c>
      <c r="G2054" s="15">
        <v>640</v>
      </c>
      <c r="H2054" s="15" t="s">
        <v>135</v>
      </c>
      <c r="I2054" s="52">
        <v>300</v>
      </c>
      <c r="J2054" s="52"/>
      <c r="K2054" s="52">
        <f t="shared" si="349"/>
        <v>300</v>
      </c>
      <c r="L2054" s="126"/>
      <c r="M2054" s="52"/>
      <c r="N2054" s="52"/>
      <c r="O2054" s="52">
        <f t="shared" si="350"/>
        <v>0</v>
      </c>
      <c r="P2054" s="126"/>
      <c r="Q2054" s="52">
        <f t="shared" si="358"/>
        <v>300</v>
      </c>
      <c r="R2054" s="52">
        <f t="shared" ref="R2054" si="364">J2054+N2054</f>
        <v>0</v>
      </c>
      <c r="S2054" s="52">
        <f t="shared" ref="S2054" si="365">K2054+O2054</f>
        <v>300</v>
      </c>
    </row>
    <row r="2055" spans="2:19" x14ac:dyDescent="0.2">
      <c r="B2055" s="79">
        <f t="shared" si="345"/>
        <v>47</v>
      </c>
      <c r="C2055" s="15"/>
      <c r="D2055" s="15"/>
      <c r="E2055" s="15"/>
      <c r="F2055" s="55"/>
      <c r="G2055" s="15"/>
      <c r="H2055" s="15"/>
      <c r="I2055" s="52"/>
      <c r="J2055" s="52"/>
      <c r="K2055" s="52">
        <f t="shared" si="349"/>
        <v>0</v>
      </c>
      <c r="L2055" s="126"/>
      <c r="M2055" s="52"/>
      <c r="N2055" s="52"/>
      <c r="O2055" s="52">
        <f t="shared" si="350"/>
        <v>0</v>
      </c>
      <c r="P2055" s="126"/>
      <c r="Q2055" s="52"/>
      <c r="R2055" s="52"/>
      <c r="S2055" s="52"/>
    </row>
    <row r="2056" spans="2:19" x14ac:dyDescent="0.2">
      <c r="B2056" s="79">
        <f t="shared" si="345"/>
        <v>48</v>
      </c>
      <c r="C2056" s="15"/>
      <c r="D2056" s="15"/>
      <c r="E2056" s="15"/>
      <c r="F2056" s="55" t="s">
        <v>205</v>
      </c>
      <c r="G2056" s="15">
        <v>630</v>
      </c>
      <c r="H2056" s="15" t="s">
        <v>426</v>
      </c>
      <c r="I2056" s="52">
        <v>60000</v>
      </c>
      <c r="J2056" s="52"/>
      <c r="K2056" s="52">
        <f t="shared" si="349"/>
        <v>60000</v>
      </c>
      <c r="L2056" s="126"/>
      <c r="M2056" s="52"/>
      <c r="N2056" s="52"/>
      <c r="O2056" s="52">
        <f t="shared" si="350"/>
        <v>0</v>
      </c>
      <c r="P2056" s="126"/>
      <c r="Q2056" s="52">
        <f>I2056+M2056</f>
        <v>60000</v>
      </c>
      <c r="R2056" s="52">
        <f t="shared" ref="R2056:S2056" si="366">J2056+N2056</f>
        <v>0</v>
      </c>
      <c r="S2056" s="52">
        <f t="shared" si="366"/>
        <v>60000</v>
      </c>
    </row>
    <row r="2057" spans="2:19" x14ac:dyDescent="0.2">
      <c r="B2057" s="79">
        <f t="shared" si="345"/>
        <v>49</v>
      </c>
      <c r="C2057" s="15"/>
      <c r="D2057" s="15"/>
      <c r="E2057" s="15"/>
      <c r="F2057" s="55"/>
      <c r="G2057" s="15"/>
      <c r="H2057" s="15"/>
      <c r="I2057" s="52"/>
      <c r="J2057" s="52"/>
      <c r="K2057" s="52">
        <f t="shared" si="349"/>
        <v>0</v>
      </c>
      <c r="L2057" s="126"/>
      <c r="M2057" s="52"/>
      <c r="N2057" s="52"/>
      <c r="O2057" s="52">
        <f t="shared" si="350"/>
        <v>0</v>
      </c>
      <c r="P2057" s="126"/>
      <c r="Q2057" s="52"/>
      <c r="R2057" s="52"/>
      <c r="S2057" s="52"/>
    </row>
    <row r="2058" spans="2:19" ht="15" x14ac:dyDescent="0.2">
      <c r="B2058" s="79">
        <f t="shared" si="345"/>
        <v>50</v>
      </c>
      <c r="C2058" s="191">
        <v>2</v>
      </c>
      <c r="D2058" s="245" t="s">
        <v>146</v>
      </c>
      <c r="E2058" s="246"/>
      <c r="F2058" s="246"/>
      <c r="G2058" s="246"/>
      <c r="H2058" s="247"/>
      <c r="I2058" s="48">
        <f>I2059+I2063</f>
        <v>2637000</v>
      </c>
      <c r="J2058" s="48">
        <f>J2059+J2063</f>
        <v>0</v>
      </c>
      <c r="K2058" s="48">
        <f t="shared" si="349"/>
        <v>2637000</v>
      </c>
      <c r="L2058" s="201"/>
      <c r="M2058" s="48">
        <f>M2059+M2063</f>
        <v>80060</v>
      </c>
      <c r="N2058" s="48">
        <f>N2059+N2063</f>
        <v>0</v>
      </c>
      <c r="O2058" s="48">
        <f t="shared" si="350"/>
        <v>80060</v>
      </c>
      <c r="P2058" s="201"/>
      <c r="Q2058" s="48">
        <f t="shared" ref="Q2058:Q2083" si="367">I2058+M2058</f>
        <v>2717060</v>
      </c>
      <c r="R2058" s="48">
        <f t="shared" ref="R2058:R2061" si="368">J2058+N2058</f>
        <v>0</v>
      </c>
      <c r="S2058" s="48">
        <f t="shared" ref="S2058:S2061" si="369">K2058+O2058</f>
        <v>2717060</v>
      </c>
    </row>
    <row r="2059" spans="2:19" ht="15" x14ac:dyDescent="0.25">
      <c r="B2059" s="79">
        <f t="shared" si="345"/>
        <v>51</v>
      </c>
      <c r="C2059" s="190"/>
      <c r="D2059" s="190">
        <v>1</v>
      </c>
      <c r="E2059" s="268" t="s">
        <v>145</v>
      </c>
      <c r="F2059" s="246"/>
      <c r="G2059" s="246"/>
      <c r="H2059" s="247"/>
      <c r="I2059" s="49">
        <f>I2060</f>
        <v>2634700</v>
      </c>
      <c r="J2059" s="49">
        <f>J2060</f>
        <v>0</v>
      </c>
      <c r="K2059" s="49">
        <f t="shared" si="349"/>
        <v>2634700</v>
      </c>
      <c r="L2059" s="202"/>
      <c r="M2059" s="49">
        <f>M2062</f>
        <v>15000</v>
      </c>
      <c r="N2059" s="49">
        <f>N2062</f>
        <v>0</v>
      </c>
      <c r="O2059" s="49">
        <f t="shared" si="350"/>
        <v>15000</v>
      </c>
      <c r="P2059" s="202"/>
      <c r="Q2059" s="49">
        <f t="shared" si="367"/>
        <v>2649700</v>
      </c>
      <c r="R2059" s="49">
        <f t="shared" si="368"/>
        <v>0</v>
      </c>
      <c r="S2059" s="49">
        <f t="shared" si="369"/>
        <v>2649700</v>
      </c>
    </row>
    <row r="2060" spans="2:19" x14ac:dyDescent="0.2">
      <c r="B2060" s="79">
        <f t="shared" si="345"/>
        <v>52</v>
      </c>
      <c r="C2060" s="15"/>
      <c r="D2060" s="15"/>
      <c r="E2060" s="15"/>
      <c r="F2060" s="55" t="s">
        <v>144</v>
      </c>
      <c r="G2060" s="15">
        <v>630</v>
      </c>
      <c r="H2060" s="15" t="s">
        <v>128</v>
      </c>
      <c r="I2060" s="52">
        <f>I2061</f>
        <v>2634700</v>
      </c>
      <c r="J2060" s="52">
        <f>J2061</f>
        <v>0</v>
      </c>
      <c r="K2060" s="52">
        <f t="shared" si="349"/>
        <v>2634700</v>
      </c>
      <c r="L2060" s="126"/>
      <c r="M2060" s="52">
        <f>M2061</f>
        <v>0</v>
      </c>
      <c r="N2060" s="52">
        <f>N2061</f>
        <v>0</v>
      </c>
      <c r="O2060" s="52">
        <f t="shared" si="350"/>
        <v>0</v>
      </c>
      <c r="P2060" s="126"/>
      <c r="Q2060" s="52">
        <f t="shared" si="367"/>
        <v>2634700</v>
      </c>
      <c r="R2060" s="52">
        <f t="shared" si="368"/>
        <v>0</v>
      </c>
      <c r="S2060" s="52">
        <f t="shared" si="369"/>
        <v>2634700</v>
      </c>
    </row>
    <row r="2061" spans="2:19" x14ac:dyDescent="0.2">
      <c r="B2061" s="79">
        <f t="shared" si="345"/>
        <v>53</v>
      </c>
      <c r="C2061" s="4"/>
      <c r="D2061" s="4"/>
      <c r="E2061" s="4"/>
      <c r="F2061" s="56" t="s">
        <v>144</v>
      </c>
      <c r="G2061" s="4">
        <v>637</v>
      </c>
      <c r="H2061" s="4" t="s">
        <v>129</v>
      </c>
      <c r="I2061" s="80">
        <f>2965000-140000-3000-117000-70300</f>
        <v>2634700</v>
      </c>
      <c r="J2061" s="80"/>
      <c r="K2061" s="80">
        <f t="shared" si="349"/>
        <v>2634700</v>
      </c>
      <c r="L2061" s="80"/>
      <c r="M2061" s="26"/>
      <c r="N2061" s="26"/>
      <c r="O2061" s="26">
        <f t="shared" si="350"/>
        <v>0</v>
      </c>
      <c r="P2061" s="80"/>
      <c r="Q2061" s="26">
        <f t="shared" si="367"/>
        <v>2634700</v>
      </c>
      <c r="R2061" s="26">
        <f t="shared" si="368"/>
        <v>0</v>
      </c>
      <c r="S2061" s="26">
        <f t="shared" si="369"/>
        <v>2634700</v>
      </c>
    </row>
    <row r="2062" spans="2:19" x14ac:dyDescent="0.2">
      <c r="B2062" s="79">
        <f t="shared" si="345"/>
        <v>54</v>
      </c>
      <c r="C2062" s="4"/>
      <c r="D2062" s="4"/>
      <c r="E2062" s="58"/>
      <c r="F2062" s="179" t="s">
        <v>144</v>
      </c>
      <c r="G2062" s="180">
        <v>717</v>
      </c>
      <c r="H2062" s="180" t="s">
        <v>686</v>
      </c>
      <c r="I2062" s="131"/>
      <c r="J2062" s="131"/>
      <c r="K2062" s="131">
        <f t="shared" si="349"/>
        <v>0</v>
      </c>
      <c r="L2062" s="166"/>
      <c r="M2062" s="131">
        <v>15000</v>
      </c>
      <c r="N2062" s="131"/>
      <c r="O2062" s="131">
        <f t="shared" si="350"/>
        <v>15000</v>
      </c>
      <c r="P2062" s="166"/>
      <c r="Q2062" s="131">
        <f>M2062</f>
        <v>15000</v>
      </c>
      <c r="R2062" s="131">
        <f t="shared" ref="R2062:S2062" si="370">N2062</f>
        <v>0</v>
      </c>
      <c r="S2062" s="131">
        <f t="shared" si="370"/>
        <v>15000</v>
      </c>
    </row>
    <row r="2063" spans="2:19" ht="15" x14ac:dyDescent="0.25">
      <c r="B2063" s="79">
        <f t="shared" si="345"/>
        <v>55</v>
      </c>
      <c r="C2063" s="190"/>
      <c r="D2063" s="190">
        <v>2</v>
      </c>
      <c r="E2063" s="268" t="s">
        <v>27</v>
      </c>
      <c r="F2063" s="246"/>
      <c r="G2063" s="246"/>
      <c r="H2063" s="247"/>
      <c r="I2063" s="49">
        <f>I2064+I2066</f>
        <v>2300</v>
      </c>
      <c r="J2063" s="49">
        <f>J2064+J2066</f>
        <v>0</v>
      </c>
      <c r="K2063" s="49">
        <f t="shared" si="349"/>
        <v>2300</v>
      </c>
      <c r="L2063" s="202"/>
      <c r="M2063" s="49">
        <f>M2064+M2066</f>
        <v>65060</v>
      </c>
      <c r="N2063" s="49">
        <f>N2064+N2066</f>
        <v>0</v>
      </c>
      <c r="O2063" s="49">
        <f t="shared" si="350"/>
        <v>65060</v>
      </c>
      <c r="P2063" s="202"/>
      <c r="Q2063" s="49">
        <f t="shared" si="367"/>
        <v>67360</v>
      </c>
      <c r="R2063" s="49">
        <f t="shared" ref="R2063:R2075" si="371">J2063+N2063</f>
        <v>0</v>
      </c>
      <c r="S2063" s="49">
        <f t="shared" ref="S2063:S2075" si="372">K2063+O2063</f>
        <v>67360</v>
      </c>
    </row>
    <row r="2064" spans="2:19" x14ac:dyDescent="0.2">
      <c r="B2064" s="79">
        <f t="shared" si="345"/>
        <v>56</v>
      </c>
      <c r="C2064" s="15"/>
      <c r="D2064" s="15"/>
      <c r="E2064" s="15"/>
      <c r="F2064" s="55" t="s">
        <v>144</v>
      </c>
      <c r="G2064" s="15">
        <v>630</v>
      </c>
      <c r="H2064" s="15" t="s">
        <v>128</v>
      </c>
      <c r="I2064" s="52">
        <f>I2065</f>
        <v>2300</v>
      </c>
      <c r="J2064" s="52">
        <f>J2065</f>
        <v>0</v>
      </c>
      <c r="K2064" s="52">
        <f t="shared" si="349"/>
        <v>2300</v>
      </c>
      <c r="L2064" s="126"/>
      <c r="M2064" s="52">
        <f>M2065</f>
        <v>0</v>
      </c>
      <c r="N2064" s="52">
        <f>N2065</f>
        <v>0</v>
      </c>
      <c r="O2064" s="52">
        <f t="shared" si="350"/>
        <v>0</v>
      </c>
      <c r="P2064" s="126"/>
      <c r="Q2064" s="52">
        <f t="shared" si="367"/>
        <v>2300</v>
      </c>
      <c r="R2064" s="52">
        <f t="shared" si="371"/>
        <v>0</v>
      </c>
      <c r="S2064" s="52">
        <f t="shared" si="372"/>
        <v>2300</v>
      </c>
    </row>
    <row r="2065" spans="2:19" x14ac:dyDescent="0.2">
      <c r="B2065" s="79">
        <f t="shared" si="345"/>
        <v>57</v>
      </c>
      <c r="C2065" s="4"/>
      <c r="D2065" s="4"/>
      <c r="E2065" s="4"/>
      <c r="F2065" s="56" t="s">
        <v>144</v>
      </c>
      <c r="G2065" s="4">
        <v>637</v>
      </c>
      <c r="H2065" s="4" t="s">
        <v>129</v>
      </c>
      <c r="I2065" s="26">
        <v>2300</v>
      </c>
      <c r="J2065" s="26"/>
      <c r="K2065" s="26">
        <f t="shared" si="349"/>
        <v>2300</v>
      </c>
      <c r="L2065" s="80"/>
      <c r="M2065" s="26"/>
      <c r="N2065" s="26"/>
      <c r="O2065" s="26">
        <f t="shared" si="350"/>
        <v>0</v>
      </c>
      <c r="P2065" s="80"/>
      <c r="Q2065" s="26">
        <f t="shared" si="367"/>
        <v>2300</v>
      </c>
      <c r="R2065" s="26">
        <f t="shared" si="371"/>
        <v>0</v>
      </c>
      <c r="S2065" s="26">
        <f t="shared" si="372"/>
        <v>2300</v>
      </c>
    </row>
    <row r="2066" spans="2:19" x14ac:dyDescent="0.2">
      <c r="B2066" s="79">
        <f t="shared" si="345"/>
        <v>58</v>
      </c>
      <c r="C2066" s="15"/>
      <c r="D2066" s="15"/>
      <c r="E2066" s="15"/>
      <c r="F2066" s="55" t="s">
        <v>144</v>
      </c>
      <c r="G2066" s="15">
        <v>710</v>
      </c>
      <c r="H2066" s="15" t="s">
        <v>184</v>
      </c>
      <c r="I2066" s="52">
        <v>0</v>
      </c>
      <c r="J2066" s="52">
        <v>0</v>
      </c>
      <c r="K2066" s="52">
        <f t="shared" si="349"/>
        <v>0</v>
      </c>
      <c r="L2066" s="126"/>
      <c r="M2066" s="52">
        <f>M2067</f>
        <v>65060</v>
      </c>
      <c r="N2066" s="52">
        <f>N2067</f>
        <v>0</v>
      </c>
      <c r="O2066" s="52">
        <f t="shared" si="350"/>
        <v>65060</v>
      </c>
      <c r="P2066" s="126"/>
      <c r="Q2066" s="52">
        <f t="shared" si="367"/>
        <v>65060</v>
      </c>
      <c r="R2066" s="52">
        <f t="shared" si="371"/>
        <v>0</v>
      </c>
      <c r="S2066" s="52">
        <f t="shared" si="372"/>
        <v>65060</v>
      </c>
    </row>
    <row r="2067" spans="2:19" x14ac:dyDescent="0.2">
      <c r="B2067" s="79">
        <f t="shared" si="345"/>
        <v>59</v>
      </c>
      <c r="C2067" s="4"/>
      <c r="D2067" s="4"/>
      <c r="E2067" s="4"/>
      <c r="F2067" s="89" t="s">
        <v>144</v>
      </c>
      <c r="G2067" s="90">
        <v>717</v>
      </c>
      <c r="H2067" s="90" t="s">
        <v>194</v>
      </c>
      <c r="I2067" s="91"/>
      <c r="J2067" s="91"/>
      <c r="K2067" s="91">
        <f t="shared" si="349"/>
        <v>0</v>
      </c>
      <c r="L2067" s="80"/>
      <c r="M2067" s="91">
        <f>SUM(M2068:M2068)</f>
        <v>65060</v>
      </c>
      <c r="N2067" s="91">
        <f>SUM(N2068:N2068)</f>
        <v>0</v>
      </c>
      <c r="O2067" s="91">
        <f t="shared" si="350"/>
        <v>65060</v>
      </c>
      <c r="P2067" s="80"/>
      <c r="Q2067" s="91">
        <f t="shared" si="367"/>
        <v>65060</v>
      </c>
      <c r="R2067" s="91">
        <f t="shared" si="371"/>
        <v>0</v>
      </c>
      <c r="S2067" s="91">
        <f t="shared" si="372"/>
        <v>65060</v>
      </c>
    </row>
    <row r="2068" spans="2:19" x14ac:dyDescent="0.2">
      <c r="B2068" s="79">
        <f t="shared" si="345"/>
        <v>60</v>
      </c>
      <c r="C2068" s="4"/>
      <c r="D2068" s="58"/>
      <c r="E2068" s="4"/>
      <c r="F2068" s="56"/>
      <c r="G2068" s="4"/>
      <c r="H2068" s="4" t="s">
        <v>387</v>
      </c>
      <c r="I2068" s="26"/>
      <c r="J2068" s="26"/>
      <c r="K2068" s="26">
        <f t="shared" si="349"/>
        <v>0</v>
      </c>
      <c r="L2068" s="80"/>
      <c r="M2068" s="26">
        <v>65060</v>
      </c>
      <c r="N2068" s="26"/>
      <c r="O2068" s="26">
        <f t="shared" si="350"/>
        <v>65060</v>
      </c>
      <c r="P2068" s="80"/>
      <c r="Q2068" s="26">
        <f t="shared" si="367"/>
        <v>65060</v>
      </c>
      <c r="R2068" s="26">
        <f t="shared" si="371"/>
        <v>0</v>
      </c>
      <c r="S2068" s="26">
        <f t="shared" si="372"/>
        <v>65060</v>
      </c>
    </row>
    <row r="2069" spans="2:19" ht="15" x14ac:dyDescent="0.2">
      <c r="B2069" s="79">
        <f t="shared" si="345"/>
        <v>61</v>
      </c>
      <c r="C2069" s="191">
        <v>3</v>
      </c>
      <c r="D2069" s="245" t="s">
        <v>31</v>
      </c>
      <c r="E2069" s="246"/>
      <c r="F2069" s="246"/>
      <c r="G2069" s="246"/>
      <c r="H2069" s="247"/>
      <c r="I2069" s="48">
        <f>I2070+I2073+I2077+I2076</f>
        <v>29150</v>
      </c>
      <c r="J2069" s="48">
        <f>J2070+J2073+J2077+J2076</f>
        <v>0</v>
      </c>
      <c r="K2069" s="48">
        <f t="shared" si="349"/>
        <v>29150</v>
      </c>
      <c r="L2069" s="201"/>
      <c r="M2069" s="48">
        <f>M2070+M2073+M2077+M2079</f>
        <v>3500</v>
      </c>
      <c r="N2069" s="48">
        <f>N2070+N2073+N2077+N2079</f>
        <v>0</v>
      </c>
      <c r="O2069" s="48">
        <f t="shared" si="350"/>
        <v>3500</v>
      </c>
      <c r="P2069" s="201"/>
      <c r="Q2069" s="48">
        <f t="shared" si="367"/>
        <v>32650</v>
      </c>
      <c r="R2069" s="48">
        <f t="shared" si="371"/>
        <v>0</v>
      </c>
      <c r="S2069" s="48">
        <f t="shared" si="372"/>
        <v>32650</v>
      </c>
    </row>
    <row r="2070" spans="2:19" x14ac:dyDescent="0.2">
      <c r="B2070" s="79">
        <f t="shared" si="345"/>
        <v>62</v>
      </c>
      <c r="C2070" s="15"/>
      <c r="D2070" s="15"/>
      <c r="E2070" s="15"/>
      <c r="F2070" s="55" t="s">
        <v>30</v>
      </c>
      <c r="G2070" s="15">
        <v>630</v>
      </c>
      <c r="H2070" s="15" t="s">
        <v>128</v>
      </c>
      <c r="I2070" s="52">
        <f>I2072+I2071</f>
        <v>10200</v>
      </c>
      <c r="J2070" s="52">
        <f>J2072+J2071</f>
        <v>0</v>
      </c>
      <c r="K2070" s="52">
        <f t="shared" si="349"/>
        <v>10200</v>
      </c>
      <c r="L2070" s="126"/>
      <c r="M2070" s="52">
        <f>M2072+M2071</f>
        <v>0</v>
      </c>
      <c r="N2070" s="52">
        <f>N2072+N2071</f>
        <v>0</v>
      </c>
      <c r="O2070" s="52">
        <f t="shared" si="350"/>
        <v>0</v>
      </c>
      <c r="P2070" s="126"/>
      <c r="Q2070" s="52">
        <f t="shared" si="367"/>
        <v>10200</v>
      </c>
      <c r="R2070" s="52">
        <f t="shared" si="371"/>
        <v>0</v>
      </c>
      <c r="S2070" s="52">
        <f t="shared" si="372"/>
        <v>10200</v>
      </c>
    </row>
    <row r="2071" spans="2:19" x14ac:dyDescent="0.2">
      <c r="B2071" s="79">
        <f t="shared" si="345"/>
        <v>63</v>
      </c>
      <c r="C2071" s="4"/>
      <c r="D2071" s="4"/>
      <c r="E2071" s="4"/>
      <c r="F2071" s="56" t="s">
        <v>30</v>
      </c>
      <c r="G2071" s="4">
        <v>633</v>
      </c>
      <c r="H2071" s="4" t="s">
        <v>132</v>
      </c>
      <c r="I2071" s="26">
        <v>100</v>
      </c>
      <c r="J2071" s="26"/>
      <c r="K2071" s="26">
        <f t="shared" si="349"/>
        <v>100</v>
      </c>
      <c r="L2071" s="80"/>
      <c r="M2071" s="26"/>
      <c r="N2071" s="26"/>
      <c r="O2071" s="26">
        <f t="shared" si="350"/>
        <v>0</v>
      </c>
      <c r="P2071" s="80"/>
      <c r="Q2071" s="26">
        <f t="shared" si="367"/>
        <v>100</v>
      </c>
      <c r="R2071" s="26">
        <f t="shared" si="371"/>
        <v>0</v>
      </c>
      <c r="S2071" s="26">
        <f t="shared" si="372"/>
        <v>100</v>
      </c>
    </row>
    <row r="2072" spans="2:19" x14ac:dyDescent="0.2">
      <c r="B2072" s="79">
        <f t="shared" si="345"/>
        <v>64</v>
      </c>
      <c r="C2072" s="4"/>
      <c r="D2072" s="4"/>
      <c r="E2072" s="4"/>
      <c r="F2072" s="56" t="s">
        <v>30</v>
      </c>
      <c r="G2072" s="4">
        <v>637</v>
      </c>
      <c r="H2072" s="4" t="s">
        <v>129</v>
      </c>
      <c r="I2072" s="26">
        <f>7900-3000+1200+3000+1000</f>
        <v>10100</v>
      </c>
      <c r="J2072" s="26"/>
      <c r="K2072" s="26">
        <f t="shared" si="349"/>
        <v>10100</v>
      </c>
      <c r="L2072" s="80"/>
      <c r="M2072" s="26"/>
      <c r="N2072" s="26"/>
      <c r="O2072" s="26">
        <f t="shared" si="350"/>
        <v>0</v>
      </c>
      <c r="P2072" s="80"/>
      <c r="Q2072" s="26">
        <f t="shared" si="367"/>
        <v>10100</v>
      </c>
      <c r="R2072" s="26">
        <f t="shared" si="371"/>
        <v>0</v>
      </c>
      <c r="S2072" s="26">
        <f t="shared" si="372"/>
        <v>10100</v>
      </c>
    </row>
    <row r="2073" spans="2:19" x14ac:dyDescent="0.2">
      <c r="B2073" s="79">
        <f t="shared" ref="B2073:B2107" si="373">B2072+1</f>
        <v>65</v>
      </c>
      <c r="C2073" s="4"/>
      <c r="D2073" s="4"/>
      <c r="E2073" s="4"/>
      <c r="F2073" s="55" t="s">
        <v>75</v>
      </c>
      <c r="G2073" s="15">
        <v>630</v>
      </c>
      <c r="H2073" s="15" t="s">
        <v>128</v>
      </c>
      <c r="I2073" s="52">
        <f>I2074+I2075</f>
        <v>9950</v>
      </c>
      <c r="J2073" s="52">
        <f>J2074+J2075</f>
        <v>0</v>
      </c>
      <c r="K2073" s="52">
        <f t="shared" si="349"/>
        <v>9950</v>
      </c>
      <c r="L2073" s="126"/>
      <c r="M2073" s="52">
        <f>M2075+M2074</f>
        <v>0</v>
      </c>
      <c r="N2073" s="52">
        <f>N2075+N2074</f>
        <v>0</v>
      </c>
      <c r="O2073" s="52">
        <f t="shared" si="350"/>
        <v>0</v>
      </c>
      <c r="P2073" s="126"/>
      <c r="Q2073" s="52">
        <f t="shared" si="367"/>
        <v>9950</v>
      </c>
      <c r="R2073" s="52">
        <f t="shared" si="371"/>
        <v>0</v>
      </c>
      <c r="S2073" s="52">
        <f t="shared" si="372"/>
        <v>9950</v>
      </c>
    </row>
    <row r="2074" spans="2:19" x14ac:dyDescent="0.2">
      <c r="B2074" s="79">
        <f t="shared" si="373"/>
        <v>66</v>
      </c>
      <c r="C2074" s="4"/>
      <c r="D2074" s="4"/>
      <c r="E2074" s="4"/>
      <c r="F2074" s="56" t="s">
        <v>75</v>
      </c>
      <c r="G2074" s="4">
        <v>637</v>
      </c>
      <c r="H2074" s="4" t="s">
        <v>645</v>
      </c>
      <c r="I2074" s="26">
        <f>3170+540</f>
        <v>3710</v>
      </c>
      <c r="J2074" s="26"/>
      <c r="K2074" s="26">
        <f t="shared" ref="K2074:K2107" si="374">I2074+J2074</f>
        <v>3710</v>
      </c>
      <c r="L2074" s="80"/>
      <c r="M2074" s="26"/>
      <c r="N2074" s="26"/>
      <c r="O2074" s="26">
        <f t="shared" ref="O2074:O2107" si="375">M2074+N2074</f>
        <v>0</v>
      </c>
      <c r="P2074" s="80"/>
      <c r="Q2074" s="26">
        <f t="shared" si="367"/>
        <v>3710</v>
      </c>
      <c r="R2074" s="26">
        <f t="shared" si="371"/>
        <v>0</v>
      </c>
      <c r="S2074" s="26">
        <f t="shared" si="372"/>
        <v>3710</v>
      </c>
    </row>
    <row r="2075" spans="2:19" x14ac:dyDescent="0.2">
      <c r="B2075" s="79">
        <f t="shared" si="373"/>
        <v>67</v>
      </c>
      <c r="C2075" s="4"/>
      <c r="D2075" s="4"/>
      <c r="E2075" s="4"/>
      <c r="F2075" s="56" t="s">
        <v>75</v>
      </c>
      <c r="G2075" s="4">
        <v>637</v>
      </c>
      <c r="H2075" s="4" t="s">
        <v>646</v>
      </c>
      <c r="I2075" s="26">
        <v>6240</v>
      </c>
      <c r="J2075" s="26"/>
      <c r="K2075" s="26">
        <f t="shared" si="374"/>
        <v>6240</v>
      </c>
      <c r="L2075" s="80"/>
      <c r="M2075" s="26"/>
      <c r="N2075" s="26"/>
      <c r="O2075" s="26">
        <f t="shared" si="375"/>
        <v>0</v>
      </c>
      <c r="P2075" s="80"/>
      <c r="Q2075" s="26">
        <f t="shared" si="367"/>
        <v>6240</v>
      </c>
      <c r="R2075" s="26">
        <f t="shared" si="371"/>
        <v>0</v>
      </c>
      <c r="S2075" s="26">
        <f t="shared" si="372"/>
        <v>6240</v>
      </c>
    </row>
    <row r="2076" spans="2:19" ht="24" x14ac:dyDescent="0.2">
      <c r="B2076" s="79"/>
      <c r="C2076" s="4"/>
      <c r="D2076" s="4"/>
      <c r="E2076" s="176"/>
      <c r="F2076" s="106" t="s">
        <v>150</v>
      </c>
      <c r="G2076" s="3">
        <v>640</v>
      </c>
      <c r="H2076" s="184" t="s">
        <v>762</v>
      </c>
      <c r="I2076" s="25">
        <v>7000</v>
      </c>
      <c r="J2076" s="25"/>
      <c r="K2076" s="25">
        <f t="shared" si="374"/>
        <v>7000</v>
      </c>
      <c r="L2076" s="126"/>
      <c r="M2076" s="25"/>
      <c r="N2076" s="25"/>
      <c r="O2076" s="25">
        <f t="shared" si="375"/>
        <v>0</v>
      </c>
      <c r="P2076" s="126"/>
      <c r="Q2076" s="25"/>
      <c r="R2076" s="25"/>
      <c r="S2076" s="25"/>
    </row>
    <row r="2077" spans="2:19" x14ac:dyDescent="0.2">
      <c r="B2077" s="79">
        <f>B2075+1</f>
        <v>68</v>
      </c>
      <c r="C2077" s="4"/>
      <c r="D2077" s="4"/>
      <c r="E2077" s="176"/>
      <c r="F2077" s="55" t="s">
        <v>205</v>
      </c>
      <c r="G2077" s="15">
        <v>630</v>
      </c>
      <c r="H2077" s="15" t="s">
        <v>128</v>
      </c>
      <c r="I2077" s="52">
        <f>I2078</f>
        <v>2000</v>
      </c>
      <c r="J2077" s="52">
        <f>J2078</f>
        <v>0</v>
      </c>
      <c r="K2077" s="52">
        <f t="shared" si="374"/>
        <v>2000</v>
      </c>
      <c r="L2077" s="126"/>
      <c r="M2077" s="52">
        <f>M2078+M2082</f>
        <v>0</v>
      </c>
      <c r="N2077" s="52">
        <f>N2078+N2082</f>
        <v>0</v>
      </c>
      <c r="O2077" s="52">
        <f t="shared" si="375"/>
        <v>0</v>
      </c>
      <c r="P2077" s="126"/>
      <c r="Q2077" s="52">
        <f t="shared" si="367"/>
        <v>2000</v>
      </c>
      <c r="R2077" s="52">
        <f t="shared" ref="R2077:R2083" si="376">J2077+N2077</f>
        <v>0</v>
      </c>
      <c r="S2077" s="52">
        <f t="shared" ref="S2077:S2083" si="377">K2077+O2077</f>
        <v>2000</v>
      </c>
    </row>
    <row r="2078" spans="2:19" x14ac:dyDescent="0.2">
      <c r="B2078" s="79">
        <f t="shared" si="373"/>
        <v>69</v>
      </c>
      <c r="C2078" s="4"/>
      <c r="D2078" s="4"/>
      <c r="E2078" s="176"/>
      <c r="F2078" s="56" t="s">
        <v>205</v>
      </c>
      <c r="G2078" s="4">
        <v>635</v>
      </c>
      <c r="H2078" s="4" t="s">
        <v>687</v>
      </c>
      <c r="I2078" s="26">
        <v>2000</v>
      </c>
      <c r="J2078" s="26"/>
      <c r="K2078" s="26">
        <f t="shared" si="374"/>
        <v>2000</v>
      </c>
      <c r="L2078" s="80"/>
      <c r="M2078" s="26"/>
      <c r="N2078" s="26"/>
      <c r="O2078" s="26">
        <f t="shared" si="375"/>
        <v>0</v>
      </c>
      <c r="P2078" s="80"/>
      <c r="Q2078" s="26">
        <f t="shared" si="367"/>
        <v>2000</v>
      </c>
      <c r="R2078" s="26">
        <f t="shared" si="376"/>
        <v>0</v>
      </c>
      <c r="S2078" s="26">
        <f t="shared" si="377"/>
        <v>2000</v>
      </c>
    </row>
    <row r="2079" spans="2:19" x14ac:dyDescent="0.2">
      <c r="B2079" s="79">
        <f>B2078+1</f>
        <v>70</v>
      </c>
      <c r="C2079" s="15"/>
      <c r="D2079" s="15"/>
      <c r="E2079" s="15"/>
      <c r="F2079" s="55" t="s">
        <v>205</v>
      </c>
      <c r="G2079" s="15">
        <v>710</v>
      </c>
      <c r="H2079" s="15" t="s">
        <v>184</v>
      </c>
      <c r="I2079" s="52">
        <v>0</v>
      </c>
      <c r="J2079" s="52">
        <v>0</v>
      </c>
      <c r="K2079" s="52">
        <f t="shared" si="374"/>
        <v>0</v>
      </c>
      <c r="L2079" s="126"/>
      <c r="M2079" s="52">
        <f>M2080</f>
        <v>3500</v>
      </c>
      <c r="N2079" s="52">
        <f>N2080</f>
        <v>0</v>
      </c>
      <c r="O2079" s="52">
        <f t="shared" si="375"/>
        <v>3500</v>
      </c>
      <c r="P2079" s="126"/>
      <c r="Q2079" s="52">
        <f t="shared" si="367"/>
        <v>3500</v>
      </c>
      <c r="R2079" s="52">
        <f t="shared" si="376"/>
        <v>0</v>
      </c>
      <c r="S2079" s="52">
        <f t="shared" si="377"/>
        <v>3500</v>
      </c>
    </row>
    <row r="2080" spans="2:19" x14ac:dyDescent="0.2">
      <c r="B2080" s="79">
        <f t="shared" si="373"/>
        <v>71</v>
      </c>
      <c r="C2080" s="4"/>
      <c r="D2080" s="4"/>
      <c r="E2080" s="4"/>
      <c r="F2080" s="89" t="s">
        <v>205</v>
      </c>
      <c r="G2080" s="90">
        <v>716</v>
      </c>
      <c r="H2080" s="90" t="s">
        <v>0</v>
      </c>
      <c r="I2080" s="91"/>
      <c r="J2080" s="91"/>
      <c r="K2080" s="91">
        <f t="shared" si="374"/>
        <v>0</v>
      </c>
      <c r="L2080" s="80"/>
      <c r="M2080" s="91">
        <f>SUM(M2081:M2081)</f>
        <v>3500</v>
      </c>
      <c r="N2080" s="91">
        <f>SUM(N2081:N2081)</f>
        <v>0</v>
      </c>
      <c r="O2080" s="91">
        <f t="shared" si="375"/>
        <v>3500</v>
      </c>
      <c r="P2080" s="80"/>
      <c r="Q2080" s="91">
        <f t="shared" si="367"/>
        <v>3500</v>
      </c>
      <c r="R2080" s="91">
        <f t="shared" si="376"/>
        <v>0</v>
      </c>
      <c r="S2080" s="91">
        <f t="shared" si="377"/>
        <v>3500</v>
      </c>
    </row>
    <row r="2081" spans="2:19" x14ac:dyDescent="0.2">
      <c r="B2081" s="79">
        <f t="shared" si="373"/>
        <v>72</v>
      </c>
      <c r="C2081" s="4"/>
      <c r="D2081" s="58"/>
      <c r="E2081" s="4"/>
      <c r="F2081" s="56"/>
      <c r="G2081" s="4"/>
      <c r="H2081" s="4" t="s">
        <v>748</v>
      </c>
      <c r="I2081" s="26"/>
      <c r="J2081" s="26"/>
      <c r="K2081" s="26">
        <f t="shared" si="374"/>
        <v>0</v>
      </c>
      <c r="L2081" s="80"/>
      <c r="M2081" s="26">
        <v>3500</v>
      </c>
      <c r="N2081" s="26"/>
      <c r="O2081" s="26">
        <f t="shared" si="375"/>
        <v>3500</v>
      </c>
      <c r="P2081" s="80"/>
      <c r="Q2081" s="26">
        <f t="shared" si="367"/>
        <v>3500</v>
      </c>
      <c r="R2081" s="26">
        <f t="shared" si="376"/>
        <v>0</v>
      </c>
      <c r="S2081" s="26">
        <f t="shared" si="377"/>
        <v>3500</v>
      </c>
    </row>
    <row r="2082" spans="2:19" ht="15" x14ac:dyDescent="0.2">
      <c r="B2082" s="79">
        <f t="shared" si="373"/>
        <v>73</v>
      </c>
      <c r="C2082" s="191">
        <v>4</v>
      </c>
      <c r="D2082" s="245" t="s">
        <v>254</v>
      </c>
      <c r="E2082" s="246"/>
      <c r="F2082" s="246"/>
      <c r="G2082" s="246"/>
      <c r="H2082" s="247"/>
      <c r="I2082" s="48">
        <f>I2083</f>
        <v>20000</v>
      </c>
      <c r="J2082" s="48">
        <f>J2083</f>
        <v>0</v>
      </c>
      <c r="K2082" s="48">
        <f t="shared" si="374"/>
        <v>20000</v>
      </c>
      <c r="L2082" s="201"/>
      <c r="M2082" s="48">
        <f>M2083</f>
        <v>0</v>
      </c>
      <c r="N2082" s="48">
        <f>N2083</f>
        <v>0</v>
      </c>
      <c r="O2082" s="48">
        <f t="shared" si="375"/>
        <v>0</v>
      </c>
      <c r="P2082" s="201"/>
      <c r="Q2082" s="48">
        <f t="shared" si="367"/>
        <v>20000</v>
      </c>
      <c r="R2082" s="48">
        <f t="shared" si="376"/>
        <v>0</v>
      </c>
      <c r="S2082" s="48">
        <f t="shared" si="377"/>
        <v>20000</v>
      </c>
    </row>
    <row r="2083" spans="2:19" x14ac:dyDescent="0.2">
      <c r="B2083" s="79">
        <f t="shared" si="373"/>
        <v>74</v>
      </c>
      <c r="C2083" s="15"/>
      <c r="D2083" s="15"/>
      <c r="E2083" s="15"/>
      <c r="F2083" s="55" t="s">
        <v>205</v>
      </c>
      <c r="G2083" s="15">
        <v>640</v>
      </c>
      <c r="H2083" s="15" t="s">
        <v>135</v>
      </c>
      <c r="I2083" s="52">
        <v>20000</v>
      </c>
      <c r="J2083" s="52"/>
      <c r="K2083" s="52">
        <f t="shared" si="374"/>
        <v>20000</v>
      </c>
      <c r="L2083" s="126"/>
      <c r="M2083" s="52">
        <f>M2084</f>
        <v>0</v>
      </c>
      <c r="N2083" s="52">
        <f>N2084</f>
        <v>0</v>
      </c>
      <c r="O2083" s="52">
        <f t="shared" si="375"/>
        <v>0</v>
      </c>
      <c r="P2083" s="126"/>
      <c r="Q2083" s="52">
        <f t="shared" si="367"/>
        <v>20000</v>
      </c>
      <c r="R2083" s="52">
        <f t="shared" si="376"/>
        <v>0</v>
      </c>
      <c r="S2083" s="52">
        <f t="shared" si="377"/>
        <v>20000</v>
      </c>
    </row>
    <row r="2084" spans="2:19" x14ac:dyDescent="0.2">
      <c r="B2084" s="79">
        <f t="shared" si="373"/>
        <v>75</v>
      </c>
      <c r="C2084" s="15"/>
      <c r="D2084" s="61"/>
      <c r="E2084" s="15"/>
      <c r="F2084" s="55"/>
      <c r="G2084" s="15"/>
      <c r="H2084" s="63" t="s">
        <v>348</v>
      </c>
      <c r="I2084" s="62">
        <v>20000</v>
      </c>
      <c r="J2084" s="62"/>
      <c r="K2084" s="62">
        <f t="shared" si="374"/>
        <v>20000</v>
      </c>
      <c r="L2084" s="80"/>
      <c r="M2084" s="52"/>
      <c r="N2084" s="52"/>
      <c r="O2084" s="52">
        <f t="shared" si="375"/>
        <v>0</v>
      </c>
      <c r="P2084" s="126"/>
      <c r="Q2084" s="52">
        <f>M2084+I2084</f>
        <v>20000</v>
      </c>
      <c r="R2084" s="52">
        <f t="shared" ref="R2084:S2084" si="378">N2084+J2084</f>
        <v>0</v>
      </c>
      <c r="S2084" s="52">
        <f t="shared" si="378"/>
        <v>20000</v>
      </c>
    </row>
    <row r="2085" spans="2:19" ht="15" x14ac:dyDescent="0.2">
      <c r="B2085" s="79">
        <f t="shared" si="373"/>
        <v>76</v>
      </c>
      <c r="C2085" s="191">
        <v>5</v>
      </c>
      <c r="D2085" s="245" t="s">
        <v>258</v>
      </c>
      <c r="E2085" s="246"/>
      <c r="F2085" s="246"/>
      <c r="G2085" s="246"/>
      <c r="H2085" s="247"/>
      <c r="I2085" s="48">
        <f>I2086</f>
        <v>8650</v>
      </c>
      <c r="J2085" s="48">
        <f>J2086</f>
        <v>0</v>
      </c>
      <c r="K2085" s="48">
        <f t="shared" si="374"/>
        <v>8650</v>
      </c>
      <c r="L2085" s="201"/>
      <c r="M2085" s="48">
        <f>M2086</f>
        <v>16000</v>
      </c>
      <c r="N2085" s="48">
        <f>N2086</f>
        <v>0</v>
      </c>
      <c r="O2085" s="48">
        <f t="shared" si="375"/>
        <v>16000</v>
      </c>
      <c r="P2085" s="201"/>
      <c r="Q2085" s="48">
        <f t="shared" ref="Q2085:Q2107" si="379">I2085+M2085</f>
        <v>24650</v>
      </c>
      <c r="R2085" s="48">
        <f t="shared" ref="R2085:R2093" si="380">J2085+N2085</f>
        <v>0</v>
      </c>
      <c r="S2085" s="48">
        <f t="shared" ref="S2085:S2093" si="381">K2085+O2085</f>
        <v>24650</v>
      </c>
    </row>
    <row r="2086" spans="2:19" ht="15" x14ac:dyDescent="0.25">
      <c r="B2086" s="79">
        <f t="shared" si="373"/>
        <v>77</v>
      </c>
      <c r="C2086" s="18"/>
      <c r="D2086" s="18"/>
      <c r="E2086" s="18">
        <v>2</v>
      </c>
      <c r="F2086" s="53"/>
      <c r="G2086" s="18"/>
      <c r="H2086" s="18" t="s">
        <v>257</v>
      </c>
      <c r="I2086" s="50">
        <f>I2087+I2088+I2089</f>
        <v>8650</v>
      </c>
      <c r="J2086" s="50">
        <f>J2087+J2088+J2089</f>
        <v>0</v>
      </c>
      <c r="K2086" s="50">
        <f t="shared" si="374"/>
        <v>8650</v>
      </c>
      <c r="L2086" s="203"/>
      <c r="M2086" s="50">
        <f>M2087+M2088+M2089+M2093</f>
        <v>16000</v>
      </c>
      <c r="N2086" s="50">
        <f>N2087+N2088+N2089+N2093</f>
        <v>0</v>
      </c>
      <c r="O2086" s="50">
        <f t="shared" si="375"/>
        <v>16000</v>
      </c>
      <c r="P2086" s="203"/>
      <c r="Q2086" s="50">
        <f t="shared" si="379"/>
        <v>24650</v>
      </c>
      <c r="R2086" s="50">
        <f t="shared" si="380"/>
        <v>0</v>
      </c>
      <c r="S2086" s="50">
        <f t="shared" si="381"/>
        <v>24650</v>
      </c>
    </row>
    <row r="2087" spans="2:19" x14ac:dyDescent="0.2">
      <c r="B2087" s="79">
        <f t="shared" si="373"/>
        <v>78</v>
      </c>
      <c r="C2087" s="15"/>
      <c r="D2087" s="15"/>
      <c r="E2087" s="15"/>
      <c r="F2087" s="55" t="s">
        <v>205</v>
      </c>
      <c r="G2087" s="15">
        <v>610</v>
      </c>
      <c r="H2087" s="15" t="s">
        <v>136</v>
      </c>
      <c r="I2087" s="52">
        <v>1100</v>
      </c>
      <c r="J2087" s="52"/>
      <c r="K2087" s="52">
        <f t="shared" si="374"/>
        <v>1100</v>
      </c>
      <c r="L2087" s="126"/>
      <c r="M2087" s="52"/>
      <c r="N2087" s="52"/>
      <c r="O2087" s="52">
        <f t="shared" si="375"/>
        <v>0</v>
      </c>
      <c r="P2087" s="126"/>
      <c r="Q2087" s="52">
        <f t="shared" si="379"/>
        <v>1100</v>
      </c>
      <c r="R2087" s="52">
        <f t="shared" si="380"/>
        <v>0</v>
      </c>
      <c r="S2087" s="52">
        <f t="shared" si="381"/>
        <v>1100</v>
      </c>
    </row>
    <row r="2088" spans="2:19" x14ac:dyDescent="0.2">
      <c r="B2088" s="79">
        <f t="shared" si="373"/>
        <v>79</v>
      </c>
      <c r="C2088" s="15"/>
      <c r="D2088" s="15"/>
      <c r="E2088" s="15"/>
      <c r="F2088" s="55" t="s">
        <v>205</v>
      </c>
      <c r="G2088" s="15">
        <v>620</v>
      </c>
      <c r="H2088" s="15" t="s">
        <v>131</v>
      </c>
      <c r="I2088" s="52">
        <v>400</v>
      </c>
      <c r="J2088" s="52"/>
      <c r="K2088" s="52">
        <f t="shared" si="374"/>
        <v>400</v>
      </c>
      <c r="L2088" s="126"/>
      <c r="M2088" s="52"/>
      <c r="N2088" s="52"/>
      <c r="O2088" s="52">
        <f t="shared" si="375"/>
        <v>0</v>
      </c>
      <c r="P2088" s="126"/>
      <c r="Q2088" s="52">
        <f t="shared" si="379"/>
        <v>400</v>
      </c>
      <c r="R2088" s="52">
        <f t="shared" si="380"/>
        <v>0</v>
      </c>
      <c r="S2088" s="52">
        <f t="shared" si="381"/>
        <v>400</v>
      </c>
    </row>
    <row r="2089" spans="2:19" x14ac:dyDescent="0.2">
      <c r="B2089" s="79">
        <f t="shared" si="373"/>
        <v>80</v>
      </c>
      <c r="C2089" s="15"/>
      <c r="D2089" s="15"/>
      <c r="E2089" s="15"/>
      <c r="F2089" s="55" t="s">
        <v>205</v>
      </c>
      <c r="G2089" s="15">
        <v>630</v>
      </c>
      <c r="H2089" s="15" t="s">
        <v>128</v>
      </c>
      <c r="I2089" s="52">
        <f>I2092+I2091+I2090</f>
        <v>7150</v>
      </c>
      <c r="J2089" s="52">
        <f>J2092+J2091+J2090</f>
        <v>0</v>
      </c>
      <c r="K2089" s="52">
        <f t="shared" si="374"/>
        <v>7150</v>
      </c>
      <c r="L2089" s="126"/>
      <c r="M2089" s="52">
        <f>M2092+M2091+M2090</f>
        <v>0</v>
      </c>
      <c r="N2089" s="52">
        <f>N2092+N2091+N2090</f>
        <v>0</v>
      </c>
      <c r="O2089" s="52">
        <f t="shared" si="375"/>
        <v>0</v>
      </c>
      <c r="P2089" s="126"/>
      <c r="Q2089" s="52">
        <f t="shared" si="379"/>
        <v>7150</v>
      </c>
      <c r="R2089" s="52">
        <f t="shared" si="380"/>
        <v>0</v>
      </c>
      <c r="S2089" s="52">
        <f t="shared" si="381"/>
        <v>7150</v>
      </c>
    </row>
    <row r="2090" spans="2:19" x14ac:dyDescent="0.2">
      <c r="B2090" s="79">
        <f t="shared" si="373"/>
        <v>81</v>
      </c>
      <c r="C2090" s="4"/>
      <c r="D2090" s="4"/>
      <c r="E2090" s="4"/>
      <c r="F2090" s="56" t="s">
        <v>205</v>
      </c>
      <c r="G2090" s="4">
        <v>632</v>
      </c>
      <c r="H2090" s="4" t="s">
        <v>139</v>
      </c>
      <c r="I2090" s="26">
        <v>5000</v>
      </c>
      <c r="J2090" s="26"/>
      <c r="K2090" s="26">
        <f t="shared" si="374"/>
        <v>5000</v>
      </c>
      <c r="L2090" s="80"/>
      <c r="M2090" s="26"/>
      <c r="N2090" s="26"/>
      <c r="O2090" s="26">
        <f t="shared" si="375"/>
        <v>0</v>
      </c>
      <c r="P2090" s="80"/>
      <c r="Q2090" s="26">
        <f t="shared" si="379"/>
        <v>5000</v>
      </c>
      <c r="R2090" s="26">
        <f t="shared" si="380"/>
        <v>0</v>
      </c>
      <c r="S2090" s="26">
        <f t="shared" si="381"/>
        <v>5000</v>
      </c>
    </row>
    <row r="2091" spans="2:19" x14ac:dyDescent="0.2">
      <c r="B2091" s="79">
        <f t="shared" si="373"/>
        <v>82</v>
      </c>
      <c r="C2091" s="4"/>
      <c r="D2091" s="4"/>
      <c r="E2091" s="4"/>
      <c r="F2091" s="56" t="s">
        <v>205</v>
      </c>
      <c r="G2091" s="4">
        <v>633</v>
      </c>
      <c r="H2091" s="4" t="s">
        <v>132</v>
      </c>
      <c r="I2091" s="26">
        <f>1250-1000</f>
        <v>250</v>
      </c>
      <c r="J2091" s="26"/>
      <c r="K2091" s="26">
        <f t="shared" si="374"/>
        <v>250</v>
      </c>
      <c r="L2091" s="80"/>
      <c r="M2091" s="26"/>
      <c r="N2091" s="26"/>
      <c r="O2091" s="26">
        <f t="shared" si="375"/>
        <v>0</v>
      </c>
      <c r="P2091" s="80"/>
      <c r="Q2091" s="26">
        <f t="shared" si="379"/>
        <v>250</v>
      </c>
      <c r="R2091" s="26">
        <f t="shared" si="380"/>
        <v>0</v>
      </c>
      <c r="S2091" s="26">
        <f t="shared" si="381"/>
        <v>250</v>
      </c>
    </row>
    <row r="2092" spans="2:19" x14ac:dyDescent="0.2">
      <c r="B2092" s="79">
        <f t="shared" si="373"/>
        <v>83</v>
      </c>
      <c r="C2092" s="4"/>
      <c r="D2092" s="4"/>
      <c r="E2092" s="4"/>
      <c r="F2092" s="56" t="s">
        <v>205</v>
      </c>
      <c r="G2092" s="4">
        <v>637</v>
      </c>
      <c r="H2092" s="4" t="s">
        <v>129</v>
      </c>
      <c r="I2092" s="26">
        <v>1900</v>
      </c>
      <c r="J2092" s="26"/>
      <c r="K2092" s="26">
        <f t="shared" si="374"/>
        <v>1900</v>
      </c>
      <c r="L2092" s="80"/>
      <c r="M2092" s="26"/>
      <c r="N2092" s="26"/>
      <c r="O2092" s="26">
        <f t="shared" si="375"/>
        <v>0</v>
      </c>
      <c r="P2092" s="80"/>
      <c r="Q2092" s="26">
        <f t="shared" si="379"/>
        <v>1900</v>
      </c>
      <c r="R2092" s="26">
        <f t="shared" si="380"/>
        <v>0</v>
      </c>
      <c r="S2092" s="26">
        <f t="shared" si="381"/>
        <v>1900</v>
      </c>
    </row>
    <row r="2093" spans="2:19" x14ac:dyDescent="0.2">
      <c r="B2093" s="79">
        <f t="shared" si="373"/>
        <v>84</v>
      </c>
      <c r="C2093" s="4"/>
      <c r="D2093" s="4"/>
      <c r="E2093" s="4"/>
      <c r="F2093" s="124" t="s">
        <v>205</v>
      </c>
      <c r="G2093" s="125">
        <v>710</v>
      </c>
      <c r="H2093" s="136" t="s">
        <v>184</v>
      </c>
      <c r="I2093" s="126"/>
      <c r="J2093" s="126"/>
      <c r="K2093" s="126">
        <f t="shared" si="374"/>
        <v>0</v>
      </c>
      <c r="L2093" s="126"/>
      <c r="M2093" s="126">
        <f>M2094</f>
        <v>16000</v>
      </c>
      <c r="N2093" s="126">
        <f>N2094</f>
        <v>0</v>
      </c>
      <c r="O2093" s="126">
        <f t="shared" si="375"/>
        <v>16000</v>
      </c>
      <c r="P2093" s="126"/>
      <c r="Q2093" s="126">
        <f t="shared" si="379"/>
        <v>16000</v>
      </c>
      <c r="R2093" s="126">
        <f t="shared" si="380"/>
        <v>0</v>
      </c>
      <c r="S2093" s="126">
        <f t="shared" si="381"/>
        <v>16000</v>
      </c>
    </row>
    <row r="2094" spans="2:19" x14ac:dyDescent="0.2">
      <c r="B2094" s="79">
        <f t="shared" si="373"/>
        <v>85</v>
      </c>
      <c r="C2094" s="4"/>
      <c r="D2094" s="4"/>
      <c r="E2094" s="4"/>
      <c r="F2094" s="89" t="s">
        <v>205</v>
      </c>
      <c r="G2094" s="90">
        <v>713</v>
      </c>
      <c r="H2094" s="92" t="s">
        <v>531</v>
      </c>
      <c r="I2094" s="91"/>
      <c r="J2094" s="91"/>
      <c r="K2094" s="91">
        <f t="shared" si="374"/>
        <v>0</v>
      </c>
      <c r="L2094" s="80"/>
      <c r="M2094" s="91">
        <f>M2095</f>
        <v>16000</v>
      </c>
      <c r="N2094" s="91">
        <f>N2095</f>
        <v>0</v>
      </c>
      <c r="O2094" s="91">
        <f t="shared" si="375"/>
        <v>16000</v>
      </c>
      <c r="P2094" s="80"/>
      <c r="Q2094" s="91">
        <f>M2094</f>
        <v>16000</v>
      </c>
      <c r="R2094" s="91">
        <f t="shared" ref="R2094:S2095" si="382">N2094</f>
        <v>0</v>
      </c>
      <c r="S2094" s="91">
        <f t="shared" si="382"/>
        <v>16000</v>
      </c>
    </row>
    <row r="2095" spans="2:19" x14ac:dyDescent="0.2">
      <c r="B2095" s="79">
        <f t="shared" si="373"/>
        <v>86</v>
      </c>
      <c r="C2095" s="4"/>
      <c r="D2095" s="4"/>
      <c r="E2095" s="4"/>
      <c r="F2095" s="56"/>
      <c r="G2095" s="4"/>
      <c r="H2095" s="38" t="s">
        <v>532</v>
      </c>
      <c r="I2095" s="26"/>
      <c r="J2095" s="26"/>
      <c r="K2095" s="26">
        <f t="shared" si="374"/>
        <v>0</v>
      </c>
      <c r="L2095" s="80"/>
      <c r="M2095" s="26">
        <v>16000</v>
      </c>
      <c r="N2095" s="26"/>
      <c r="O2095" s="26">
        <f t="shared" si="375"/>
        <v>16000</v>
      </c>
      <c r="P2095" s="80"/>
      <c r="Q2095" s="26">
        <f>M2095</f>
        <v>16000</v>
      </c>
      <c r="R2095" s="26">
        <f t="shared" si="382"/>
        <v>0</v>
      </c>
      <c r="S2095" s="26">
        <f t="shared" si="382"/>
        <v>16000</v>
      </c>
    </row>
    <row r="2096" spans="2:19" ht="15" x14ac:dyDescent="0.2">
      <c r="B2096" s="79">
        <f t="shared" si="373"/>
        <v>87</v>
      </c>
      <c r="C2096" s="191">
        <v>6</v>
      </c>
      <c r="D2096" s="245" t="s">
        <v>243</v>
      </c>
      <c r="E2096" s="246"/>
      <c r="F2096" s="246"/>
      <c r="G2096" s="246"/>
      <c r="H2096" s="247"/>
      <c r="I2096" s="48">
        <f>I2097</f>
        <v>180670</v>
      </c>
      <c r="J2096" s="48">
        <f>J2097</f>
        <v>0</v>
      </c>
      <c r="K2096" s="48">
        <f t="shared" si="374"/>
        <v>180670</v>
      </c>
      <c r="L2096" s="201"/>
      <c r="M2096" s="48">
        <f>M2097</f>
        <v>0</v>
      </c>
      <c r="N2096" s="48">
        <f>N2097</f>
        <v>0</v>
      </c>
      <c r="O2096" s="48">
        <f t="shared" si="375"/>
        <v>0</v>
      </c>
      <c r="P2096" s="201"/>
      <c r="Q2096" s="48">
        <f t="shared" si="379"/>
        <v>180670</v>
      </c>
      <c r="R2096" s="48">
        <f t="shared" ref="R2096:R2107" si="383">J2096+N2096</f>
        <v>0</v>
      </c>
      <c r="S2096" s="48">
        <f t="shared" ref="S2096:S2107" si="384">K2096+O2096</f>
        <v>180670</v>
      </c>
    </row>
    <row r="2097" spans="2:19" ht="15" x14ac:dyDescent="0.25">
      <c r="B2097" s="79">
        <f t="shared" si="373"/>
        <v>88</v>
      </c>
      <c r="C2097" s="18"/>
      <c r="D2097" s="18"/>
      <c r="E2097" s="18">
        <v>2</v>
      </c>
      <c r="F2097" s="53"/>
      <c r="G2097" s="18"/>
      <c r="H2097" s="18" t="s">
        <v>257</v>
      </c>
      <c r="I2097" s="50">
        <f>I2098+I2099+I2100+I2107</f>
        <v>180670</v>
      </c>
      <c r="J2097" s="50">
        <f>J2098+J2099+J2100+J2107</f>
        <v>0</v>
      </c>
      <c r="K2097" s="50">
        <f t="shared" si="374"/>
        <v>180670</v>
      </c>
      <c r="L2097" s="203"/>
      <c r="M2097" s="50">
        <v>0</v>
      </c>
      <c r="N2097" s="50"/>
      <c r="O2097" s="50">
        <f t="shared" si="375"/>
        <v>0</v>
      </c>
      <c r="P2097" s="203"/>
      <c r="Q2097" s="50">
        <f t="shared" si="379"/>
        <v>180670</v>
      </c>
      <c r="R2097" s="50">
        <f t="shared" si="383"/>
        <v>0</v>
      </c>
      <c r="S2097" s="50">
        <f t="shared" si="384"/>
        <v>180670</v>
      </c>
    </row>
    <row r="2098" spans="2:19" x14ac:dyDescent="0.2">
      <c r="B2098" s="79">
        <f t="shared" si="373"/>
        <v>89</v>
      </c>
      <c r="C2098" s="15"/>
      <c r="D2098" s="15"/>
      <c r="E2098" s="15"/>
      <c r="F2098" s="55" t="s">
        <v>205</v>
      </c>
      <c r="G2098" s="15">
        <v>610</v>
      </c>
      <c r="H2098" s="15" t="s">
        <v>136</v>
      </c>
      <c r="I2098" s="52">
        <f>85900-1400-4000</f>
        <v>80500</v>
      </c>
      <c r="J2098" s="52"/>
      <c r="K2098" s="52">
        <f t="shared" si="374"/>
        <v>80500</v>
      </c>
      <c r="L2098" s="126"/>
      <c r="M2098" s="52"/>
      <c r="N2098" s="52"/>
      <c r="O2098" s="52">
        <f t="shared" si="375"/>
        <v>0</v>
      </c>
      <c r="P2098" s="126"/>
      <c r="Q2098" s="52">
        <f t="shared" si="379"/>
        <v>80500</v>
      </c>
      <c r="R2098" s="52">
        <f t="shared" si="383"/>
        <v>0</v>
      </c>
      <c r="S2098" s="52">
        <f t="shared" si="384"/>
        <v>80500</v>
      </c>
    </row>
    <row r="2099" spans="2:19" x14ac:dyDescent="0.2">
      <c r="B2099" s="79">
        <f t="shared" si="373"/>
        <v>90</v>
      </c>
      <c r="C2099" s="15"/>
      <c r="D2099" s="15"/>
      <c r="E2099" s="15"/>
      <c r="F2099" s="55" t="s">
        <v>205</v>
      </c>
      <c r="G2099" s="15">
        <v>620</v>
      </c>
      <c r="H2099" s="15" t="s">
        <v>131</v>
      </c>
      <c r="I2099" s="52">
        <f>37430-600-1400</f>
        <v>35430</v>
      </c>
      <c r="J2099" s="52"/>
      <c r="K2099" s="52">
        <f t="shared" si="374"/>
        <v>35430</v>
      </c>
      <c r="L2099" s="126"/>
      <c r="M2099" s="52"/>
      <c r="N2099" s="52"/>
      <c r="O2099" s="52">
        <f t="shared" si="375"/>
        <v>0</v>
      </c>
      <c r="P2099" s="126"/>
      <c r="Q2099" s="52">
        <f t="shared" si="379"/>
        <v>35430</v>
      </c>
      <c r="R2099" s="52">
        <f t="shared" si="383"/>
        <v>0</v>
      </c>
      <c r="S2099" s="52">
        <f t="shared" si="384"/>
        <v>35430</v>
      </c>
    </row>
    <row r="2100" spans="2:19" x14ac:dyDescent="0.2">
      <c r="B2100" s="79">
        <f t="shared" si="373"/>
        <v>91</v>
      </c>
      <c r="C2100" s="15"/>
      <c r="D2100" s="15"/>
      <c r="E2100" s="15"/>
      <c r="F2100" s="55" t="s">
        <v>205</v>
      </c>
      <c r="G2100" s="15">
        <v>630</v>
      </c>
      <c r="H2100" s="15" t="s">
        <v>128</v>
      </c>
      <c r="I2100" s="52">
        <f>I2106+I2105+I2104+I2103+I2102+I2101</f>
        <v>62140</v>
      </c>
      <c r="J2100" s="52">
        <f>J2106+J2105+J2104+J2103+J2102+J2101</f>
        <v>0</v>
      </c>
      <c r="K2100" s="52">
        <f t="shared" si="374"/>
        <v>62140</v>
      </c>
      <c r="L2100" s="126"/>
      <c r="M2100" s="52">
        <f>M2106+M2105+M2104+M2103+M2102+M2101</f>
        <v>0</v>
      </c>
      <c r="N2100" s="52">
        <f>N2106+N2105+N2104+N2103+N2102+N2101</f>
        <v>0</v>
      </c>
      <c r="O2100" s="52">
        <f t="shared" si="375"/>
        <v>0</v>
      </c>
      <c r="P2100" s="126"/>
      <c r="Q2100" s="52">
        <f t="shared" si="379"/>
        <v>62140</v>
      </c>
      <c r="R2100" s="52">
        <f t="shared" si="383"/>
        <v>0</v>
      </c>
      <c r="S2100" s="52">
        <f t="shared" si="384"/>
        <v>62140</v>
      </c>
    </row>
    <row r="2101" spans="2:19" x14ac:dyDescent="0.2">
      <c r="B2101" s="79">
        <f t="shared" si="373"/>
        <v>92</v>
      </c>
      <c r="C2101" s="4"/>
      <c r="D2101" s="4"/>
      <c r="E2101" s="4"/>
      <c r="F2101" s="56" t="s">
        <v>205</v>
      </c>
      <c r="G2101" s="4">
        <v>631</v>
      </c>
      <c r="H2101" s="4" t="s">
        <v>134</v>
      </c>
      <c r="I2101" s="26">
        <v>100</v>
      </c>
      <c r="J2101" s="26"/>
      <c r="K2101" s="26">
        <f t="shared" si="374"/>
        <v>100</v>
      </c>
      <c r="L2101" s="80"/>
      <c r="M2101" s="26"/>
      <c r="N2101" s="26"/>
      <c r="O2101" s="26">
        <f t="shared" si="375"/>
        <v>0</v>
      </c>
      <c r="P2101" s="80"/>
      <c r="Q2101" s="26">
        <f t="shared" si="379"/>
        <v>100</v>
      </c>
      <c r="R2101" s="26">
        <f t="shared" si="383"/>
        <v>0</v>
      </c>
      <c r="S2101" s="26">
        <f t="shared" si="384"/>
        <v>100</v>
      </c>
    </row>
    <row r="2102" spans="2:19" x14ac:dyDescent="0.2">
      <c r="B2102" s="79">
        <f t="shared" si="373"/>
        <v>93</v>
      </c>
      <c r="C2102" s="4"/>
      <c r="D2102" s="4"/>
      <c r="E2102" s="4"/>
      <c r="F2102" s="56" t="s">
        <v>205</v>
      </c>
      <c r="G2102" s="4">
        <v>632</v>
      </c>
      <c r="H2102" s="4" t="s">
        <v>139</v>
      </c>
      <c r="I2102" s="26">
        <v>3200</v>
      </c>
      <c r="J2102" s="26"/>
      <c r="K2102" s="26">
        <f t="shared" si="374"/>
        <v>3200</v>
      </c>
      <c r="L2102" s="80"/>
      <c r="M2102" s="26"/>
      <c r="N2102" s="26"/>
      <c r="O2102" s="26">
        <f t="shared" si="375"/>
        <v>0</v>
      </c>
      <c r="P2102" s="80"/>
      <c r="Q2102" s="26">
        <f t="shared" si="379"/>
        <v>3200</v>
      </c>
      <c r="R2102" s="26">
        <f t="shared" si="383"/>
        <v>0</v>
      </c>
      <c r="S2102" s="26">
        <f t="shared" si="384"/>
        <v>3200</v>
      </c>
    </row>
    <row r="2103" spans="2:19" x14ac:dyDescent="0.2">
      <c r="B2103" s="79">
        <f t="shared" si="373"/>
        <v>94</v>
      </c>
      <c r="C2103" s="4"/>
      <c r="D2103" s="4"/>
      <c r="E2103" s="4"/>
      <c r="F2103" s="56" t="s">
        <v>205</v>
      </c>
      <c r="G2103" s="4">
        <v>633</v>
      </c>
      <c r="H2103" s="4" t="s">
        <v>132</v>
      </c>
      <c r="I2103" s="26">
        <f>3450-50</f>
        <v>3400</v>
      </c>
      <c r="J2103" s="26"/>
      <c r="K2103" s="26">
        <f t="shared" si="374"/>
        <v>3400</v>
      </c>
      <c r="L2103" s="80"/>
      <c r="M2103" s="26"/>
      <c r="N2103" s="26"/>
      <c r="O2103" s="26">
        <f t="shared" si="375"/>
        <v>0</v>
      </c>
      <c r="P2103" s="80"/>
      <c r="Q2103" s="26">
        <f t="shared" si="379"/>
        <v>3400</v>
      </c>
      <c r="R2103" s="26">
        <f t="shared" si="383"/>
        <v>0</v>
      </c>
      <c r="S2103" s="26">
        <f t="shared" si="384"/>
        <v>3400</v>
      </c>
    </row>
    <row r="2104" spans="2:19" x14ac:dyDescent="0.2">
      <c r="B2104" s="79">
        <f t="shared" si="373"/>
        <v>95</v>
      </c>
      <c r="C2104" s="4"/>
      <c r="D2104" s="4"/>
      <c r="E2104" s="4"/>
      <c r="F2104" s="56" t="s">
        <v>205</v>
      </c>
      <c r="G2104" s="4">
        <v>634</v>
      </c>
      <c r="H2104" s="4" t="s">
        <v>137</v>
      </c>
      <c r="I2104" s="26">
        <v>11500</v>
      </c>
      <c r="J2104" s="26"/>
      <c r="K2104" s="26">
        <f t="shared" si="374"/>
        <v>11500</v>
      </c>
      <c r="L2104" s="80"/>
      <c r="M2104" s="26"/>
      <c r="N2104" s="26"/>
      <c r="O2104" s="26">
        <f t="shared" si="375"/>
        <v>0</v>
      </c>
      <c r="P2104" s="80"/>
      <c r="Q2104" s="26">
        <f t="shared" si="379"/>
        <v>11500</v>
      </c>
      <c r="R2104" s="26">
        <f t="shared" si="383"/>
        <v>0</v>
      </c>
      <c r="S2104" s="26">
        <f t="shared" si="384"/>
        <v>11500</v>
      </c>
    </row>
    <row r="2105" spans="2:19" x14ac:dyDescent="0.2">
      <c r="B2105" s="79">
        <f t="shared" si="373"/>
        <v>96</v>
      </c>
      <c r="C2105" s="4"/>
      <c r="D2105" s="4"/>
      <c r="E2105" s="4"/>
      <c r="F2105" s="56" t="s">
        <v>205</v>
      </c>
      <c r="G2105" s="4">
        <v>635</v>
      </c>
      <c r="H2105" s="4" t="s">
        <v>138</v>
      </c>
      <c r="I2105" s="26">
        <f>4100-400</f>
        <v>3700</v>
      </c>
      <c r="J2105" s="26"/>
      <c r="K2105" s="26">
        <f t="shared" si="374"/>
        <v>3700</v>
      </c>
      <c r="L2105" s="80"/>
      <c r="M2105" s="26"/>
      <c r="N2105" s="26"/>
      <c r="O2105" s="26">
        <f t="shared" si="375"/>
        <v>0</v>
      </c>
      <c r="P2105" s="80"/>
      <c r="Q2105" s="26">
        <f t="shared" si="379"/>
        <v>3700</v>
      </c>
      <c r="R2105" s="26">
        <f t="shared" si="383"/>
        <v>0</v>
      </c>
      <c r="S2105" s="26">
        <f t="shared" si="384"/>
        <v>3700</v>
      </c>
    </row>
    <row r="2106" spans="2:19" x14ac:dyDescent="0.2">
      <c r="B2106" s="79">
        <f t="shared" si="373"/>
        <v>97</v>
      </c>
      <c r="C2106" s="4"/>
      <c r="D2106" s="4"/>
      <c r="E2106" s="4"/>
      <c r="F2106" s="56" t="s">
        <v>205</v>
      </c>
      <c r="G2106" s="4">
        <v>637</v>
      </c>
      <c r="H2106" s="4" t="s">
        <v>129</v>
      </c>
      <c r="I2106" s="26">
        <f>53240-13000</f>
        <v>40240</v>
      </c>
      <c r="J2106" s="26"/>
      <c r="K2106" s="26">
        <f t="shared" si="374"/>
        <v>40240</v>
      </c>
      <c r="L2106" s="80"/>
      <c r="M2106" s="26"/>
      <c r="N2106" s="26"/>
      <c r="O2106" s="26">
        <f t="shared" si="375"/>
        <v>0</v>
      </c>
      <c r="P2106" s="80"/>
      <c r="Q2106" s="26">
        <f t="shared" si="379"/>
        <v>40240</v>
      </c>
      <c r="R2106" s="26">
        <f t="shared" si="383"/>
        <v>0</v>
      </c>
      <c r="S2106" s="26">
        <f t="shared" si="384"/>
        <v>40240</v>
      </c>
    </row>
    <row r="2107" spans="2:19" x14ac:dyDescent="0.2">
      <c r="B2107" s="79">
        <f t="shared" si="373"/>
        <v>98</v>
      </c>
      <c r="C2107" s="15"/>
      <c r="D2107" s="15"/>
      <c r="E2107" s="15"/>
      <c r="F2107" s="55" t="s">
        <v>205</v>
      </c>
      <c r="G2107" s="15">
        <v>640</v>
      </c>
      <c r="H2107" s="15" t="s">
        <v>135</v>
      </c>
      <c r="I2107" s="52">
        <f>2150+50+400</f>
        <v>2600</v>
      </c>
      <c r="J2107" s="52"/>
      <c r="K2107" s="52">
        <f t="shared" si="374"/>
        <v>2600</v>
      </c>
      <c r="L2107" s="126"/>
      <c r="M2107" s="52"/>
      <c r="N2107" s="52"/>
      <c r="O2107" s="52">
        <f t="shared" si="375"/>
        <v>0</v>
      </c>
      <c r="P2107" s="126"/>
      <c r="Q2107" s="52">
        <f t="shared" si="379"/>
        <v>2600</v>
      </c>
      <c r="R2107" s="52">
        <f t="shared" si="383"/>
        <v>0</v>
      </c>
      <c r="S2107" s="52">
        <f t="shared" si="384"/>
        <v>2600</v>
      </c>
    </row>
    <row r="2138" spans="2:19" ht="27" x14ac:dyDescent="0.35">
      <c r="B2138" s="248" t="s">
        <v>309</v>
      </c>
      <c r="C2138" s="249"/>
      <c r="D2138" s="249"/>
      <c r="E2138" s="249"/>
      <c r="F2138" s="249"/>
      <c r="G2138" s="249"/>
      <c r="H2138" s="249"/>
      <c r="I2138" s="249"/>
      <c r="J2138" s="249"/>
      <c r="K2138" s="249"/>
      <c r="L2138" s="249"/>
      <c r="M2138" s="249"/>
      <c r="N2138" s="249"/>
      <c r="O2138" s="249"/>
      <c r="P2138" s="249"/>
      <c r="Q2138" s="249"/>
    </row>
    <row r="2139" spans="2:19" ht="12.75" customHeight="1" x14ac:dyDescent="0.2">
      <c r="B2139" s="260" t="s">
        <v>281</v>
      </c>
      <c r="C2139" s="261"/>
      <c r="D2139" s="261"/>
      <c r="E2139" s="261"/>
      <c r="F2139" s="261"/>
      <c r="G2139" s="261"/>
      <c r="H2139" s="261"/>
      <c r="I2139" s="261"/>
      <c r="J2139" s="261"/>
      <c r="K2139" s="261"/>
      <c r="L2139" s="261"/>
      <c r="M2139" s="261"/>
      <c r="N2139" s="261"/>
      <c r="O2139" s="262"/>
      <c r="P2139" s="208"/>
      <c r="Q2139" s="250" t="s">
        <v>779</v>
      </c>
      <c r="R2139" s="250" t="s">
        <v>773</v>
      </c>
      <c r="S2139" s="250" t="s">
        <v>774</v>
      </c>
    </row>
    <row r="2140" spans="2:19" ht="12.75" customHeight="1" x14ac:dyDescent="0.2">
      <c r="B2140" s="253" t="s">
        <v>112</v>
      </c>
      <c r="C2140" s="255" t="s">
        <v>120</v>
      </c>
      <c r="D2140" s="255" t="s">
        <v>121</v>
      </c>
      <c r="E2140" s="257" t="s">
        <v>125</v>
      </c>
      <c r="F2140" s="255" t="s">
        <v>122</v>
      </c>
      <c r="G2140" s="255" t="s">
        <v>123</v>
      </c>
      <c r="H2140" s="263" t="s">
        <v>124</v>
      </c>
      <c r="I2140" s="250" t="s">
        <v>777</v>
      </c>
      <c r="J2140" s="251" t="s">
        <v>773</v>
      </c>
      <c r="K2140" s="251" t="s">
        <v>775</v>
      </c>
      <c r="L2140" s="197"/>
      <c r="M2140" s="250" t="s">
        <v>778</v>
      </c>
      <c r="N2140" s="251" t="s">
        <v>773</v>
      </c>
      <c r="O2140" s="251" t="s">
        <v>776</v>
      </c>
      <c r="P2140" s="198"/>
      <c r="Q2140" s="251"/>
      <c r="R2140" s="251"/>
      <c r="S2140" s="251"/>
    </row>
    <row r="2141" spans="2:19" x14ac:dyDescent="0.2">
      <c r="B2141" s="253"/>
      <c r="C2141" s="255"/>
      <c r="D2141" s="255"/>
      <c r="E2141" s="258"/>
      <c r="F2141" s="255"/>
      <c r="G2141" s="255"/>
      <c r="H2141" s="263"/>
      <c r="I2141" s="251"/>
      <c r="J2141" s="251"/>
      <c r="K2141" s="251"/>
      <c r="L2141" s="198"/>
      <c r="M2141" s="251"/>
      <c r="N2141" s="251"/>
      <c r="O2141" s="251"/>
      <c r="P2141" s="198"/>
      <c r="Q2141" s="251"/>
      <c r="R2141" s="251"/>
      <c r="S2141" s="251"/>
    </row>
    <row r="2142" spans="2:19" x14ac:dyDescent="0.2">
      <c r="B2142" s="253"/>
      <c r="C2142" s="255"/>
      <c r="D2142" s="255"/>
      <c r="E2142" s="258"/>
      <c r="F2142" s="255"/>
      <c r="G2142" s="255"/>
      <c r="H2142" s="263"/>
      <c r="I2142" s="251"/>
      <c r="J2142" s="251"/>
      <c r="K2142" s="251"/>
      <c r="L2142" s="198"/>
      <c r="M2142" s="251"/>
      <c r="N2142" s="251"/>
      <c r="O2142" s="251"/>
      <c r="P2142" s="198"/>
      <c r="Q2142" s="251"/>
      <c r="R2142" s="251"/>
      <c r="S2142" s="251"/>
    </row>
    <row r="2143" spans="2:19" ht="13.5" thickBot="1" x14ac:dyDescent="0.25">
      <c r="B2143" s="254"/>
      <c r="C2143" s="256"/>
      <c r="D2143" s="256"/>
      <c r="E2143" s="259"/>
      <c r="F2143" s="256"/>
      <c r="G2143" s="256"/>
      <c r="H2143" s="264"/>
      <c r="I2143" s="252"/>
      <c r="J2143" s="252"/>
      <c r="K2143" s="252"/>
      <c r="L2143" s="199"/>
      <c r="M2143" s="252"/>
      <c r="N2143" s="252"/>
      <c r="O2143" s="252"/>
      <c r="P2143" s="199"/>
      <c r="Q2143" s="252"/>
      <c r="R2143" s="252"/>
      <c r="S2143" s="252"/>
    </row>
    <row r="2144" spans="2:19" ht="16.5" thickTop="1" x14ac:dyDescent="0.2">
      <c r="B2144" s="79">
        <f t="shared" ref="B2144:B2207" si="385">B2143+1</f>
        <v>1</v>
      </c>
      <c r="C2144" s="265" t="s">
        <v>309</v>
      </c>
      <c r="D2144" s="266"/>
      <c r="E2144" s="266"/>
      <c r="F2144" s="266"/>
      <c r="G2144" s="266"/>
      <c r="H2144" s="267"/>
      <c r="I2144" s="47">
        <f>I2282+I2273+I2267+I2264+I2254+I2232+I2186+I2176+I2161+I2159+I2145</f>
        <v>2542450</v>
      </c>
      <c r="J2144" s="47">
        <f>J2282+J2273+J2267+J2264+J2254+J2232+J2186+J2176+J2161+J2159+J2145</f>
        <v>0</v>
      </c>
      <c r="K2144" s="47">
        <f>I2144+J2144</f>
        <v>2542450</v>
      </c>
      <c r="L2144" s="200"/>
      <c r="M2144" s="47">
        <f>M2282+M2273+M2267+M2264+M2254+M2232+M2186+M2176+M2161+M2159+M2145</f>
        <v>47000</v>
      </c>
      <c r="N2144" s="47">
        <f>N2282+N2273+N2267+N2264+N2254+N2232+N2186+N2176+N2161+N2159+N2145</f>
        <v>0</v>
      </c>
      <c r="O2144" s="47">
        <f>M2144+N2144</f>
        <v>47000</v>
      </c>
      <c r="P2144" s="200"/>
      <c r="Q2144" s="47">
        <f t="shared" ref="Q2144:Q2191" si="386">I2144+M2144</f>
        <v>2589450</v>
      </c>
      <c r="R2144" s="47">
        <f t="shared" ref="R2144:R2191" si="387">J2144+N2144</f>
        <v>0</v>
      </c>
      <c r="S2144" s="47">
        <f t="shared" ref="S2144:S2191" si="388">K2144+O2144</f>
        <v>2589450</v>
      </c>
    </row>
    <row r="2145" spans="2:19" ht="15" x14ac:dyDescent="0.2">
      <c r="B2145" s="79">
        <f t="shared" si="385"/>
        <v>2</v>
      </c>
      <c r="C2145" s="191">
        <v>1</v>
      </c>
      <c r="D2145" s="245" t="s">
        <v>70</v>
      </c>
      <c r="E2145" s="246"/>
      <c r="F2145" s="246"/>
      <c r="G2145" s="246"/>
      <c r="H2145" s="247"/>
      <c r="I2145" s="48">
        <f>I2147+I2148+I2149+I2154</f>
        <v>196400</v>
      </c>
      <c r="J2145" s="48">
        <f>J2147+J2148+J2149+J2154</f>
        <v>0</v>
      </c>
      <c r="K2145" s="48">
        <f t="shared" ref="K2145:K2208" si="389">I2145+J2145</f>
        <v>196400</v>
      </c>
      <c r="L2145" s="201"/>
      <c r="M2145" s="48">
        <f>M2146</f>
        <v>11300</v>
      </c>
      <c r="N2145" s="48">
        <f>N2146</f>
        <v>0</v>
      </c>
      <c r="O2145" s="48">
        <f t="shared" ref="O2145:O2208" si="390">M2145+N2145</f>
        <v>11300</v>
      </c>
      <c r="P2145" s="201"/>
      <c r="Q2145" s="48">
        <f t="shared" si="386"/>
        <v>207700</v>
      </c>
      <c r="R2145" s="48">
        <f t="shared" si="387"/>
        <v>0</v>
      </c>
      <c r="S2145" s="48">
        <f t="shared" si="388"/>
        <v>207700</v>
      </c>
    </row>
    <row r="2146" spans="2:19" ht="15" x14ac:dyDescent="0.25">
      <c r="B2146" s="79">
        <f t="shared" si="385"/>
        <v>3</v>
      </c>
      <c r="C2146" s="18"/>
      <c r="D2146" s="18"/>
      <c r="E2146" s="18">
        <v>5</v>
      </c>
      <c r="F2146" s="53"/>
      <c r="G2146" s="18"/>
      <c r="H2146" s="18" t="s">
        <v>266</v>
      </c>
      <c r="I2146" s="50">
        <f>I2145</f>
        <v>196400</v>
      </c>
      <c r="J2146" s="50">
        <f>J2145</f>
        <v>0</v>
      </c>
      <c r="K2146" s="50">
        <f t="shared" si="389"/>
        <v>196400</v>
      </c>
      <c r="L2146" s="203"/>
      <c r="M2146" s="50">
        <f>M2147+M2148+M2149+M2155</f>
        <v>11300</v>
      </c>
      <c r="N2146" s="50">
        <f>N2147+N2148+N2149+N2155</f>
        <v>0</v>
      </c>
      <c r="O2146" s="50">
        <f t="shared" si="390"/>
        <v>11300</v>
      </c>
      <c r="P2146" s="203"/>
      <c r="Q2146" s="50">
        <f t="shared" si="386"/>
        <v>207700</v>
      </c>
      <c r="R2146" s="50">
        <f t="shared" si="387"/>
        <v>0</v>
      </c>
      <c r="S2146" s="50">
        <f t="shared" si="388"/>
        <v>207700</v>
      </c>
    </row>
    <row r="2147" spans="2:19" x14ac:dyDescent="0.2">
      <c r="B2147" s="79">
        <f t="shared" si="385"/>
        <v>4</v>
      </c>
      <c r="C2147" s="15"/>
      <c r="D2147" s="15"/>
      <c r="E2147" s="15"/>
      <c r="F2147" s="55" t="s">
        <v>76</v>
      </c>
      <c r="G2147" s="15">
        <v>610</v>
      </c>
      <c r="H2147" s="15" t="s">
        <v>136</v>
      </c>
      <c r="I2147" s="52">
        <v>102655</v>
      </c>
      <c r="J2147" s="52"/>
      <c r="K2147" s="52">
        <f t="shared" si="389"/>
        <v>102655</v>
      </c>
      <c r="L2147" s="126"/>
      <c r="M2147" s="52"/>
      <c r="N2147" s="52"/>
      <c r="O2147" s="52">
        <f t="shared" si="390"/>
        <v>0</v>
      </c>
      <c r="P2147" s="126"/>
      <c r="Q2147" s="52">
        <f t="shared" si="386"/>
        <v>102655</v>
      </c>
      <c r="R2147" s="52">
        <f t="shared" si="387"/>
        <v>0</v>
      </c>
      <c r="S2147" s="52">
        <f t="shared" si="388"/>
        <v>102655</v>
      </c>
    </row>
    <row r="2148" spans="2:19" x14ac:dyDescent="0.2">
      <c r="B2148" s="79">
        <f t="shared" si="385"/>
        <v>5</v>
      </c>
      <c r="C2148" s="15"/>
      <c r="D2148" s="15"/>
      <c r="E2148" s="15"/>
      <c r="F2148" s="55" t="s">
        <v>76</v>
      </c>
      <c r="G2148" s="15">
        <v>620</v>
      </c>
      <c r="H2148" s="15" t="s">
        <v>131</v>
      </c>
      <c r="I2148" s="52">
        <v>35930</v>
      </c>
      <c r="J2148" s="52"/>
      <c r="K2148" s="52">
        <f t="shared" si="389"/>
        <v>35930</v>
      </c>
      <c r="L2148" s="126"/>
      <c r="M2148" s="52"/>
      <c r="N2148" s="52"/>
      <c r="O2148" s="52">
        <f t="shared" si="390"/>
        <v>0</v>
      </c>
      <c r="P2148" s="126"/>
      <c r="Q2148" s="52">
        <f t="shared" si="386"/>
        <v>35930</v>
      </c>
      <c r="R2148" s="52">
        <f t="shared" si="387"/>
        <v>0</v>
      </c>
      <c r="S2148" s="52">
        <f t="shared" si="388"/>
        <v>35930</v>
      </c>
    </row>
    <row r="2149" spans="2:19" x14ac:dyDescent="0.2">
      <c r="B2149" s="79">
        <f t="shared" si="385"/>
        <v>6</v>
      </c>
      <c r="C2149" s="15"/>
      <c r="D2149" s="15"/>
      <c r="E2149" s="15"/>
      <c r="F2149" s="55" t="s">
        <v>76</v>
      </c>
      <c r="G2149" s="15">
        <v>630</v>
      </c>
      <c r="H2149" s="15" t="s">
        <v>128</v>
      </c>
      <c r="I2149" s="52">
        <f>I2153+I2152+I2151+I2150</f>
        <v>57415</v>
      </c>
      <c r="J2149" s="52">
        <f>J2153+J2152+J2151+J2150</f>
        <v>0</v>
      </c>
      <c r="K2149" s="52">
        <f t="shared" si="389"/>
        <v>57415</v>
      </c>
      <c r="L2149" s="126"/>
      <c r="M2149" s="52">
        <f>M2153+M2152+M2151+M2150</f>
        <v>0</v>
      </c>
      <c r="N2149" s="52">
        <f>N2153+N2152+N2151+N2150</f>
        <v>0</v>
      </c>
      <c r="O2149" s="52">
        <f t="shared" si="390"/>
        <v>0</v>
      </c>
      <c r="P2149" s="126"/>
      <c r="Q2149" s="52">
        <f t="shared" si="386"/>
        <v>57415</v>
      </c>
      <c r="R2149" s="52">
        <f t="shared" si="387"/>
        <v>0</v>
      </c>
      <c r="S2149" s="52">
        <f t="shared" si="388"/>
        <v>57415</v>
      </c>
    </row>
    <row r="2150" spans="2:19" x14ac:dyDescent="0.2">
      <c r="B2150" s="79">
        <f t="shared" si="385"/>
        <v>7</v>
      </c>
      <c r="C2150" s="4"/>
      <c r="D2150" s="4"/>
      <c r="E2150" s="4"/>
      <c r="F2150" s="56" t="s">
        <v>76</v>
      </c>
      <c r="G2150" s="4">
        <v>632</v>
      </c>
      <c r="H2150" s="4" t="s">
        <v>139</v>
      </c>
      <c r="I2150" s="26">
        <v>15650</v>
      </c>
      <c r="J2150" s="26"/>
      <c r="K2150" s="26">
        <f t="shared" si="389"/>
        <v>15650</v>
      </c>
      <c r="L2150" s="80"/>
      <c r="M2150" s="26"/>
      <c r="N2150" s="26"/>
      <c r="O2150" s="26">
        <f t="shared" si="390"/>
        <v>0</v>
      </c>
      <c r="P2150" s="80"/>
      <c r="Q2150" s="26">
        <f t="shared" si="386"/>
        <v>15650</v>
      </c>
      <c r="R2150" s="26">
        <f t="shared" si="387"/>
        <v>0</v>
      </c>
      <c r="S2150" s="26">
        <f t="shared" si="388"/>
        <v>15650</v>
      </c>
    </row>
    <row r="2151" spans="2:19" x14ac:dyDescent="0.2">
      <c r="B2151" s="79">
        <f t="shared" si="385"/>
        <v>8</v>
      </c>
      <c r="C2151" s="4"/>
      <c r="D2151" s="4"/>
      <c r="E2151" s="4"/>
      <c r="F2151" s="56" t="s">
        <v>76</v>
      </c>
      <c r="G2151" s="4">
        <v>633</v>
      </c>
      <c r="H2151" s="4" t="s">
        <v>132</v>
      </c>
      <c r="I2151" s="26">
        <f>23750+5000</f>
        <v>28750</v>
      </c>
      <c r="J2151" s="26"/>
      <c r="K2151" s="26">
        <f t="shared" si="389"/>
        <v>28750</v>
      </c>
      <c r="L2151" s="80"/>
      <c r="M2151" s="26"/>
      <c r="N2151" s="26"/>
      <c r="O2151" s="26">
        <f t="shared" si="390"/>
        <v>0</v>
      </c>
      <c r="P2151" s="80"/>
      <c r="Q2151" s="26">
        <f t="shared" si="386"/>
        <v>28750</v>
      </c>
      <c r="R2151" s="26">
        <f t="shared" si="387"/>
        <v>0</v>
      </c>
      <c r="S2151" s="26">
        <f t="shared" si="388"/>
        <v>28750</v>
      </c>
    </row>
    <row r="2152" spans="2:19" x14ac:dyDescent="0.2">
      <c r="B2152" s="79">
        <f t="shared" si="385"/>
        <v>9</v>
      </c>
      <c r="C2152" s="4"/>
      <c r="D2152" s="4"/>
      <c r="E2152" s="4"/>
      <c r="F2152" s="56" t="s">
        <v>76</v>
      </c>
      <c r="G2152" s="4">
        <v>635</v>
      </c>
      <c r="H2152" s="4" t="s">
        <v>138</v>
      </c>
      <c r="I2152" s="26">
        <f>18310+6400-16300</f>
        <v>8410</v>
      </c>
      <c r="J2152" s="26"/>
      <c r="K2152" s="26">
        <f t="shared" si="389"/>
        <v>8410</v>
      </c>
      <c r="L2152" s="80"/>
      <c r="M2152" s="26"/>
      <c r="N2152" s="26"/>
      <c r="O2152" s="26">
        <f t="shared" si="390"/>
        <v>0</v>
      </c>
      <c r="P2152" s="80"/>
      <c r="Q2152" s="26">
        <f t="shared" si="386"/>
        <v>8410</v>
      </c>
      <c r="R2152" s="26">
        <f t="shared" si="387"/>
        <v>0</v>
      </c>
      <c r="S2152" s="26">
        <f t="shared" si="388"/>
        <v>8410</v>
      </c>
    </row>
    <row r="2153" spans="2:19" x14ac:dyDescent="0.2">
      <c r="B2153" s="79">
        <f t="shared" si="385"/>
        <v>10</v>
      </c>
      <c r="C2153" s="4"/>
      <c r="D2153" s="4"/>
      <c r="E2153" s="4"/>
      <c r="F2153" s="56" t="s">
        <v>76</v>
      </c>
      <c r="G2153" s="4">
        <v>637</v>
      </c>
      <c r="H2153" s="4" t="s">
        <v>129</v>
      </c>
      <c r="I2153" s="26">
        <f>4330+275</f>
        <v>4605</v>
      </c>
      <c r="J2153" s="26"/>
      <c r="K2153" s="26">
        <f t="shared" si="389"/>
        <v>4605</v>
      </c>
      <c r="L2153" s="80"/>
      <c r="M2153" s="26"/>
      <c r="N2153" s="26"/>
      <c r="O2153" s="26">
        <f t="shared" si="390"/>
        <v>0</v>
      </c>
      <c r="P2153" s="80"/>
      <c r="Q2153" s="26">
        <f t="shared" si="386"/>
        <v>4605</v>
      </c>
      <c r="R2153" s="26">
        <f t="shared" si="387"/>
        <v>0</v>
      </c>
      <c r="S2153" s="26">
        <f t="shared" si="388"/>
        <v>4605</v>
      </c>
    </row>
    <row r="2154" spans="2:19" x14ac:dyDescent="0.2">
      <c r="B2154" s="79">
        <f t="shared" si="385"/>
        <v>11</v>
      </c>
      <c r="C2154" s="15"/>
      <c r="D2154" s="15"/>
      <c r="E2154" s="15"/>
      <c r="F2154" s="55" t="s">
        <v>76</v>
      </c>
      <c r="G2154" s="15">
        <v>640</v>
      </c>
      <c r="H2154" s="15" t="s">
        <v>135</v>
      </c>
      <c r="I2154" s="52">
        <f>300+100</f>
        <v>400</v>
      </c>
      <c r="J2154" s="52"/>
      <c r="K2154" s="52">
        <f t="shared" si="389"/>
        <v>400</v>
      </c>
      <c r="L2154" s="126"/>
      <c r="M2154" s="52"/>
      <c r="N2154" s="52"/>
      <c r="O2154" s="52">
        <f t="shared" si="390"/>
        <v>0</v>
      </c>
      <c r="P2154" s="126"/>
      <c r="Q2154" s="52">
        <f t="shared" si="386"/>
        <v>400</v>
      </c>
      <c r="R2154" s="52">
        <f t="shared" si="387"/>
        <v>0</v>
      </c>
      <c r="S2154" s="52">
        <f t="shared" si="388"/>
        <v>400</v>
      </c>
    </row>
    <row r="2155" spans="2:19" x14ac:dyDescent="0.2">
      <c r="B2155" s="79">
        <f t="shared" si="385"/>
        <v>12</v>
      </c>
      <c r="C2155" s="15"/>
      <c r="D2155" s="15"/>
      <c r="E2155" s="15"/>
      <c r="F2155" s="55" t="s">
        <v>76</v>
      </c>
      <c r="G2155" s="15">
        <v>710</v>
      </c>
      <c r="H2155" s="15" t="s">
        <v>184</v>
      </c>
      <c r="I2155" s="52">
        <f>I2156</f>
        <v>0</v>
      </c>
      <c r="J2155" s="52">
        <f>J2156</f>
        <v>0</v>
      </c>
      <c r="K2155" s="52">
        <f t="shared" si="389"/>
        <v>0</v>
      </c>
      <c r="L2155" s="126"/>
      <c r="M2155" s="52">
        <f>M2156</f>
        <v>11300</v>
      </c>
      <c r="N2155" s="52">
        <f>N2156</f>
        <v>0</v>
      </c>
      <c r="O2155" s="52">
        <f t="shared" si="390"/>
        <v>11300</v>
      </c>
      <c r="P2155" s="126"/>
      <c r="Q2155" s="52">
        <f t="shared" si="386"/>
        <v>11300</v>
      </c>
      <c r="R2155" s="52">
        <f t="shared" si="387"/>
        <v>0</v>
      </c>
      <c r="S2155" s="52">
        <f t="shared" si="388"/>
        <v>11300</v>
      </c>
    </row>
    <row r="2156" spans="2:19" x14ac:dyDescent="0.2">
      <c r="B2156" s="79">
        <f t="shared" si="385"/>
        <v>13</v>
      </c>
      <c r="C2156" s="15"/>
      <c r="D2156" s="15"/>
      <c r="E2156" s="15"/>
      <c r="F2156" s="89" t="s">
        <v>76</v>
      </c>
      <c r="G2156" s="90">
        <v>716</v>
      </c>
      <c r="H2156" s="90" t="s">
        <v>0</v>
      </c>
      <c r="I2156" s="91"/>
      <c r="J2156" s="91"/>
      <c r="K2156" s="91">
        <f t="shared" si="389"/>
        <v>0</v>
      </c>
      <c r="L2156" s="80"/>
      <c r="M2156" s="91">
        <f>M2157+M2158</f>
        <v>11300</v>
      </c>
      <c r="N2156" s="91">
        <f>N2157+N2158</f>
        <v>0</v>
      </c>
      <c r="O2156" s="91">
        <f t="shared" si="390"/>
        <v>11300</v>
      </c>
      <c r="P2156" s="80"/>
      <c r="Q2156" s="91">
        <f t="shared" si="386"/>
        <v>11300</v>
      </c>
      <c r="R2156" s="91">
        <f t="shared" si="387"/>
        <v>0</v>
      </c>
      <c r="S2156" s="91">
        <f t="shared" si="388"/>
        <v>11300</v>
      </c>
    </row>
    <row r="2157" spans="2:19" x14ac:dyDescent="0.2">
      <c r="B2157" s="79">
        <f t="shared" si="385"/>
        <v>14</v>
      </c>
      <c r="C2157" s="15"/>
      <c r="D2157" s="15"/>
      <c r="E2157" s="15"/>
      <c r="F2157" s="56"/>
      <c r="G2157" s="4"/>
      <c r="H2157" s="4" t="s">
        <v>769</v>
      </c>
      <c r="I2157" s="26"/>
      <c r="J2157" s="26"/>
      <c r="K2157" s="26">
        <f t="shared" si="389"/>
        <v>0</v>
      </c>
      <c r="L2157" s="80"/>
      <c r="M2157" s="26">
        <v>1300</v>
      </c>
      <c r="N2157" s="26"/>
      <c r="O2157" s="26">
        <f t="shared" si="390"/>
        <v>1300</v>
      </c>
      <c r="P2157" s="80"/>
      <c r="Q2157" s="26">
        <f t="shared" si="386"/>
        <v>1300</v>
      </c>
      <c r="R2157" s="26">
        <f t="shared" si="387"/>
        <v>0</v>
      </c>
      <c r="S2157" s="26">
        <f t="shared" si="388"/>
        <v>1300</v>
      </c>
    </row>
    <row r="2158" spans="2:19" x14ac:dyDescent="0.2">
      <c r="B2158" s="79">
        <f t="shared" si="385"/>
        <v>15</v>
      </c>
      <c r="C2158" s="15"/>
      <c r="D2158" s="15"/>
      <c r="E2158" s="15"/>
      <c r="F2158" s="56"/>
      <c r="G2158" s="4"/>
      <c r="H2158" s="4" t="s">
        <v>768</v>
      </c>
      <c r="I2158" s="26"/>
      <c r="J2158" s="26"/>
      <c r="K2158" s="26">
        <f t="shared" si="389"/>
        <v>0</v>
      </c>
      <c r="L2158" s="80"/>
      <c r="M2158" s="26">
        <v>10000</v>
      </c>
      <c r="N2158" s="26"/>
      <c r="O2158" s="26">
        <f t="shared" si="390"/>
        <v>10000</v>
      </c>
      <c r="P2158" s="80"/>
      <c r="Q2158" s="26">
        <f t="shared" si="386"/>
        <v>10000</v>
      </c>
      <c r="R2158" s="26">
        <f t="shared" si="387"/>
        <v>0</v>
      </c>
      <c r="S2158" s="26">
        <f t="shared" si="388"/>
        <v>10000</v>
      </c>
    </row>
    <row r="2159" spans="2:19" ht="15" x14ac:dyDescent="0.2">
      <c r="B2159" s="79">
        <f t="shared" si="385"/>
        <v>16</v>
      </c>
      <c r="C2159" s="191">
        <v>2</v>
      </c>
      <c r="D2159" s="245" t="s">
        <v>237</v>
      </c>
      <c r="E2159" s="246"/>
      <c r="F2159" s="246"/>
      <c r="G2159" s="246"/>
      <c r="H2159" s="247"/>
      <c r="I2159" s="48">
        <f>I2160</f>
        <v>1600</v>
      </c>
      <c r="J2159" s="48">
        <f>J2160</f>
        <v>0</v>
      </c>
      <c r="K2159" s="48">
        <f t="shared" si="389"/>
        <v>1600</v>
      </c>
      <c r="L2159" s="201"/>
      <c r="M2159" s="48">
        <f>M2160</f>
        <v>0</v>
      </c>
      <c r="N2159" s="48">
        <f>N2160</f>
        <v>0</v>
      </c>
      <c r="O2159" s="48">
        <f t="shared" si="390"/>
        <v>0</v>
      </c>
      <c r="P2159" s="201"/>
      <c r="Q2159" s="48">
        <f t="shared" si="386"/>
        <v>1600</v>
      </c>
      <c r="R2159" s="48">
        <f t="shared" si="387"/>
        <v>0</v>
      </c>
      <c r="S2159" s="48">
        <f t="shared" si="388"/>
        <v>1600</v>
      </c>
    </row>
    <row r="2160" spans="2:19" x14ac:dyDescent="0.2">
      <c r="B2160" s="79">
        <f t="shared" si="385"/>
        <v>17</v>
      </c>
      <c r="C2160" s="15"/>
      <c r="D2160" s="15"/>
      <c r="E2160" s="15"/>
      <c r="F2160" s="55" t="s">
        <v>236</v>
      </c>
      <c r="G2160" s="15">
        <v>640</v>
      </c>
      <c r="H2160" s="15" t="s">
        <v>135</v>
      </c>
      <c r="I2160" s="52">
        <f>2000-400</f>
        <v>1600</v>
      </c>
      <c r="J2160" s="52"/>
      <c r="K2160" s="52">
        <f t="shared" si="389"/>
        <v>1600</v>
      </c>
      <c r="L2160" s="126"/>
      <c r="M2160" s="52"/>
      <c r="N2160" s="52"/>
      <c r="O2160" s="52">
        <f t="shared" si="390"/>
        <v>0</v>
      </c>
      <c r="P2160" s="126"/>
      <c r="Q2160" s="52">
        <f t="shared" si="386"/>
        <v>1600</v>
      </c>
      <c r="R2160" s="52">
        <f t="shared" si="387"/>
        <v>0</v>
      </c>
      <c r="S2160" s="52">
        <f t="shared" si="388"/>
        <v>1600</v>
      </c>
    </row>
    <row r="2161" spans="2:19" ht="15" x14ac:dyDescent="0.2">
      <c r="B2161" s="79">
        <f t="shared" si="385"/>
        <v>18</v>
      </c>
      <c r="C2161" s="191">
        <v>3</v>
      </c>
      <c r="D2161" s="245" t="s">
        <v>253</v>
      </c>
      <c r="E2161" s="246"/>
      <c r="F2161" s="246"/>
      <c r="G2161" s="246"/>
      <c r="H2161" s="247"/>
      <c r="I2161" s="48">
        <f>I2162</f>
        <v>32070</v>
      </c>
      <c r="J2161" s="48">
        <f>J2162</f>
        <v>0</v>
      </c>
      <c r="K2161" s="48">
        <f t="shared" si="389"/>
        <v>32070</v>
      </c>
      <c r="L2161" s="201"/>
      <c r="M2161" s="48">
        <v>0</v>
      </c>
      <c r="N2161" s="48"/>
      <c r="O2161" s="48">
        <f t="shared" si="390"/>
        <v>0</v>
      </c>
      <c r="P2161" s="201"/>
      <c r="Q2161" s="48">
        <f t="shared" si="386"/>
        <v>32070</v>
      </c>
      <c r="R2161" s="48">
        <f t="shared" si="387"/>
        <v>0</v>
      </c>
      <c r="S2161" s="48">
        <f t="shared" si="388"/>
        <v>32070</v>
      </c>
    </row>
    <row r="2162" spans="2:19" x14ac:dyDescent="0.2">
      <c r="B2162" s="79">
        <f t="shared" si="385"/>
        <v>19</v>
      </c>
      <c r="C2162" s="72"/>
      <c r="D2162" s="72"/>
      <c r="E2162" s="72"/>
      <c r="F2162" s="76" t="s">
        <v>252</v>
      </c>
      <c r="G2162" s="72">
        <v>640</v>
      </c>
      <c r="H2162" s="72" t="s">
        <v>135</v>
      </c>
      <c r="I2162" s="74">
        <f>I2163+I2164+I2165+I2166+I2174+I2175</f>
        <v>32070</v>
      </c>
      <c r="J2162" s="74">
        <f>J2163+J2164+J2165+J2166+J2174+J2175</f>
        <v>0</v>
      </c>
      <c r="K2162" s="74">
        <f t="shared" si="389"/>
        <v>32070</v>
      </c>
      <c r="L2162" s="206"/>
      <c r="M2162" s="74"/>
      <c r="N2162" s="74"/>
      <c r="O2162" s="74">
        <f t="shared" si="390"/>
        <v>0</v>
      </c>
      <c r="P2162" s="206"/>
      <c r="Q2162" s="74">
        <f t="shared" si="386"/>
        <v>32070</v>
      </c>
      <c r="R2162" s="74">
        <f t="shared" si="387"/>
        <v>0</v>
      </c>
      <c r="S2162" s="74">
        <f t="shared" si="388"/>
        <v>32070</v>
      </c>
    </row>
    <row r="2163" spans="2:19" x14ac:dyDescent="0.2">
      <c r="B2163" s="79">
        <f t="shared" si="385"/>
        <v>20</v>
      </c>
      <c r="C2163" s="72"/>
      <c r="D2163" s="73"/>
      <c r="E2163" s="72"/>
      <c r="F2163" s="87" t="s">
        <v>252</v>
      </c>
      <c r="G2163" s="88">
        <v>640</v>
      </c>
      <c r="H2163" s="88" t="s">
        <v>234</v>
      </c>
      <c r="I2163" s="69">
        <v>5000</v>
      </c>
      <c r="J2163" s="69"/>
      <c r="K2163" s="69">
        <f t="shared" si="389"/>
        <v>5000</v>
      </c>
      <c r="L2163" s="166"/>
      <c r="M2163" s="74"/>
      <c r="N2163" s="74"/>
      <c r="O2163" s="74">
        <f t="shared" si="390"/>
        <v>0</v>
      </c>
      <c r="P2163" s="206"/>
      <c r="Q2163" s="69">
        <f t="shared" si="386"/>
        <v>5000</v>
      </c>
      <c r="R2163" s="69">
        <f t="shared" si="387"/>
        <v>0</v>
      </c>
      <c r="S2163" s="69">
        <f t="shared" si="388"/>
        <v>5000</v>
      </c>
    </row>
    <row r="2164" spans="2:19" ht="24" x14ac:dyDescent="0.2">
      <c r="B2164" s="79">
        <f t="shared" si="385"/>
        <v>21</v>
      </c>
      <c r="C2164" s="72"/>
      <c r="D2164" s="73"/>
      <c r="E2164" s="72"/>
      <c r="F2164" s="87" t="s">
        <v>252</v>
      </c>
      <c r="G2164" s="88">
        <v>640</v>
      </c>
      <c r="H2164" s="93" t="s">
        <v>362</v>
      </c>
      <c r="I2164" s="69">
        <f>906-106</f>
        <v>800</v>
      </c>
      <c r="J2164" s="69"/>
      <c r="K2164" s="69">
        <f t="shared" si="389"/>
        <v>800</v>
      </c>
      <c r="L2164" s="166"/>
      <c r="M2164" s="74"/>
      <c r="N2164" s="74"/>
      <c r="O2164" s="74">
        <f t="shared" si="390"/>
        <v>0</v>
      </c>
      <c r="P2164" s="206"/>
      <c r="Q2164" s="69">
        <f t="shared" si="386"/>
        <v>800</v>
      </c>
      <c r="R2164" s="69">
        <f t="shared" si="387"/>
        <v>0</v>
      </c>
      <c r="S2164" s="69">
        <f t="shared" si="388"/>
        <v>800</v>
      </c>
    </row>
    <row r="2165" spans="2:19" x14ac:dyDescent="0.2">
      <c r="B2165" s="79">
        <f t="shared" si="385"/>
        <v>22</v>
      </c>
      <c r="C2165" s="72"/>
      <c r="D2165" s="73"/>
      <c r="E2165" s="72"/>
      <c r="F2165" s="87" t="s">
        <v>252</v>
      </c>
      <c r="G2165" s="88">
        <v>640</v>
      </c>
      <c r="H2165" s="88" t="s">
        <v>363</v>
      </c>
      <c r="I2165" s="69">
        <f>1928+52</f>
        <v>1980</v>
      </c>
      <c r="J2165" s="69"/>
      <c r="K2165" s="69">
        <f t="shared" si="389"/>
        <v>1980</v>
      </c>
      <c r="L2165" s="166"/>
      <c r="M2165" s="74"/>
      <c r="N2165" s="74"/>
      <c r="O2165" s="74">
        <f t="shared" si="390"/>
        <v>0</v>
      </c>
      <c r="P2165" s="206"/>
      <c r="Q2165" s="69">
        <f t="shared" si="386"/>
        <v>1980</v>
      </c>
      <c r="R2165" s="69">
        <f t="shared" si="387"/>
        <v>0</v>
      </c>
      <c r="S2165" s="69">
        <f t="shared" si="388"/>
        <v>1980</v>
      </c>
    </row>
    <row r="2166" spans="2:19" ht="24" x14ac:dyDescent="0.2">
      <c r="B2166" s="79">
        <f t="shared" si="385"/>
        <v>23</v>
      </c>
      <c r="C2166" s="72"/>
      <c r="D2166" s="73"/>
      <c r="E2166" s="72"/>
      <c r="F2166" s="87" t="s">
        <v>252</v>
      </c>
      <c r="G2166" s="88">
        <v>640</v>
      </c>
      <c r="H2166" s="93" t="s">
        <v>364</v>
      </c>
      <c r="I2166" s="69">
        <f>SUM(I2167:I2173)</f>
        <v>8290</v>
      </c>
      <c r="J2166" s="69">
        <f>SUM(J2167:J2173)</f>
        <v>0</v>
      </c>
      <c r="K2166" s="69">
        <f t="shared" si="389"/>
        <v>8290</v>
      </c>
      <c r="L2166" s="166"/>
      <c r="M2166" s="74"/>
      <c r="N2166" s="74"/>
      <c r="O2166" s="74">
        <f t="shared" si="390"/>
        <v>0</v>
      </c>
      <c r="P2166" s="206"/>
      <c r="Q2166" s="69">
        <f t="shared" si="386"/>
        <v>8290</v>
      </c>
      <c r="R2166" s="69">
        <f t="shared" si="387"/>
        <v>0</v>
      </c>
      <c r="S2166" s="69">
        <f t="shared" si="388"/>
        <v>8290</v>
      </c>
    </row>
    <row r="2167" spans="2:19" ht="12.75" customHeight="1" x14ac:dyDescent="0.2">
      <c r="B2167" s="79">
        <f t="shared" si="385"/>
        <v>24</v>
      </c>
      <c r="C2167" s="72"/>
      <c r="D2167" s="73"/>
      <c r="E2167" s="72"/>
      <c r="F2167" s="87"/>
      <c r="G2167" s="88"/>
      <c r="H2167" s="93" t="s">
        <v>365</v>
      </c>
      <c r="I2167" s="69">
        <f>422+34</f>
        <v>456</v>
      </c>
      <c r="J2167" s="69"/>
      <c r="K2167" s="69">
        <f t="shared" si="389"/>
        <v>456</v>
      </c>
      <c r="L2167" s="166"/>
      <c r="M2167" s="74"/>
      <c r="N2167" s="74"/>
      <c r="O2167" s="74">
        <f t="shared" si="390"/>
        <v>0</v>
      </c>
      <c r="P2167" s="206"/>
      <c r="Q2167" s="69">
        <f t="shared" si="386"/>
        <v>456</v>
      </c>
      <c r="R2167" s="69">
        <f t="shared" si="387"/>
        <v>0</v>
      </c>
      <c r="S2167" s="69">
        <f t="shared" si="388"/>
        <v>456</v>
      </c>
    </row>
    <row r="2168" spans="2:19" ht="24.75" customHeight="1" x14ac:dyDescent="0.2">
      <c r="B2168" s="79">
        <f t="shared" si="385"/>
        <v>25</v>
      </c>
      <c r="C2168" s="72"/>
      <c r="D2168" s="73"/>
      <c r="E2168" s="72"/>
      <c r="F2168" s="87"/>
      <c r="G2168" s="88"/>
      <c r="H2168" s="93" t="s">
        <v>366</v>
      </c>
      <c r="I2168" s="69">
        <f>1819+124</f>
        <v>1943</v>
      </c>
      <c r="J2168" s="69"/>
      <c r="K2168" s="69">
        <f t="shared" si="389"/>
        <v>1943</v>
      </c>
      <c r="L2168" s="166"/>
      <c r="M2168" s="74"/>
      <c r="N2168" s="74"/>
      <c r="O2168" s="74">
        <f t="shared" si="390"/>
        <v>0</v>
      </c>
      <c r="P2168" s="206"/>
      <c r="Q2168" s="69">
        <f t="shared" si="386"/>
        <v>1943</v>
      </c>
      <c r="R2168" s="69">
        <f t="shared" si="387"/>
        <v>0</v>
      </c>
      <c r="S2168" s="69">
        <f t="shared" si="388"/>
        <v>1943</v>
      </c>
    </row>
    <row r="2169" spans="2:19" ht="15.75" customHeight="1" x14ac:dyDescent="0.2">
      <c r="B2169" s="79">
        <f t="shared" si="385"/>
        <v>26</v>
      </c>
      <c r="C2169" s="72"/>
      <c r="D2169" s="73"/>
      <c r="E2169" s="72"/>
      <c r="F2169" s="87"/>
      <c r="G2169" s="88"/>
      <c r="H2169" s="93" t="s">
        <v>367</v>
      </c>
      <c r="I2169" s="69">
        <f>1363+67</f>
        <v>1430</v>
      </c>
      <c r="J2169" s="69"/>
      <c r="K2169" s="69">
        <f t="shared" si="389"/>
        <v>1430</v>
      </c>
      <c r="L2169" s="166"/>
      <c r="M2169" s="74"/>
      <c r="N2169" s="74"/>
      <c r="O2169" s="74">
        <f t="shared" si="390"/>
        <v>0</v>
      </c>
      <c r="P2169" s="206"/>
      <c r="Q2169" s="69">
        <f t="shared" si="386"/>
        <v>1430</v>
      </c>
      <c r="R2169" s="69">
        <f t="shared" si="387"/>
        <v>0</v>
      </c>
      <c r="S2169" s="69">
        <f t="shared" si="388"/>
        <v>1430</v>
      </c>
    </row>
    <row r="2170" spans="2:19" x14ac:dyDescent="0.2">
      <c r="B2170" s="79">
        <f t="shared" si="385"/>
        <v>27</v>
      </c>
      <c r="C2170" s="72"/>
      <c r="D2170" s="73"/>
      <c r="E2170" s="72"/>
      <c r="F2170" s="87"/>
      <c r="G2170" s="88"/>
      <c r="H2170" s="93" t="s">
        <v>368</v>
      </c>
      <c r="I2170" s="69">
        <f>370-24</f>
        <v>346</v>
      </c>
      <c r="J2170" s="69"/>
      <c r="K2170" s="69">
        <f t="shared" si="389"/>
        <v>346</v>
      </c>
      <c r="L2170" s="166"/>
      <c r="M2170" s="74"/>
      <c r="N2170" s="74"/>
      <c r="O2170" s="74">
        <f t="shared" si="390"/>
        <v>0</v>
      </c>
      <c r="P2170" s="206"/>
      <c r="Q2170" s="69">
        <f t="shared" si="386"/>
        <v>346</v>
      </c>
      <c r="R2170" s="69">
        <f t="shared" si="387"/>
        <v>0</v>
      </c>
      <c r="S2170" s="69">
        <f t="shared" si="388"/>
        <v>346</v>
      </c>
    </row>
    <row r="2171" spans="2:19" x14ac:dyDescent="0.2">
      <c r="B2171" s="79">
        <f t="shared" si="385"/>
        <v>28</v>
      </c>
      <c r="C2171" s="72"/>
      <c r="D2171" s="73"/>
      <c r="E2171" s="72"/>
      <c r="F2171" s="87"/>
      <c r="G2171" s="88"/>
      <c r="H2171" s="93" t="s">
        <v>369</v>
      </c>
      <c r="I2171" s="69">
        <f>478+198</f>
        <v>676</v>
      </c>
      <c r="J2171" s="69"/>
      <c r="K2171" s="69">
        <f t="shared" si="389"/>
        <v>676</v>
      </c>
      <c r="L2171" s="166"/>
      <c r="M2171" s="74"/>
      <c r="N2171" s="74"/>
      <c r="O2171" s="74">
        <f t="shared" si="390"/>
        <v>0</v>
      </c>
      <c r="P2171" s="206"/>
      <c r="Q2171" s="69">
        <f t="shared" si="386"/>
        <v>676</v>
      </c>
      <c r="R2171" s="69">
        <f t="shared" si="387"/>
        <v>0</v>
      </c>
      <c r="S2171" s="69">
        <f t="shared" si="388"/>
        <v>676</v>
      </c>
    </row>
    <row r="2172" spans="2:19" x14ac:dyDescent="0.2">
      <c r="B2172" s="79">
        <f t="shared" si="385"/>
        <v>29</v>
      </c>
      <c r="C2172" s="72"/>
      <c r="D2172" s="73"/>
      <c r="E2172" s="72"/>
      <c r="F2172" s="87"/>
      <c r="G2172" s="88"/>
      <c r="H2172" s="93" t="s">
        <v>370</v>
      </c>
      <c r="I2172" s="69">
        <f>1080-17</f>
        <v>1063</v>
      </c>
      <c r="J2172" s="69"/>
      <c r="K2172" s="69">
        <f t="shared" si="389"/>
        <v>1063</v>
      </c>
      <c r="L2172" s="166"/>
      <c r="M2172" s="74"/>
      <c r="N2172" s="74"/>
      <c r="O2172" s="74">
        <f t="shared" si="390"/>
        <v>0</v>
      </c>
      <c r="P2172" s="206"/>
      <c r="Q2172" s="69">
        <f t="shared" si="386"/>
        <v>1063</v>
      </c>
      <c r="R2172" s="69">
        <f t="shared" si="387"/>
        <v>0</v>
      </c>
      <c r="S2172" s="69">
        <f t="shared" si="388"/>
        <v>1063</v>
      </c>
    </row>
    <row r="2173" spans="2:19" x14ac:dyDescent="0.2">
      <c r="B2173" s="79">
        <f t="shared" si="385"/>
        <v>30</v>
      </c>
      <c r="C2173" s="72"/>
      <c r="D2173" s="73"/>
      <c r="E2173" s="72"/>
      <c r="F2173" s="87"/>
      <c r="G2173" s="88"/>
      <c r="H2173" s="93" t="s">
        <v>371</v>
      </c>
      <c r="I2173" s="69">
        <f>2704-328</f>
        <v>2376</v>
      </c>
      <c r="J2173" s="69"/>
      <c r="K2173" s="69">
        <f t="shared" si="389"/>
        <v>2376</v>
      </c>
      <c r="L2173" s="166"/>
      <c r="M2173" s="74"/>
      <c r="N2173" s="74"/>
      <c r="O2173" s="74">
        <f t="shared" si="390"/>
        <v>0</v>
      </c>
      <c r="P2173" s="206"/>
      <c r="Q2173" s="69">
        <f t="shared" si="386"/>
        <v>2376</v>
      </c>
      <c r="R2173" s="69">
        <f t="shared" si="387"/>
        <v>0</v>
      </c>
      <c r="S2173" s="69">
        <f t="shared" si="388"/>
        <v>2376</v>
      </c>
    </row>
    <row r="2174" spans="2:19" ht="24" x14ac:dyDescent="0.2">
      <c r="B2174" s="79">
        <f t="shared" si="385"/>
        <v>31</v>
      </c>
      <c r="C2174" s="72"/>
      <c r="D2174" s="73"/>
      <c r="E2174" s="72"/>
      <c r="F2174" s="87" t="s">
        <v>252</v>
      </c>
      <c r="G2174" s="88">
        <v>640</v>
      </c>
      <c r="H2174" s="93" t="s">
        <v>433</v>
      </c>
      <c r="I2174" s="69">
        <v>7000</v>
      </c>
      <c r="J2174" s="69"/>
      <c r="K2174" s="69">
        <f t="shared" si="389"/>
        <v>7000</v>
      </c>
      <c r="L2174" s="166"/>
      <c r="M2174" s="74"/>
      <c r="N2174" s="74"/>
      <c r="O2174" s="74">
        <f t="shared" si="390"/>
        <v>0</v>
      </c>
      <c r="P2174" s="206"/>
      <c r="Q2174" s="69">
        <f t="shared" si="386"/>
        <v>7000</v>
      </c>
      <c r="R2174" s="69">
        <f t="shared" si="387"/>
        <v>0</v>
      </c>
      <c r="S2174" s="69">
        <f t="shared" si="388"/>
        <v>7000</v>
      </c>
    </row>
    <row r="2175" spans="2:19" x14ac:dyDescent="0.2">
      <c r="B2175" s="79">
        <f t="shared" si="385"/>
        <v>32</v>
      </c>
      <c r="C2175" s="72"/>
      <c r="D2175" s="73"/>
      <c r="E2175" s="72"/>
      <c r="F2175" s="87" t="s">
        <v>252</v>
      </c>
      <c r="G2175" s="88">
        <v>640</v>
      </c>
      <c r="H2175" s="93" t="s">
        <v>751</v>
      </c>
      <c r="I2175" s="69">
        <v>9000</v>
      </c>
      <c r="J2175" s="69"/>
      <c r="K2175" s="69">
        <f t="shared" si="389"/>
        <v>9000</v>
      </c>
      <c r="L2175" s="166"/>
      <c r="M2175" s="74"/>
      <c r="N2175" s="74"/>
      <c r="O2175" s="74">
        <f t="shared" si="390"/>
        <v>0</v>
      </c>
      <c r="P2175" s="206"/>
      <c r="Q2175" s="69">
        <f t="shared" si="386"/>
        <v>9000</v>
      </c>
      <c r="R2175" s="69">
        <f t="shared" si="387"/>
        <v>0</v>
      </c>
      <c r="S2175" s="69">
        <f t="shared" si="388"/>
        <v>9000</v>
      </c>
    </row>
    <row r="2176" spans="2:19" ht="15" x14ac:dyDescent="0.2">
      <c r="B2176" s="79">
        <f t="shared" si="385"/>
        <v>33</v>
      </c>
      <c r="C2176" s="191">
        <v>4</v>
      </c>
      <c r="D2176" s="245" t="s">
        <v>242</v>
      </c>
      <c r="E2176" s="246"/>
      <c r="F2176" s="246"/>
      <c r="G2176" s="246"/>
      <c r="H2176" s="247"/>
      <c r="I2176" s="48">
        <f>I2177</f>
        <v>68302</v>
      </c>
      <c r="J2176" s="48">
        <f>J2177</f>
        <v>0</v>
      </c>
      <c r="K2176" s="48">
        <f t="shared" si="389"/>
        <v>68302</v>
      </c>
      <c r="L2176" s="201"/>
      <c r="M2176" s="48">
        <f>M2177</f>
        <v>0</v>
      </c>
      <c r="N2176" s="48">
        <f>N2177</f>
        <v>0</v>
      </c>
      <c r="O2176" s="48">
        <f t="shared" si="390"/>
        <v>0</v>
      </c>
      <c r="P2176" s="201"/>
      <c r="Q2176" s="48">
        <f t="shared" si="386"/>
        <v>68302</v>
      </c>
      <c r="R2176" s="48">
        <f t="shared" si="387"/>
        <v>0</v>
      </c>
      <c r="S2176" s="48">
        <f t="shared" si="388"/>
        <v>68302</v>
      </c>
    </row>
    <row r="2177" spans="1:19" ht="15" x14ac:dyDescent="0.25">
      <c r="B2177" s="79">
        <f t="shared" si="385"/>
        <v>34</v>
      </c>
      <c r="C2177" s="18"/>
      <c r="D2177" s="18"/>
      <c r="E2177" s="18">
        <v>5</v>
      </c>
      <c r="F2177" s="53"/>
      <c r="G2177" s="18"/>
      <c r="H2177" s="18" t="s">
        <v>266</v>
      </c>
      <c r="I2177" s="50">
        <f>I2178+I2179+I2180+I2185</f>
        <v>68302</v>
      </c>
      <c r="J2177" s="50">
        <f>J2178+J2179+J2180+J2185</f>
        <v>0</v>
      </c>
      <c r="K2177" s="50">
        <f t="shared" si="389"/>
        <v>68302</v>
      </c>
      <c r="L2177" s="203"/>
      <c r="M2177" s="50">
        <f>M2178+M2179+M2180</f>
        <v>0</v>
      </c>
      <c r="N2177" s="50">
        <f>N2178+N2179+N2180</f>
        <v>0</v>
      </c>
      <c r="O2177" s="50">
        <f t="shared" si="390"/>
        <v>0</v>
      </c>
      <c r="P2177" s="203"/>
      <c r="Q2177" s="50">
        <f t="shared" si="386"/>
        <v>68302</v>
      </c>
      <c r="R2177" s="50">
        <f t="shared" si="387"/>
        <v>0</v>
      </c>
      <c r="S2177" s="50">
        <f t="shared" si="388"/>
        <v>68302</v>
      </c>
    </row>
    <row r="2178" spans="1:19" x14ac:dyDescent="0.2">
      <c r="B2178" s="79">
        <f t="shared" si="385"/>
        <v>35</v>
      </c>
      <c r="C2178" s="15"/>
      <c r="D2178" s="15"/>
      <c r="E2178" s="15"/>
      <c r="F2178" s="55" t="s">
        <v>236</v>
      </c>
      <c r="G2178" s="15">
        <v>610</v>
      </c>
      <c r="H2178" s="15" t="s">
        <v>136</v>
      </c>
      <c r="I2178" s="52">
        <f>20860+10460+1500+1722</f>
        <v>34542</v>
      </c>
      <c r="J2178" s="52"/>
      <c r="K2178" s="52">
        <f t="shared" si="389"/>
        <v>34542</v>
      </c>
      <c r="L2178" s="126"/>
      <c r="M2178" s="52"/>
      <c r="N2178" s="52"/>
      <c r="O2178" s="52">
        <f t="shared" si="390"/>
        <v>0</v>
      </c>
      <c r="P2178" s="126"/>
      <c r="Q2178" s="52">
        <f t="shared" si="386"/>
        <v>34542</v>
      </c>
      <c r="R2178" s="52">
        <f t="shared" si="387"/>
        <v>0</v>
      </c>
      <c r="S2178" s="52">
        <f t="shared" si="388"/>
        <v>34542</v>
      </c>
    </row>
    <row r="2179" spans="1:19" x14ac:dyDescent="0.2">
      <c r="B2179" s="79">
        <f t="shared" si="385"/>
        <v>36</v>
      </c>
      <c r="C2179" s="15"/>
      <c r="D2179" s="15"/>
      <c r="E2179" s="15"/>
      <c r="F2179" s="55" t="s">
        <v>236</v>
      </c>
      <c r="G2179" s="15">
        <v>620</v>
      </c>
      <c r="H2179" s="15" t="s">
        <v>131</v>
      </c>
      <c r="I2179" s="52">
        <f>7300+3660+527+603</f>
        <v>12090</v>
      </c>
      <c r="J2179" s="52"/>
      <c r="K2179" s="52">
        <f t="shared" si="389"/>
        <v>12090</v>
      </c>
      <c r="L2179" s="126"/>
      <c r="M2179" s="52"/>
      <c r="N2179" s="52"/>
      <c r="O2179" s="52">
        <f t="shared" si="390"/>
        <v>0</v>
      </c>
      <c r="P2179" s="126"/>
      <c r="Q2179" s="52">
        <f t="shared" si="386"/>
        <v>12090</v>
      </c>
      <c r="R2179" s="52">
        <f t="shared" si="387"/>
        <v>0</v>
      </c>
      <c r="S2179" s="52">
        <f t="shared" si="388"/>
        <v>12090</v>
      </c>
    </row>
    <row r="2180" spans="1:19" x14ac:dyDescent="0.2">
      <c r="B2180" s="79">
        <f t="shared" si="385"/>
        <v>37</v>
      </c>
      <c r="C2180" s="15"/>
      <c r="D2180" s="15"/>
      <c r="E2180" s="15"/>
      <c r="F2180" s="55" t="s">
        <v>236</v>
      </c>
      <c r="G2180" s="15">
        <v>630</v>
      </c>
      <c r="H2180" s="15" t="s">
        <v>128</v>
      </c>
      <c r="I2180" s="52">
        <f>I2184+I2183+I2182+I2181</f>
        <v>21650</v>
      </c>
      <c r="J2180" s="52">
        <f>J2184+J2183+J2182+J2181</f>
        <v>0</v>
      </c>
      <c r="K2180" s="52">
        <f t="shared" si="389"/>
        <v>21650</v>
      </c>
      <c r="L2180" s="126"/>
      <c r="M2180" s="52">
        <f>M2184+M2183+M2182+M2181</f>
        <v>0</v>
      </c>
      <c r="N2180" s="52">
        <f>N2184+N2183+N2182+N2181</f>
        <v>0</v>
      </c>
      <c r="O2180" s="52">
        <f t="shared" si="390"/>
        <v>0</v>
      </c>
      <c r="P2180" s="126"/>
      <c r="Q2180" s="52">
        <f t="shared" si="386"/>
        <v>21650</v>
      </c>
      <c r="R2180" s="52">
        <f t="shared" si="387"/>
        <v>0</v>
      </c>
      <c r="S2180" s="52">
        <f t="shared" si="388"/>
        <v>21650</v>
      </c>
    </row>
    <row r="2181" spans="1:19" x14ac:dyDescent="0.2">
      <c r="B2181" s="79">
        <f t="shared" si="385"/>
        <v>38</v>
      </c>
      <c r="C2181" s="4"/>
      <c r="D2181" s="4"/>
      <c r="E2181" s="4"/>
      <c r="F2181" s="56" t="s">
        <v>236</v>
      </c>
      <c r="G2181" s="4">
        <v>632</v>
      </c>
      <c r="H2181" s="4" t="s">
        <v>139</v>
      </c>
      <c r="I2181" s="26">
        <f>7450+2600</f>
        <v>10050</v>
      </c>
      <c r="J2181" s="26"/>
      <c r="K2181" s="26">
        <f t="shared" si="389"/>
        <v>10050</v>
      </c>
      <c r="L2181" s="80"/>
      <c r="M2181" s="26"/>
      <c r="N2181" s="26"/>
      <c r="O2181" s="26">
        <f t="shared" si="390"/>
        <v>0</v>
      </c>
      <c r="P2181" s="80"/>
      <c r="Q2181" s="26">
        <f t="shared" si="386"/>
        <v>10050</v>
      </c>
      <c r="R2181" s="26">
        <f t="shared" si="387"/>
        <v>0</v>
      </c>
      <c r="S2181" s="26">
        <f t="shared" si="388"/>
        <v>10050</v>
      </c>
    </row>
    <row r="2182" spans="1:19" x14ac:dyDescent="0.2">
      <c r="B2182" s="79">
        <f t="shared" si="385"/>
        <v>39</v>
      </c>
      <c r="C2182" s="4"/>
      <c r="D2182" s="4"/>
      <c r="E2182" s="4"/>
      <c r="F2182" s="56" t="s">
        <v>236</v>
      </c>
      <c r="G2182" s="4">
        <v>633</v>
      </c>
      <c r="H2182" s="4" t="s">
        <v>132</v>
      </c>
      <c r="I2182" s="26">
        <f>600+500</f>
        <v>1100</v>
      </c>
      <c r="J2182" s="26"/>
      <c r="K2182" s="26">
        <f t="shared" si="389"/>
        <v>1100</v>
      </c>
      <c r="L2182" s="80"/>
      <c r="M2182" s="26"/>
      <c r="N2182" s="26"/>
      <c r="O2182" s="26">
        <f t="shared" si="390"/>
        <v>0</v>
      </c>
      <c r="P2182" s="80"/>
      <c r="Q2182" s="26">
        <f t="shared" si="386"/>
        <v>1100</v>
      </c>
      <c r="R2182" s="26">
        <f t="shared" si="387"/>
        <v>0</v>
      </c>
      <c r="S2182" s="26">
        <f t="shared" si="388"/>
        <v>1100</v>
      </c>
    </row>
    <row r="2183" spans="1:19" x14ac:dyDescent="0.2">
      <c r="B2183" s="79">
        <f t="shared" si="385"/>
        <v>40</v>
      </c>
      <c r="C2183" s="4"/>
      <c r="D2183" s="4"/>
      <c r="E2183" s="4"/>
      <c r="F2183" s="56" t="s">
        <v>236</v>
      </c>
      <c r="G2183" s="4">
        <v>635</v>
      </c>
      <c r="H2183" s="4" t="s">
        <v>138</v>
      </c>
      <c r="I2183" s="26">
        <f>1500+3500</f>
        <v>5000</v>
      </c>
      <c r="J2183" s="26"/>
      <c r="K2183" s="26">
        <f t="shared" si="389"/>
        <v>5000</v>
      </c>
      <c r="L2183" s="80"/>
      <c r="M2183" s="26"/>
      <c r="N2183" s="26"/>
      <c r="O2183" s="26">
        <f t="shared" si="390"/>
        <v>0</v>
      </c>
      <c r="P2183" s="80"/>
      <c r="Q2183" s="26">
        <f t="shared" si="386"/>
        <v>5000</v>
      </c>
      <c r="R2183" s="26">
        <f t="shared" si="387"/>
        <v>0</v>
      </c>
      <c r="S2183" s="26">
        <f t="shared" si="388"/>
        <v>5000</v>
      </c>
    </row>
    <row r="2184" spans="1:19" x14ac:dyDescent="0.2">
      <c r="B2184" s="79">
        <f t="shared" si="385"/>
        <v>41</v>
      </c>
      <c r="C2184" s="4"/>
      <c r="D2184" s="4"/>
      <c r="E2184" s="4"/>
      <c r="F2184" s="56" t="s">
        <v>236</v>
      </c>
      <c r="G2184" s="4">
        <v>637</v>
      </c>
      <c r="H2184" s="4" t="s">
        <v>129</v>
      </c>
      <c r="I2184" s="26">
        <f>2500+3000</f>
        <v>5500</v>
      </c>
      <c r="J2184" s="26"/>
      <c r="K2184" s="26">
        <f t="shared" si="389"/>
        <v>5500</v>
      </c>
      <c r="L2184" s="80"/>
      <c r="M2184" s="26"/>
      <c r="N2184" s="26"/>
      <c r="O2184" s="26">
        <f t="shared" si="390"/>
        <v>0</v>
      </c>
      <c r="P2184" s="80"/>
      <c r="Q2184" s="26">
        <f t="shared" si="386"/>
        <v>5500</v>
      </c>
      <c r="R2184" s="26">
        <f t="shared" si="387"/>
        <v>0</v>
      </c>
      <c r="S2184" s="26">
        <f t="shared" si="388"/>
        <v>5500</v>
      </c>
    </row>
    <row r="2185" spans="1:19" x14ac:dyDescent="0.2">
      <c r="B2185" s="79">
        <f t="shared" si="385"/>
        <v>42</v>
      </c>
      <c r="C2185" s="4"/>
      <c r="D2185" s="58"/>
      <c r="E2185" s="176"/>
      <c r="F2185" s="55" t="s">
        <v>236</v>
      </c>
      <c r="G2185" s="15">
        <v>640</v>
      </c>
      <c r="H2185" s="15" t="s">
        <v>135</v>
      </c>
      <c r="I2185" s="52">
        <v>20</v>
      </c>
      <c r="J2185" s="52"/>
      <c r="K2185" s="52">
        <f t="shared" si="389"/>
        <v>20</v>
      </c>
      <c r="L2185" s="126"/>
      <c r="M2185" s="52"/>
      <c r="N2185" s="52"/>
      <c r="O2185" s="52">
        <f t="shared" si="390"/>
        <v>0</v>
      </c>
      <c r="P2185" s="126"/>
      <c r="Q2185" s="52">
        <f t="shared" si="386"/>
        <v>20</v>
      </c>
      <c r="R2185" s="52">
        <f t="shared" si="387"/>
        <v>0</v>
      </c>
      <c r="S2185" s="52">
        <f t="shared" si="388"/>
        <v>20</v>
      </c>
    </row>
    <row r="2186" spans="1:19" s="75" customFormat="1" ht="15" x14ac:dyDescent="0.2">
      <c r="A2186" s="71"/>
      <c r="B2186" s="79">
        <f t="shared" si="385"/>
        <v>43</v>
      </c>
      <c r="C2186" s="191">
        <v>5</v>
      </c>
      <c r="D2186" s="245" t="s">
        <v>187</v>
      </c>
      <c r="E2186" s="246"/>
      <c r="F2186" s="246"/>
      <c r="G2186" s="246"/>
      <c r="H2186" s="247"/>
      <c r="I2186" s="48">
        <f>I2221+I2205+I2187</f>
        <v>519385</v>
      </c>
      <c r="J2186" s="48">
        <f>J2221+J2205+J2187</f>
        <v>0</v>
      </c>
      <c r="K2186" s="48">
        <f t="shared" si="389"/>
        <v>519385</v>
      </c>
      <c r="L2186" s="201"/>
      <c r="M2186" s="48">
        <f>M2221+M2205+M2187</f>
        <v>10700</v>
      </c>
      <c r="N2186" s="48">
        <f>N2221+N2205+N2187</f>
        <v>0</v>
      </c>
      <c r="O2186" s="48">
        <f t="shared" si="390"/>
        <v>10700</v>
      </c>
      <c r="P2186" s="201"/>
      <c r="Q2186" s="48">
        <f t="shared" si="386"/>
        <v>530085</v>
      </c>
      <c r="R2186" s="48">
        <f t="shared" si="387"/>
        <v>0</v>
      </c>
      <c r="S2186" s="48">
        <f t="shared" si="388"/>
        <v>530085</v>
      </c>
    </row>
    <row r="2187" spans="1:19" s="75" customFormat="1" ht="15" x14ac:dyDescent="0.25">
      <c r="A2187" s="71"/>
      <c r="B2187" s="79">
        <f t="shared" si="385"/>
        <v>44</v>
      </c>
      <c r="C2187" s="190"/>
      <c r="D2187" s="190">
        <v>1</v>
      </c>
      <c r="E2187" s="268" t="s">
        <v>186</v>
      </c>
      <c r="F2187" s="246"/>
      <c r="G2187" s="246"/>
      <c r="H2187" s="247"/>
      <c r="I2187" s="49">
        <f>I2188+I2193</f>
        <v>8180</v>
      </c>
      <c r="J2187" s="49">
        <f>J2188+J2193</f>
        <v>0</v>
      </c>
      <c r="K2187" s="49">
        <f t="shared" si="389"/>
        <v>8180</v>
      </c>
      <c r="L2187" s="202"/>
      <c r="M2187" s="49">
        <f>M2188+M2193</f>
        <v>0</v>
      </c>
      <c r="N2187" s="49">
        <f>N2188+N2193</f>
        <v>0</v>
      </c>
      <c r="O2187" s="49">
        <f t="shared" si="390"/>
        <v>0</v>
      </c>
      <c r="P2187" s="202"/>
      <c r="Q2187" s="49">
        <f t="shared" si="386"/>
        <v>8180</v>
      </c>
      <c r="R2187" s="49">
        <f t="shared" si="387"/>
        <v>0</v>
      </c>
      <c r="S2187" s="49">
        <f t="shared" si="388"/>
        <v>8180</v>
      </c>
    </row>
    <row r="2188" spans="1:19" s="75" customFormat="1" x14ac:dyDescent="0.2">
      <c r="A2188" s="71"/>
      <c r="B2188" s="79">
        <f t="shared" si="385"/>
        <v>45</v>
      </c>
      <c r="C2188" s="15"/>
      <c r="D2188" s="15"/>
      <c r="E2188" s="15"/>
      <c r="F2188" s="55" t="s">
        <v>75</v>
      </c>
      <c r="G2188" s="15">
        <v>640</v>
      </c>
      <c r="H2188" s="15" t="s">
        <v>135</v>
      </c>
      <c r="I2188" s="52">
        <f>SUM(I2189:I2191)</f>
        <v>2100</v>
      </c>
      <c r="J2188" s="52">
        <f>SUM(J2189:J2191)</f>
        <v>0</v>
      </c>
      <c r="K2188" s="52">
        <f t="shared" si="389"/>
        <v>2100</v>
      </c>
      <c r="L2188" s="126"/>
      <c r="M2188" s="52">
        <f>SUM(M2189:M2191)</f>
        <v>0</v>
      </c>
      <c r="N2188" s="52">
        <f>SUM(N2189:N2191)</f>
        <v>0</v>
      </c>
      <c r="O2188" s="52">
        <f t="shared" si="390"/>
        <v>0</v>
      </c>
      <c r="P2188" s="126"/>
      <c r="Q2188" s="52">
        <f t="shared" si="386"/>
        <v>2100</v>
      </c>
      <c r="R2188" s="52">
        <f t="shared" si="387"/>
        <v>0</v>
      </c>
      <c r="S2188" s="52">
        <f t="shared" si="388"/>
        <v>2100</v>
      </c>
    </row>
    <row r="2189" spans="1:19" s="75" customFormat="1" x14ac:dyDescent="0.2">
      <c r="A2189" s="71"/>
      <c r="B2189" s="79">
        <f t="shared" si="385"/>
        <v>46</v>
      </c>
      <c r="C2189" s="15"/>
      <c r="D2189" s="15"/>
      <c r="E2189" s="15"/>
      <c r="F2189" s="55"/>
      <c r="G2189" s="15"/>
      <c r="H2189" s="102" t="s">
        <v>19</v>
      </c>
      <c r="I2189" s="62">
        <v>370</v>
      </c>
      <c r="J2189" s="62"/>
      <c r="K2189" s="62">
        <f t="shared" si="389"/>
        <v>370</v>
      </c>
      <c r="L2189" s="80"/>
      <c r="M2189" s="52"/>
      <c r="N2189" s="52"/>
      <c r="O2189" s="52">
        <f t="shared" si="390"/>
        <v>0</v>
      </c>
      <c r="P2189" s="126"/>
      <c r="Q2189" s="62">
        <f t="shared" si="386"/>
        <v>370</v>
      </c>
      <c r="R2189" s="62">
        <f t="shared" si="387"/>
        <v>0</v>
      </c>
      <c r="S2189" s="62">
        <f t="shared" si="388"/>
        <v>370</v>
      </c>
    </row>
    <row r="2190" spans="1:19" s="75" customFormat="1" x14ac:dyDescent="0.2">
      <c r="A2190" s="71"/>
      <c r="B2190" s="79">
        <f t="shared" si="385"/>
        <v>47</v>
      </c>
      <c r="C2190" s="15"/>
      <c r="D2190" s="15"/>
      <c r="E2190" s="15"/>
      <c r="F2190" s="55"/>
      <c r="G2190" s="15"/>
      <c r="H2190" s="102" t="s">
        <v>20</v>
      </c>
      <c r="I2190" s="62">
        <v>1500</v>
      </c>
      <c r="J2190" s="62"/>
      <c r="K2190" s="62">
        <f t="shared" si="389"/>
        <v>1500</v>
      </c>
      <c r="L2190" s="80"/>
      <c r="M2190" s="52"/>
      <c r="N2190" s="52"/>
      <c r="O2190" s="52">
        <f t="shared" si="390"/>
        <v>0</v>
      </c>
      <c r="P2190" s="126"/>
      <c r="Q2190" s="62">
        <f t="shared" si="386"/>
        <v>1500</v>
      </c>
      <c r="R2190" s="62">
        <f t="shared" si="387"/>
        <v>0</v>
      </c>
      <c r="S2190" s="62">
        <f t="shared" si="388"/>
        <v>1500</v>
      </c>
    </row>
    <row r="2191" spans="1:19" s="75" customFormat="1" x14ac:dyDescent="0.2">
      <c r="A2191" s="71"/>
      <c r="B2191" s="79">
        <f t="shared" si="385"/>
        <v>48</v>
      </c>
      <c r="C2191" s="15"/>
      <c r="D2191" s="15"/>
      <c r="E2191" s="15"/>
      <c r="F2191" s="55"/>
      <c r="G2191" s="15"/>
      <c r="H2191" s="102" t="s">
        <v>419</v>
      </c>
      <c r="I2191" s="62">
        <v>230</v>
      </c>
      <c r="J2191" s="62"/>
      <c r="K2191" s="62">
        <f t="shared" si="389"/>
        <v>230</v>
      </c>
      <c r="L2191" s="80"/>
      <c r="M2191" s="52"/>
      <c r="N2191" s="52"/>
      <c r="O2191" s="52">
        <f t="shared" si="390"/>
        <v>0</v>
      </c>
      <c r="P2191" s="126"/>
      <c r="Q2191" s="62">
        <f t="shared" si="386"/>
        <v>230</v>
      </c>
      <c r="R2191" s="62">
        <f t="shared" si="387"/>
        <v>0</v>
      </c>
      <c r="S2191" s="62">
        <f t="shared" si="388"/>
        <v>230</v>
      </c>
    </row>
    <row r="2192" spans="1:19" s="75" customFormat="1" x14ac:dyDescent="0.2">
      <c r="A2192" s="71"/>
      <c r="B2192" s="79">
        <f t="shared" si="385"/>
        <v>49</v>
      </c>
      <c r="C2192" s="15"/>
      <c r="D2192" s="15"/>
      <c r="E2192" s="15"/>
      <c r="F2192" s="55"/>
      <c r="G2192" s="15"/>
      <c r="H2192" s="15"/>
      <c r="I2192" s="52"/>
      <c r="J2192" s="52"/>
      <c r="K2192" s="52">
        <f t="shared" si="389"/>
        <v>0</v>
      </c>
      <c r="L2192" s="126"/>
      <c r="M2192" s="52"/>
      <c r="N2192" s="52"/>
      <c r="O2192" s="52">
        <f t="shared" si="390"/>
        <v>0</v>
      </c>
      <c r="P2192" s="126"/>
      <c r="Q2192" s="52"/>
      <c r="R2192" s="52"/>
      <c r="S2192" s="52"/>
    </row>
    <row r="2193" spans="1:19" s="75" customFormat="1" x14ac:dyDescent="0.2">
      <c r="A2193" s="71"/>
      <c r="B2193" s="79">
        <f t="shared" si="385"/>
        <v>50</v>
      </c>
      <c r="C2193" s="15"/>
      <c r="D2193" s="15"/>
      <c r="E2193" s="15"/>
      <c r="F2193" s="55" t="s">
        <v>78</v>
      </c>
      <c r="G2193" s="15">
        <v>630</v>
      </c>
      <c r="H2193" s="15" t="s">
        <v>128</v>
      </c>
      <c r="I2193" s="52">
        <f>I2196+I2195+I2194+I2197+I2198+I2199+I2200+I2201+I2202+I2203+I2204</f>
        <v>6080</v>
      </c>
      <c r="J2193" s="52">
        <f>J2196+J2195+J2194+J2197+J2198+J2199+J2200+J2201+J2202+J2203+J2204</f>
        <v>0</v>
      </c>
      <c r="K2193" s="52">
        <f t="shared" si="389"/>
        <v>6080</v>
      </c>
      <c r="L2193" s="126"/>
      <c r="M2193" s="52">
        <v>0</v>
      </c>
      <c r="N2193" s="52"/>
      <c r="O2193" s="52">
        <f t="shared" si="390"/>
        <v>0</v>
      </c>
      <c r="P2193" s="126"/>
      <c r="Q2193" s="52">
        <f t="shared" ref="Q2193:Q2256" si="391">I2193+M2193</f>
        <v>6080</v>
      </c>
      <c r="R2193" s="52">
        <f t="shared" ref="R2193:R2256" si="392">J2193+N2193</f>
        <v>0</v>
      </c>
      <c r="S2193" s="52">
        <f t="shared" ref="S2193:S2256" si="393">K2193+O2193</f>
        <v>6080</v>
      </c>
    </row>
    <row r="2194" spans="1:19" s="75" customFormat="1" x14ac:dyDescent="0.2">
      <c r="A2194" s="71"/>
      <c r="B2194" s="79">
        <f t="shared" si="385"/>
        <v>51</v>
      </c>
      <c r="C2194" s="4"/>
      <c r="D2194" s="4"/>
      <c r="E2194" s="4"/>
      <c r="F2194" s="56" t="s">
        <v>78</v>
      </c>
      <c r="G2194" s="4">
        <v>633</v>
      </c>
      <c r="H2194" s="4" t="s">
        <v>132</v>
      </c>
      <c r="I2194" s="26">
        <f>5630-5080</f>
        <v>550</v>
      </c>
      <c r="J2194" s="26"/>
      <c r="K2194" s="26">
        <f t="shared" si="389"/>
        <v>550</v>
      </c>
      <c r="L2194" s="80"/>
      <c r="M2194" s="26"/>
      <c r="N2194" s="26"/>
      <c r="O2194" s="26">
        <f t="shared" si="390"/>
        <v>0</v>
      </c>
      <c r="P2194" s="80"/>
      <c r="Q2194" s="26">
        <f t="shared" si="391"/>
        <v>550</v>
      </c>
      <c r="R2194" s="26">
        <f t="shared" si="392"/>
        <v>0</v>
      </c>
      <c r="S2194" s="26">
        <f t="shared" si="393"/>
        <v>550</v>
      </c>
    </row>
    <row r="2195" spans="1:19" s="75" customFormat="1" x14ac:dyDescent="0.2">
      <c r="A2195" s="71"/>
      <c r="B2195" s="79">
        <f t="shared" si="385"/>
        <v>52</v>
      </c>
      <c r="C2195" s="4"/>
      <c r="D2195" s="4"/>
      <c r="E2195" s="4"/>
      <c r="F2195" s="56" t="s">
        <v>78</v>
      </c>
      <c r="G2195" s="4">
        <v>634</v>
      </c>
      <c r="H2195" s="4" t="s">
        <v>137</v>
      </c>
      <c r="I2195" s="26">
        <v>350</v>
      </c>
      <c r="J2195" s="26"/>
      <c r="K2195" s="26">
        <f t="shared" si="389"/>
        <v>350</v>
      </c>
      <c r="L2195" s="80"/>
      <c r="M2195" s="26"/>
      <c r="N2195" s="26"/>
      <c r="O2195" s="26">
        <f t="shared" si="390"/>
        <v>0</v>
      </c>
      <c r="P2195" s="80"/>
      <c r="Q2195" s="26">
        <f t="shared" si="391"/>
        <v>350</v>
      </c>
      <c r="R2195" s="26">
        <f t="shared" si="392"/>
        <v>0</v>
      </c>
      <c r="S2195" s="26">
        <f t="shared" si="393"/>
        <v>350</v>
      </c>
    </row>
    <row r="2196" spans="1:19" s="75" customFormat="1" x14ac:dyDescent="0.2">
      <c r="A2196" s="71"/>
      <c r="B2196" s="79">
        <f t="shared" si="385"/>
        <v>53</v>
      </c>
      <c r="C2196" s="4"/>
      <c r="D2196" s="4"/>
      <c r="E2196" s="4"/>
      <c r="F2196" s="56" t="s">
        <v>78</v>
      </c>
      <c r="G2196" s="4">
        <v>637</v>
      </c>
      <c r="H2196" s="4" t="s">
        <v>129</v>
      </c>
      <c r="I2196" s="26">
        <v>100</v>
      </c>
      <c r="J2196" s="26"/>
      <c r="K2196" s="26">
        <f t="shared" si="389"/>
        <v>100</v>
      </c>
      <c r="L2196" s="80"/>
      <c r="M2196" s="26"/>
      <c r="N2196" s="26"/>
      <c r="O2196" s="26">
        <f t="shared" si="390"/>
        <v>0</v>
      </c>
      <c r="P2196" s="80"/>
      <c r="Q2196" s="26">
        <f t="shared" si="391"/>
        <v>100</v>
      </c>
      <c r="R2196" s="26">
        <f t="shared" si="392"/>
        <v>0</v>
      </c>
      <c r="S2196" s="26">
        <f t="shared" si="393"/>
        <v>100</v>
      </c>
    </row>
    <row r="2197" spans="1:19" s="75" customFormat="1" x14ac:dyDescent="0.2">
      <c r="A2197" s="71"/>
      <c r="B2197" s="79">
        <f t="shared" si="385"/>
        <v>54</v>
      </c>
      <c r="C2197" s="4"/>
      <c r="D2197" s="4"/>
      <c r="E2197" s="4"/>
      <c r="F2197" s="56" t="s">
        <v>78</v>
      </c>
      <c r="G2197" s="4">
        <v>630</v>
      </c>
      <c r="H2197" s="4" t="s">
        <v>626</v>
      </c>
      <c r="I2197" s="26">
        <v>511</v>
      </c>
      <c r="J2197" s="26"/>
      <c r="K2197" s="26">
        <f t="shared" si="389"/>
        <v>511</v>
      </c>
      <c r="L2197" s="80"/>
      <c r="M2197" s="26"/>
      <c r="N2197" s="26"/>
      <c r="O2197" s="26">
        <f t="shared" si="390"/>
        <v>0</v>
      </c>
      <c r="P2197" s="80"/>
      <c r="Q2197" s="26">
        <f t="shared" si="391"/>
        <v>511</v>
      </c>
      <c r="R2197" s="26">
        <f t="shared" si="392"/>
        <v>0</v>
      </c>
      <c r="S2197" s="26">
        <f t="shared" si="393"/>
        <v>511</v>
      </c>
    </row>
    <row r="2198" spans="1:19" s="75" customFormat="1" ht="36.75" customHeight="1" x14ac:dyDescent="0.2">
      <c r="A2198" s="71"/>
      <c r="B2198" s="79">
        <f t="shared" si="385"/>
        <v>55</v>
      </c>
      <c r="C2198" s="4"/>
      <c r="D2198" s="4"/>
      <c r="E2198" s="4"/>
      <c r="F2198" s="56" t="s">
        <v>78</v>
      </c>
      <c r="G2198" s="4">
        <v>630</v>
      </c>
      <c r="H2198" s="4" t="s">
        <v>627</v>
      </c>
      <c r="I2198" s="26">
        <v>755</v>
      </c>
      <c r="J2198" s="26"/>
      <c r="K2198" s="26">
        <f t="shared" si="389"/>
        <v>755</v>
      </c>
      <c r="L2198" s="80"/>
      <c r="M2198" s="26"/>
      <c r="N2198" s="26"/>
      <c r="O2198" s="26">
        <f t="shared" si="390"/>
        <v>0</v>
      </c>
      <c r="P2198" s="80"/>
      <c r="Q2198" s="26">
        <f t="shared" si="391"/>
        <v>755</v>
      </c>
      <c r="R2198" s="26">
        <f t="shared" si="392"/>
        <v>0</v>
      </c>
      <c r="S2198" s="26">
        <f t="shared" si="393"/>
        <v>755</v>
      </c>
    </row>
    <row r="2199" spans="1:19" x14ac:dyDescent="0.2">
      <c r="B2199" s="79">
        <f t="shared" si="385"/>
        <v>56</v>
      </c>
      <c r="C2199" s="4"/>
      <c r="D2199" s="4"/>
      <c r="E2199" s="4"/>
      <c r="F2199" s="56" t="s">
        <v>78</v>
      </c>
      <c r="G2199" s="4">
        <v>630</v>
      </c>
      <c r="H2199" s="4" t="s">
        <v>628</v>
      </c>
      <c r="I2199" s="26">
        <v>472</v>
      </c>
      <c r="J2199" s="26"/>
      <c r="K2199" s="26">
        <f t="shared" si="389"/>
        <v>472</v>
      </c>
      <c r="L2199" s="80"/>
      <c r="M2199" s="26"/>
      <c r="N2199" s="26"/>
      <c r="O2199" s="26">
        <f t="shared" si="390"/>
        <v>0</v>
      </c>
      <c r="P2199" s="80"/>
      <c r="Q2199" s="26">
        <f t="shared" si="391"/>
        <v>472</v>
      </c>
      <c r="R2199" s="26">
        <f t="shared" si="392"/>
        <v>0</v>
      </c>
      <c r="S2199" s="26">
        <f t="shared" si="393"/>
        <v>472</v>
      </c>
    </row>
    <row r="2200" spans="1:19" x14ac:dyDescent="0.2">
      <c r="B2200" s="79">
        <f t="shared" si="385"/>
        <v>57</v>
      </c>
      <c r="C2200" s="4"/>
      <c r="D2200" s="4"/>
      <c r="E2200" s="4"/>
      <c r="F2200" s="56" t="s">
        <v>78</v>
      </c>
      <c r="G2200" s="4">
        <v>630</v>
      </c>
      <c r="H2200" s="4" t="s">
        <v>629</v>
      </c>
      <c r="I2200" s="26">
        <v>535</v>
      </c>
      <c r="J2200" s="26"/>
      <c r="K2200" s="26">
        <f t="shared" si="389"/>
        <v>535</v>
      </c>
      <c r="L2200" s="80"/>
      <c r="M2200" s="26"/>
      <c r="N2200" s="26"/>
      <c r="O2200" s="26">
        <f t="shared" si="390"/>
        <v>0</v>
      </c>
      <c r="P2200" s="80"/>
      <c r="Q2200" s="26">
        <f t="shared" si="391"/>
        <v>535</v>
      </c>
      <c r="R2200" s="26">
        <f t="shared" si="392"/>
        <v>0</v>
      </c>
      <c r="S2200" s="26">
        <f t="shared" si="393"/>
        <v>535</v>
      </c>
    </row>
    <row r="2201" spans="1:19" x14ac:dyDescent="0.2">
      <c r="B2201" s="79">
        <f t="shared" si="385"/>
        <v>58</v>
      </c>
      <c r="C2201" s="4"/>
      <c r="D2201" s="4"/>
      <c r="E2201" s="4"/>
      <c r="F2201" s="56" t="s">
        <v>78</v>
      </c>
      <c r="G2201" s="4">
        <v>630</v>
      </c>
      <c r="H2201" s="4" t="s">
        <v>630</v>
      </c>
      <c r="I2201" s="26">
        <v>952</v>
      </c>
      <c r="J2201" s="26"/>
      <c r="K2201" s="26">
        <f t="shared" si="389"/>
        <v>952</v>
      </c>
      <c r="L2201" s="80"/>
      <c r="M2201" s="26"/>
      <c r="N2201" s="26"/>
      <c r="O2201" s="26">
        <f t="shared" si="390"/>
        <v>0</v>
      </c>
      <c r="P2201" s="80"/>
      <c r="Q2201" s="26">
        <f t="shared" si="391"/>
        <v>952</v>
      </c>
      <c r="R2201" s="26">
        <f t="shared" si="392"/>
        <v>0</v>
      </c>
      <c r="S2201" s="26">
        <f t="shared" si="393"/>
        <v>952</v>
      </c>
    </row>
    <row r="2202" spans="1:19" x14ac:dyDescent="0.2">
      <c r="B2202" s="79">
        <f t="shared" si="385"/>
        <v>59</v>
      </c>
      <c r="C2202" s="4"/>
      <c r="D2202" s="4"/>
      <c r="E2202" s="4"/>
      <c r="F2202" s="56" t="s">
        <v>78</v>
      </c>
      <c r="G2202" s="4">
        <v>630</v>
      </c>
      <c r="H2202" s="4" t="s">
        <v>631</v>
      </c>
      <c r="I2202" s="26">
        <v>527</v>
      </c>
      <c r="J2202" s="26"/>
      <c r="K2202" s="26">
        <f t="shared" si="389"/>
        <v>527</v>
      </c>
      <c r="L2202" s="80"/>
      <c r="M2202" s="26"/>
      <c r="N2202" s="26"/>
      <c r="O2202" s="26">
        <f t="shared" si="390"/>
        <v>0</v>
      </c>
      <c r="P2202" s="80"/>
      <c r="Q2202" s="26">
        <f t="shared" si="391"/>
        <v>527</v>
      </c>
      <c r="R2202" s="26">
        <f t="shared" si="392"/>
        <v>0</v>
      </c>
      <c r="S2202" s="26">
        <f t="shared" si="393"/>
        <v>527</v>
      </c>
    </row>
    <row r="2203" spans="1:19" x14ac:dyDescent="0.2">
      <c r="B2203" s="79">
        <f t="shared" si="385"/>
        <v>60</v>
      </c>
      <c r="C2203" s="4"/>
      <c r="D2203" s="4"/>
      <c r="E2203" s="4"/>
      <c r="F2203" s="56" t="s">
        <v>78</v>
      </c>
      <c r="G2203" s="4">
        <v>630</v>
      </c>
      <c r="H2203" s="4" t="s">
        <v>632</v>
      </c>
      <c r="I2203" s="26">
        <v>778</v>
      </c>
      <c r="J2203" s="26"/>
      <c r="K2203" s="26">
        <f t="shared" si="389"/>
        <v>778</v>
      </c>
      <c r="L2203" s="80"/>
      <c r="M2203" s="26"/>
      <c r="N2203" s="26"/>
      <c r="O2203" s="26">
        <f t="shared" si="390"/>
        <v>0</v>
      </c>
      <c r="P2203" s="80"/>
      <c r="Q2203" s="26">
        <f t="shared" si="391"/>
        <v>778</v>
      </c>
      <c r="R2203" s="26">
        <f t="shared" si="392"/>
        <v>0</v>
      </c>
      <c r="S2203" s="26">
        <f t="shared" si="393"/>
        <v>778</v>
      </c>
    </row>
    <row r="2204" spans="1:19" x14ac:dyDescent="0.2">
      <c r="B2204" s="79">
        <f t="shared" si="385"/>
        <v>61</v>
      </c>
      <c r="C2204" s="4"/>
      <c r="D2204" s="4"/>
      <c r="E2204" s="4"/>
      <c r="F2204" s="56" t="s">
        <v>78</v>
      </c>
      <c r="G2204" s="4">
        <v>630</v>
      </c>
      <c r="H2204" s="4" t="s">
        <v>633</v>
      </c>
      <c r="I2204" s="26">
        <v>550</v>
      </c>
      <c r="J2204" s="26"/>
      <c r="K2204" s="26">
        <f t="shared" si="389"/>
        <v>550</v>
      </c>
      <c r="L2204" s="80"/>
      <c r="M2204" s="26"/>
      <c r="N2204" s="26"/>
      <c r="O2204" s="26">
        <f t="shared" si="390"/>
        <v>0</v>
      </c>
      <c r="P2204" s="80"/>
      <c r="Q2204" s="26">
        <f t="shared" si="391"/>
        <v>550</v>
      </c>
      <c r="R2204" s="26">
        <f t="shared" si="392"/>
        <v>0</v>
      </c>
      <c r="S2204" s="26">
        <f t="shared" si="393"/>
        <v>550</v>
      </c>
    </row>
    <row r="2205" spans="1:19" ht="15" x14ac:dyDescent="0.25">
      <c r="B2205" s="79">
        <f t="shared" si="385"/>
        <v>62</v>
      </c>
      <c r="C2205" s="190"/>
      <c r="D2205" s="190">
        <v>2</v>
      </c>
      <c r="E2205" s="268" t="s">
        <v>247</v>
      </c>
      <c r="F2205" s="246"/>
      <c r="G2205" s="246"/>
      <c r="H2205" s="247"/>
      <c r="I2205" s="49">
        <f>I2206</f>
        <v>490480</v>
      </c>
      <c r="J2205" s="49">
        <f>J2206</f>
        <v>0</v>
      </c>
      <c r="K2205" s="49">
        <f t="shared" si="389"/>
        <v>490480</v>
      </c>
      <c r="L2205" s="202"/>
      <c r="M2205" s="49">
        <f>M2206</f>
        <v>10700</v>
      </c>
      <c r="N2205" s="49">
        <f>N2206</f>
        <v>0</v>
      </c>
      <c r="O2205" s="49">
        <f t="shared" si="390"/>
        <v>10700</v>
      </c>
      <c r="P2205" s="202"/>
      <c r="Q2205" s="49">
        <f t="shared" si="391"/>
        <v>501180</v>
      </c>
      <c r="R2205" s="49">
        <f t="shared" si="392"/>
        <v>0</v>
      </c>
      <c r="S2205" s="49">
        <f t="shared" si="393"/>
        <v>501180</v>
      </c>
    </row>
    <row r="2206" spans="1:19" ht="15" x14ac:dyDescent="0.25">
      <c r="B2206" s="79">
        <f t="shared" si="385"/>
        <v>63</v>
      </c>
      <c r="C2206" s="18"/>
      <c r="D2206" s="18"/>
      <c r="E2206" s="18">
        <v>5</v>
      </c>
      <c r="F2206" s="53"/>
      <c r="G2206" s="18"/>
      <c r="H2206" s="18" t="s">
        <v>266</v>
      </c>
      <c r="I2206" s="50">
        <f>I2207+I2208+I2209+I2216</f>
        <v>490480</v>
      </c>
      <c r="J2206" s="50">
        <f>J2207+J2208+J2209+J2216</f>
        <v>0</v>
      </c>
      <c r="K2206" s="50">
        <f t="shared" si="389"/>
        <v>490480</v>
      </c>
      <c r="L2206" s="203"/>
      <c r="M2206" s="50">
        <f>M2217</f>
        <v>10700</v>
      </c>
      <c r="N2206" s="50">
        <f>N2217</f>
        <v>0</v>
      </c>
      <c r="O2206" s="50">
        <f t="shared" si="390"/>
        <v>10700</v>
      </c>
      <c r="P2206" s="203"/>
      <c r="Q2206" s="50">
        <f t="shared" si="391"/>
        <v>501180</v>
      </c>
      <c r="R2206" s="50">
        <f t="shared" si="392"/>
        <v>0</v>
      </c>
      <c r="S2206" s="50">
        <f t="shared" si="393"/>
        <v>501180</v>
      </c>
    </row>
    <row r="2207" spans="1:19" x14ac:dyDescent="0.2">
      <c r="B2207" s="79">
        <f t="shared" si="385"/>
        <v>64</v>
      </c>
      <c r="C2207" s="15"/>
      <c r="D2207" s="15"/>
      <c r="E2207" s="15"/>
      <c r="F2207" s="55" t="s">
        <v>78</v>
      </c>
      <c r="G2207" s="15">
        <v>610</v>
      </c>
      <c r="H2207" s="15" t="s">
        <v>136</v>
      </c>
      <c r="I2207" s="52">
        <f>213727-2</f>
        <v>213725</v>
      </c>
      <c r="J2207" s="52"/>
      <c r="K2207" s="52">
        <f t="shared" si="389"/>
        <v>213725</v>
      </c>
      <c r="L2207" s="126"/>
      <c r="M2207" s="52"/>
      <c r="N2207" s="52"/>
      <c r="O2207" s="52">
        <f t="shared" si="390"/>
        <v>0</v>
      </c>
      <c r="P2207" s="126"/>
      <c r="Q2207" s="52">
        <f t="shared" si="391"/>
        <v>213725</v>
      </c>
      <c r="R2207" s="52">
        <f t="shared" si="392"/>
        <v>0</v>
      </c>
      <c r="S2207" s="52">
        <f t="shared" si="393"/>
        <v>213725</v>
      </c>
    </row>
    <row r="2208" spans="1:19" x14ac:dyDescent="0.2">
      <c r="B2208" s="79">
        <f t="shared" ref="B2208:B2271" si="394">B2207+1</f>
        <v>65</v>
      </c>
      <c r="C2208" s="15"/>
      <c r="D2208" s="15"/>
      <c r="E2208" s="15"/>
      <c r="F2208" s="55" t="s">
        <v>78</v>
      </c>
      <c r="G2208" s="15">
        <v>620</v>
      </c>
      <c r="H2208" s="15" t="s">
        <v>131</v>
      </c>
      <c r="I2208" s="52">
        <v>74800</v>
      </c>
      <c r="J2208" s="52"/>
      <c r="K2208" s="52">
        <f t="shared" si="389"/>
        <v>74800</v>
      </c>
      <c r="L2208" s="126"/>
      <c r="M2208" s="52"/>
      <c r="N2208" s="52"/>
      <c r="O2208" s="52">
        <f t="shared" si="390"/>
        <v>0</v>
      </c>
      <c r="P2208" s="126"/>
      <c r="Q2208" s="52">
        <f t="shared" si="391"/>
        <v>74800</v>
      </c>
      <c r="R2208" s="52">
        <f t="shared" si="392"/>
        <v>0</v>
      </c>
      <c r="S2208" s="52">
        <f t="shared" si="393"/>
        <v>74800</v>
      </c>
    </row>
    <row r="2209" spans="2:19" x14ac:dyDescent="0.2">
      <c r="B2209" s="79">
        <f t="shared" si="394"/>
        <v>66</v>
      </c>
      <c r="C2209" s="15"/>
      <c r="D2209" s="15"/>
      <c r="E2209" s="15"/>
      <c r="F2209" s="55" t="s">
        <v>78</v>
      </c>
      <c r="G2209" s="15">
        <v>630</v>
      </c>
      <c r="H2209" s="15" t="s">
        <v>128</v>
      </c>
      <c r="I2209" s="52">
        <f>I2215+I2214+I2213+I2212+I2211+I2210</f>
        <v>201405</v>
      </c>
      <c r="J2209" s="52">
        <f>J2215+J2214+J2213+J2212+J2211+J2210</f>
        <v>0</v>
      </c>
      <c r="K2209" s="52">
        <f t="shared" ref="K2209:K2272" si="395">I2209+J2209</f>
        <v>201405</v>
      </c>
      <c r="L2209" s="126"/>
      <c r="M2209" s="52">
        <f>M2215+M2214+M2213+M2212+M2211+M2210</f>
        <v>0</v>
      </c>
      <c r="N2209" s="52">
        <f>N2215+N2214+N2213+N2212+N2211+N2210</f>
        <v>0</v>
      </c>
      <c r="O2209" s="52">
        <f t="shared" ref="O2209:O2272" si="396">M2209+N2209</f>
        <v>0</v>
      </c>
      <c r="P2209" s="126"/>
      <c r="Q2209" s="52">
        <f t="shared" si="391"/>
        <v>201405</v>
      </c>
      <c r="R2209" s="52">
        <f t="shared" si="392"/>
        <v>0</v>
      </c>
      <c r="S2209" s="52">
        <f t="shared" si="393"/>
        <v>201405</v>
      </c>
    </row>
    <row r="2210" spans="2:19" x14ac:dyDescent="0.2">
      <c r="B2210" s="79">
        <f t="shared" si="394"/>
        <v>67</v>
      </c>
      <c r="C2210" s="4"/>
      <c r="D2210" s="4"/>
      <c r="E2210" s="4"/>
      <c r="F2210" s="56" t="s">
        <v>78</v>
      </c>
      <c r="G2210" s="4">
        <v>631</v>
      </c>
      <c r="H2210" s="4" t="s">
        <v>134</v>
      </c>
      <c r="I2210" s="26">
        <v>200</v>
      </c>
      <c r="J2210" s="26"/>
      <c r="K2210" s="26">
        <f t="shared" si="395"/>
        <v>200</v>
      </c>
      <c r="L2210" s="80"/>
      <c r="M2210" s="26"/>
      <c r="N2210" s="26"/>
      <c r="O2210" s="26">
        <f t="shared" si="396"/>
        <v>0</v>
      </c>
      <c r="P2210" s="80"/>
      <c r="Q2210" s="26">
        <f t="shared" si="391"/>
        <v>200</v>
      </c>
      <c r="R2210" s="26">
        <f t="shared" si="392"/>
        <v>0</v>
      </c>
      <c r="S2210" s="26">
        <f t="shared" si="393"/>
        <v>200</v>
      </c>
    </row>
    <row r="2211" spans="2:19" x14ac:dyDescent="0.2">
      <c r="B2211" s="79">
        <f t="shared" si="394"/>
        <v>68</v>
      </c>
      <c r="C2211" s="4"/>
      <c r="D2211" s="4"/>
      <c r="E2211" s="4"/>
      <c r="F2211" s="56" t="s">
        <v>78</v>
      </c>
      <c r="G2211" s="4">
        <v>632</v>
      </c>
      <c r="H2211" s="4" t="s">
        <v>139</v>
      </c>
      <c r="I2211" s="26">
        <f>14750+41000</f>
        <v>55750</v>
      </c>
      <c r="J2211" s="26"/>
      <c r="K2211" s="26">
        <f t="shared" si="395"/>
        <v>55750</v>
      </c>
      <c r="L2211" s="80"/>
      <c r="M2211" s="26"/>
      <c r="N2211" s="26"/>
      <c r="O2211" s="26">
        <f t="shared" si="396"/>
        <v>0</v>
      </c>
      <c r="P2211" s="80"/>
      <c r="Q2211" s="26">
        <f t="shared" si="391"/>
        <v>55750</v>
      </c>
      <c r="R2211" s="26">
        <f t="shared" si="392"/>
        <v>0</v>
      </c>
      <c r="S2211" s="26">
        <f t="shared" si="393"/>
        <v>55750</v>
      </c>
    </row>
    <row r="2212" spans="2:19" x14ac:dyDescent="0.2">
      <c r="B2212" s="79">
        <f t="shared" si="394"/>
        <v>69</v>
      </c>
      <c r="C2212" s="4"/>
      <c r="D2212" s="4"/>
      <c r="E2212" s="4"/>
      <c r="F2212" s="56" t="s">
        <v>78</v>
      </c>
      <c r="G2212" s="4">
        <v>633</v>
      </c>
      <c r="H2212" s="4" t="s">
        <v>132</v>
      </c>
      <c r="I2212" s="26">
        <f>18960+2000+5000</f>
        <v>25960</v>
      </c>
      <c r="J2212" s="26"/>
      <c r="K2212" s="26">
        <f t="shared" si="395"/>
        <v>25960</v>
      </c>
      <c r="L2212" s="80"/>
      <c r="M2212" s="26"/>
      <c r="N2212" s="26"/>
      <c r="O2212" s="26">
        <f t="shared" si="396"/>
        <v>0</v>
      </c>
      <c r="P2212" s="80"/>
      <c r="Q2212" s="26">
        <f t="shared" si="391"/>
        <v>25960</v>
      </c>
      <c r="R2212" s="26">
        <f t="shared" si="392"/>
        <v>0</v>
      </c>
      <c r="S2212" s="26">
        <f t="shared" si="393"/>
        <v>25960</v>
      </c>
    </row>
    <row r="2213" spans="2:19" x14ac:dyDescent="0.2">
      <c r="B2213" s="79">
        <f t="shared" si="394"/>
        <v>70</v>
      </c>
      <c r="C2213" s="4"/>
      <c r="D2213" s="4"/>
      <c r="E2213" s="4"/>
      <c r="F2213" s="56" t="s">
        <v>78</v>
      </c>
      <c r="G2213" s="4">
        <v>634</v>
      </c>
      <c r="H2213" s="4" t="s">
        <v>137</v>
      </c>
      <c r="I2213" s="26">
        <v>2350</v>
      </c>
      <c r="J2213" s="26"/>
      <c r="K2213" s="26">
        <f t="shared" si="395"/>
        <v>2350</v>
      </c>
      <c r="L2213" s="80"/>
      <c r="M2213" s="26"/>
      <c r="N2213" s="26"/>
      <c r="O2213" s="26">
        <f t="shared" si="396"/>
        <v>0</v>
      </c>
      <c r="P2213" s="80"/>
      <c r="Q2213" s="26">
        <f t="shared" si="391"/>
        <v>2350</v>
      </c>
      <c r="R2213" s="26">
        <f t="shared" si="392"/>
        <v>0</v>
      </c>
      <c r="S2213" s="26">
        <f t="shared" si="393"/>
        <v>2350</v>
      </c>
    </row>
    <row r="2214" spans="2:19" x14ac:dyDescent="0.2">
      <c r="B2214" s="79">
        <f t="shared" si="394"/>
        <v>71</v>
      </c>
      <c r="C2214" s="4"/>
      <c r="D2214" s="4"/>
      <c r="E2214" s="4"/>
      <c r="F2214" s="56" t="s">
        <v>78</v>
      </c>
      <c r="G2214" s="4">
        <v>635</v>
      </c>
      <c r="H2214" s="4" t="s">
        <v>138</v>
      </c>
      <c r="I2214" s="26">
        <f>36900-5000</f>
        <v>31900</v>
      </c>
      <c r="J2214" s="26"/>
      <c r="K2214" s="26">
        <f t="shared" si="395"/>
        <v>31900</v>
      </c>
      <c r="L2214" s="80"/>
      <c r="M2214" s="26"/>
      <c r="N2214" s="26"/>
      <c r="O2214" s="26">
        <f t="shared" si="396"/>
        <v>0</v>
      </c>
      <c r="P2214" s="80"/>
      <c r="Q2214" s="26">
        <f t="shared" si="391"/>
        <v>31900</v>
      </c>
      <c r="R2214" s="26">
        <f t="shared" si="392"/>
        <v>0</v>
      </c>
      <c r="S2214" s="26">
        <f t="shared" si="393"/>
        <v>31900</v>
      </c>
    </row>
    <row r="2215" spans="2:19" x14ac:dyDescent="0.2">
      <c r="B2215" s="79">
        <f t="shared" si="394"/>
        <v>72</v>
      </c>
      <c r="C2215" s="4"/>
      <c r="D2215" s="4"/>
      <c r="E2215" s="4"/>
      <c r="F2215" s="56" t="s">
        <v>78</v>
      </c>
      <c r="G2215" s="4">
        <v>637</v>
      </c>
      <c r="H2215" s="4" t="s">
        <v>129</v>
      </c>
      <c r="I2215" s="26">
        <f>69974+275-4+15000</f>
        <v>85245</v>
      </c>
      <c r="J2215" s="26"/>
      <c r="K2215" s="26">
        <f t="shared" si="395"/>
        <v>85245</v>
      </c>
      <c r="L2215" s="80"/>
      <c r="M2215" s="26"/>
      <c r="N2215" s="26"/>
      <c r="O2215" s="26">
        <f t="shared" si="396"/>
        <v>0</v>
      </c>
      <c r="P2215" s="80"/>
      <c r="Q2215" s="26">
        <f t="shared" si="391"/>
        <v>85245</v>
      </c>
      <c r="R2215" s="26">
        <f t="shared" si="392"/>
        <v>0</v>
      </c>
      <c r="S2215" s="26">
        <f t="shared" si="393"/>
        <v>85245</v>
      </c>
    </row>
    <row r="2216" spans="2:19" x14ac:dyDescent="0.2">
      <c r="B2216" s="79">
        <f t="shared" si="394"/>
        <v>73</v>
      </c>
      <c r="C2216" s="15"/>
      <c r="D2216" s="15"/>
      <c r="E2216" s="15"/>
      <c r="F2216" s="55" t="s">
        <v>78</v>
      </c>
      <c r="G2216" s="15">
        <v>640</v>
      </c>
      <c r="H2216" s="15" t="s">
        <v>135</v>
      </c>
      <c r="I2216" s="52">
        <f>450+100</f>
        <v>550</v>
      </c>
      <c r="J2216" s="52"/>
      <c r="K2216" s="52">
        <f t="shared" si="395"/>
        <v>550</v>
      </c>
      <c r="L2216" s="126"/>
      <c r="M2216" s="52"/>
      <c r="N2216" s="52"/>
      <c r="O2216" s="52">
        <f t="shared" si="396"/>
        <v>0</v>
      </c>
      <c r="P2216" s="126"/>
      <c r="Q2216" s="52">
        <f t="shared" si="391"/>
        <v>550</v>
      </c>
      <c r="R2216" s="52">
        <f t="shared" si="392"/>
        <v>0</v>
      </c>
      <c r="S2216" s="52">
        <f t="shared" si="393"/>
        <v>550</v>
      </c>
    </row>
    <row r="2217" spans="2:19" x14ac:dyDescent="0.2">
      <c r="B2217" s="79">
        <f t="shared" si="394"/>
        <v>74</v>
      </c>
      <c r="C2217" s="15"/>
      <c r="D2217" s="15"/>
      <c r="E2217" s="61"/>
      <c r="F2217" s="89" t="s">
        <v>78</v>
      </c>
      <c r="G2217" s="90">
        <v>717</v>
      </c>
      <c r="H2217" s="90" t="s">
        <v>194</v>
      </c>
      <c r="I2217" s="91">
        <f>SUM(I2218:I2218)</f>
        <v>0</v>
      </c>
      <c r="J2217" s="91">
        <f>SUM(J2218:J2218)</f>
        <v>0</v>
      </c>
      <c r="K2217" s="91">
        <f t="shared" si="395"/>
        <v>0</v>
      </c>
      <c r="L2217" s="80"/>
      <c r="M2217" s="91">
        <f>SUM(M2218:M2220)</f>
        <v>10700</v>
      </c>
      <c r="N2217" s="91">
        <f>SUM(N2218:N2220)</f>
        <v>0</v>
      </c>
      <c r="O2217" s="91">
        <f t="shared" si="396"/>
        <v>10700</v>
      </c>
      <c r="P2217" s="80"/>
      <c r="Q2217" s="91">
        <f t="shared" si="391"/>
        <v>10700</v>
      </c>
      <c r="R2217" s="91">
        <f t="shared" si="392"/>
        <v>0</v>
      </c>
      <c r="S2217" s="91">
        <f t="shared" si="393"/>
        <v>10700</v>
      </c>
    </row>
    <row r="2218" spans="2:19" x14ac:dyDescent="0.2">
      <c r="B2218" s="79">
        <f t="shared" si="394"/>
        <v>75</v>
      </c>
      <c r="C2218" s="15"/>
      <c r="D2218" s="15"/>
      <c r="E2218" s="61"/>
      <c r="F2218" s="56"/>
      <c r="G2218" s="4"/>
      <c r="H2218" s="4" t="s">
        <v>672</v>
      </c>
      <c r="I2218" s="26"/>
      <c r="J2218" s="26"/>
      <c r="K2218" s="26">
        <f t="shared" si="395"/>
        <v>0</v>
      </c>
      <c r="L2218" s="80"/>
      <c r="M2218" s="26">
        <v>6700</v>
      </c>
      <c r="N2218" s="26"/>
      <c r="O2218" s="26">
        <f t="shared" si="396"/>
        <v>6700</v>
      </c>
      <c r="P2218" s="80"/>
      <c r="Q2218" s="26">
        <f t="shared" si="391"/>
        <v>6700</v>
      </c>
      <c r="R2218" s="26">
        <f t="shared" si="392"/>
        <v>0</v>
      </c>
      <c r="S2218" s="26">
        <f t="shared" si="393"/>
        <v>6700</v>
      </c>
    </row>
    <row r="2219" spans="2:19" x14ac:dyDescent="0.2">
      <c r="B2219" s="79">
        <f t="shared" si="394"/>
        <v>76</v>
      </c>
      <c r="C2219" s="15"/>
      <c r="D2219" s="15"/>
      <c r="E2219" s="61"/>
      <c r="F2219" s="56"/>
      <c r="G2219" s="4"/>
      <c r="H2219" s="4" t="s">
        <v>749</v>
      </c>
      <c r="I2219" s="26"/>
      <c r="J2219" s="26"/>
      <c r="K2219" s="26">
        <f t="shared" si="395"/>
        <v>0</v>
      </c>
      <c r="L2219" s="80"/>
      <c r="M2219" s="26">
        <v>2000</v>
      </c>
      <c r="N2219" s="26"/>
      <c r="O2219" s="26">
        <f t="shared" si="396"/>
        <v>2000</v>
      </c>
      <c r="P2219" s="80"/>
      <c r="Q2219" s="26">
        <f t="shared" si="391"/>
        <v>2000</v>
      </c>
      <c r="R2219" s="26">
        <f t="shared" si="392"/>
        <v>0</v>
      </c>
      <c r="S2219" s="26">
        <f t="shared" si="393"/>
        <v>2000</v>
      </c>
    </row>
    <row r="2220" spans="2:19" x14ac:dyDescent="0.2">
      <c r="B2220" s="79">
        <f t="shared" si="394"/>
        <v>77</v>
      </c>
      <c r="C2220" s="15"/>
      <c r="D2220" s="15"/>
      <c r="E2220" s="61"/>
      <c r="F2220" s="56"/>
      <c r="G2220" s="4"/>
      <c r="H2220" s="4" t="s">
        <v>750</v>
      </c>
      <c r="I2220" s="26"/>
      <c r="J2220" s="26"/>
      <c r="K2220" s="26">
        <f t="shared" si="395"/>
        <v>0</v>
      </c>
      <c r="L2220" s="80"/>
      <c r="M2220" s="26">
        <v>2000</v>
      </c>
      <c r="N2220" s="26"/>
      <c r="O2220" s="26">
        <f t="shared" si="396"/>
        <v>2000</v>
      </c>
      <c r="P2220" s="80"/>
      <c r="Q2220" s="26">
        <f t="shared" si="391"/>
        <v>2000</v>
      </c>
      <c r="R2220" s="26">
        <f t="shared" si="392"/>
        <v>0</v>
      </c>
      <c r="S2220" s="26">
        <f t="shared" si="393"/>
        <v>2000</v>
      </c>
    </row>
    <row r="2221" spans="2:19" ht="15" x14ac:dyDescent="0.25">
      <c r="B2221" s="79">
        <f t="shared" si="394"/>
        <v>78</v>
      </c>
      <c r="C2221" s="190"/>
      <c r="D2221" s="190">
        <v>3</v>
      </c>
      <c r="E2221" s="268" t="s">
        <v>349</v>
      </c>
      <c r="F2221" s="246"/>
      <c r="G2221" s="246"/>
      <c r="H2221" s="247"/>
      <c r="I2221" s="49">
        <f>I2222+I2226</f>
        <v>20725</v>
      </c>
      <c r="J2221" s="49">
        <f>J2222+J2226</f>
        <v>0</v>
      </c>
      <c r="K2221" s="49">
        <f t="shared" si="395"/>
        <v>20725</v>
      </c>
      <c r="L2221" s="202"/>
      <c r="M2221" s="49">
        <f>M2222+M2226</f>
        <v>0</v>
      </c>
      <c r="N2221" s="49">
        <f>N2222+N2226</f>
        <v>0</v>
      </c>
      <c r="O2221" s="49">
        <f t="shared" si="396"/>
        <v>0</v>
      </c>
      <c r="P2221" s="202"/>
      <c r="Q2221" s="49">
        <f t="shared" si="391"/>
        <v>20725</v>
      </c>
      <c r="R2221" s="49">
        <f t="shared" si="392"/>
        <v>0</v>
      </c>
      <c r="S2221" s="49">
        <f t="shared" si="393"/>
        <v>20725</v>
      </c>
    </row>
    <row r="2222" spans="2:19" x14ac:dyDescent="0.2">
      <c r="B2222" s="79">
        <f t="shared" si="394"/>
        <v>79</v>
      </c>
      <c r="C2222" s="15"/>
      <c r="D2222" s="15"/>
      <c r="E2222" s="15"/>
      <c r="F2222" s="55" t="s">
        <v>78</v>
      </c>
      <c r="G2222" s="15">
        <v>630</v>
      </c>
      <c r="H2222" s="15" t="s">
        <v>128</v>
      </c>
      <c r="I2222" s="52">
        <f>I2225+I2224+I2223</f>
        <v>1425</v>
      </c>
      <c r="J2222" s="52">
        <f>J2225+J2224+J2223</f>
        <v>0</v>
      </c>
      <c r="K2222" s="52">
        <f t="shared" si="395"/>
        <v>1425</v>
      </c>
      <c r="L2222" s="126"/>
      <c r="M2222" s="52">
        <f>M2225+M2224+M2223</f>
        <v>0</v>
      </c>
      <c r="N2222" s="52">
        <f>N2225+N2224+N2223</f>
        <v>0</v>
      </c>
      <c r="O2222" s="52">
        <f t="shared" si="396"/>
        <v>0</v>
      </c>
      <c r="P2222" s="126"/>
      <c r="Q2222" s="52">
        <f t="shared" si="391"/>
        <v>1425</v>
      </c>
      <c r="R2222" s="52">
        <f t="shared" si="392"/>
        <v>0</v>
      </c>
      <c r="S2222" s="52">
        <f t="shared" si="393"/>
        <v>1425</v>
      </c>
    </row>
    <row r="2223" spans="2:19" x14ac:dyDescent="0.2">
      <c r="B2223" s="79">
        <f t="shared" si="394"/>
        <v>80</v>
      </c>
      <c r="C2223" s="4"/>
      <c r="D2223" s="4"/>
      <c r="E2223" s="4"/>
      <c r="F2223" s="56" t="s">
        <v>78</v>
      </c>
      <c r="G2223" s="4">
        <v>633</v>
      </c>
      <c r="H2223" s="4" t="s">
        <v>132</v>
      </c>
      <c r="I2223" s="26">
        <v>1000</v>
      </c>
      <c r="J2223" s="26"/>
      <c r="K2223" s="26">
        <f t="shared" si="395"/>
        <v>1000</v>
      </c>
      <c r="L2223" s="80"/>
      <c r="M2223" s="26"/>
      <c r="N2223" s="26"/>
      <c r="O2223" s="26">
        <f t="shared" si="396"/>
        <v>0</v>
      </c>
      <c r="P2223" s="80"/>
      <c r="Q2223" s="26">
        <f t="shared" si="391"/>
        <v>1000</v>
      </c>
      <c r="R2223" s="26">
        <f t="shared" si="392"/>
        <v>0</v>
      </c>
      <c r="S2223" s="26">
        <f t="shared" si="393"/>
        <v>1000</v>
      </c>
    </row>
    <row r="2224" spans="2:19" x14ac:dyDescent="0.2">
      <c r="B2224" s="79">
        <f t="shared" si="394"/>
        <v>81</v>
      </c>
      <c r="C2224" s="4"/>
      <c r="D2224" s="4"/>
      <c r="E2224" s="4"/>
      <c r="F2224" s="56" t="s">
        <v>78</v>
      </c>
      <c r="G2224" s="4">
        <v>635</v>
      </c>
      <c r="H2224" s="4" t="s">
        <v>138</v>
      </c>
      <c r="I2224" s="26">
        <v>200</v>
      </c>
      <c r="J2224" s="26"/>
      <c r="K2224" s="26">
        <f t="shared" si="395"/>
        <v>200</v>
      </c>
      <c r="L2224" s="80"/>
      <c r="M2224" s="26"/>
      <c r="N2224" s="26"/>
      <c r="O2224" s="26">
        <f t="shared" si="396"/>
        <v>0</v>
      </c>
      <c r="P2224" s="80"/>
      <c r="Q2224" s="26">
        <f t="shared" si="391"/>
        <v>200</v>
      </c>
      <c r="R2224" s="26">
        <f t="shared" si="392"/>
        <v>0</v>
      </c>
      <c r="S2224" s="26">
        <f t="shared" si="393"/>
        <v>200</v>
      </c>
    </row>
    <row r="2225" spans="2:19" x14ac:dyDescent="0.2">
      <c r="B2225" s="79">
        <f t="shared" si="394"/>
        <v>82</v>
      </c>
      <c r="C2225" s="4"/>
      <c r="D2225" s="4"/>
      <c r="E2225" s="4"/>
      <c r="F2225" s="56" t="s">
        <v>78</v>
      </c>
      <c r="G2225" s="4">
        <v>637</v>
      </c>
      <c r="H2225" s="4" t="s">
        <v>129</v>
      </c>
      <c r="I2225" s="26">
        <v>225</v>
      </c>
      <c r="J2225" s="26"/>
      <c r="K2225" s="26">
        <f t="shared" si="395"/>
        <v>225</v>
      </c>
      <c r="L2225" s="80"/>
      <c r="M2225" s="26"/>
      <c r="N2225" s="26"/>
      <c r="O2225" s="26">
        <f t="shared" si="396"/>
        <v>0</v>
      </c>
      <c r="P2225" s="80"/>
      <c r="Q2225" s="26">
        <f t="shared" si="391"/>
        <v>225</v>
      </c>
      <c r="R2225" s="26">
        <f t="shared" si="392"/>
        <v>0</v>
      </c>
      <c r="S2225" s="26">
        <f t="shared" si="393"/>
        <v>225</v>
      </c>
    </row>
    <row r="2226" spans="2:19" ht="15" x14ac:dyDescent="0.25">
      <c r="B2226" s="79">
        <f t="shared" si="394"/>
        <v>83</v>
      </c>
      <c r="C2226" s="18"/>
      <c r="D2226" s="18"/>
      <c r="E2226" s="18">
        <v>2</v>
      </c>
      <c r="F2226" s="53"/>
      <c r="G2226" s="18"/>
      <c r="H2226" s="18" t="s">
        <v>257</v>
      </c>
      <c r="I2226" s="50">
        <f>I2227</f>
        <v>19300</v>
      </c>
      <c r="J2226" s="50">
        <f>J2227</f>
        <v>0</v>
      </c>
      <c r="K2226" s="50">
        <f t="shared" si="395"/>
        <v>19300</v>
      </c>
      <c r="L2226" s="203"/>
      <c r="M2226" s="50">
        <f>M2227</f>
        <v>0</v>
      </c>
      <c r="N2226" s="50">
        <f>N2227</f>
        <v>0</v>
      </c>
      <c r="O2226" s="50">
        <f t="shared" si="396"/>
        <v>0</v>
      </c>
      <c r="P2226" s="203"/>
      <c r="Q2226" s="50">
        <f t="shared" si="391"/>
        <v>19300</v>
      </c>
      <c r="R2226" s="50">
        <f t="shared" si="392"/>
        <v>0</v>
      </c>
      <c r="S2226" s="50">
        <f t="shared" si="393"/>
        <v>19300</v>
      </c>
    </row>
    <row r="2227" spans="2:19" x14ac:dyDescent="0.2">
      <c r="B2227" s="79">
        <f t="shared" si="394"/>
        <v>84</v>
      </c>
      <c r="C2227" s="15"/>
      <c r="D2227" s="15"/>
      <c r="E2227" s="15"/>
      <c r="F2227" s="55" t="s">
        <v>78</v>
      </c>
      <c r="G2227" s="15">
        <v>630</v>
      </c>
      <c r="H2227" s="15" t="s">
        <v>128</v>
      </c>
      <c r="I2227" s="52">
        <f>I2231+I2230+I2229+I2228</f>
        <v>19300</v>
      </c>
      <c r="J2227" s="52">
        <f>J2231+J2230+J2229+J2228</f>
        <v>0</v>
      </c>
      <c r="K2227" s="52">
        <f t="shared" si="395"/>
        <v>19300</v>
      </c>
      <c r="L2227" s="126"/>
      <c r="M2227" s="52">
        <f>M2231+M2230+M2229+M2228</f>
        <v>0</v>
      </c>
      <c r="N2227" s="52">
        <f>N2231+N2230+N2229+N2228</f>
        <v>0</v>
      </c>
      <c r="O2227" s="52">
        <f t="shared" si="396"/>
        <v>0</v>
      </c>
      <c r="P2227" s="126"/>
      <c r="Q2227" s="52">
        <f t="shared" si="391"/>
        <v>19300</v>
      </c>
      <c r="R2227" s="52">
        <f t="shared" si="392"/>
        <v>0</v>
      </c>
      <c r="S2227" s="52">
        <f t="shared" si="393"/>
        <v>19300</v>
      </c>
    </row>
    <row r="2228" spans="2:19" x14ac:dyDescent="0.2">
      <c r="B2228" s="79">
        <f t="shared" si="394"/>
        <v>85</v>
      </c>
      <c r="C2228" s="4"/>
      <c r="D2228" s="4"/>
      <c r="E2228" s="4"/>
      <c r="F2228" s="56" t="s">
        <v>78</v>
      </c>
      <c r="G2228" s="4">
        <v>632</v>
      </c>
      <c r="H2228" s="4" t="s">
        <v>139</v>
      </c>
      <c r="I2228" s="26">
        <v>17800</v>
      </c>
      <c r="J2228" s="26"/>
      <c r="K2228" s="26">
        <f t="shared" si="395"/>
        <v>17800</v>
      </c>
      <c r="L2228" s="80"/>
      <c r="M2228" s="26"/>
      <c r="N2228" s="26"/>
      <c r="O2228" s="26">
        <f t="shared" si="396"/>
        <v>0</v>
      </c>
      <c r="P2228" s="80"/>
      <c r="Q2228" s="26">
        <f t="shared" si="391"/>
        <v>17800</v>
      </c>
      <c r="R2228" s="26">
        <f t="shared" si="392"/>
        <v>0</v>
      </c>
      <c r="S2228" s="26">
        <f t="shared" si="393"/>
        <v>17800</v>
      </c>
    </row>
    <row r="2229" spans="2:19" x14ac:dyDescent="0.2">
      <c r="B2229" s="79">
        <f t="shared" si="394"/>
        <v>86</v>
      </c>
      <c r="C2229" s="4"/>
      <c r="D2229" s="4"/>
      <c r="E2229" s="4"/>
      <c r="F2229" s="56" t="s">
        <v>78</v>
      </c>
      <c r="G2229" s="4">
        <v>633</v>
      </c>
      <c r="H2229" s="4" t="s">
        <v>132</v>
      </c>
      <c r="I2229" s="26">
        <v>100</v>
      </c>
      <c r="J2229" s="26"/>
      <c r="K2229" s="26">
        <f t="shared" si="395"/>
        <v>100</v>
      </c>
      <c r="L2229" s="80"/>
      <c r="M2229" s="26"/>
      <c r="N2229" s="26"/>
      <c r="O2229" s="26">
        <f t="shared" si="396"/>
        <v>0</v>
      </c>
      <c r="P2229" s="80"/>
      <c r="Q2229" s="26">
        <f t="shared" si="391"/>
        <v>100</v>
      </c>
      <c r="R2229" s="26">
        <f t="shared" si="392"/>
        <v>0</v>
      </c>
      <c r="S2229" s="26">
        <f t="shared" si="393"/>
        <v>100</v>
      </c>
    </row>
    <row r="2230" spans="2:19" x14ac:dyDescent="0.2">
      <c r="B2230" s="79">
        <f t="shared" si="394"/>
        <v>87</v>
      </c>
      <c r="C2230" s="4"/>
      <c r="D2230" s="4"/>
      <c r="E2230" s="4"/>
      <c r="F2230" s="56" t="s">
        <v>78</v>
      </c>
      <c r="G2230" s="4">
        <v>635</v>
      </c>
      <c r="H2230" s="4" t="s">
        <v>138</v>
      </c>
      <c r="I2230" s="26">
        <f>300+1000</f>
        <v>1300</v>
      </c>
      <c r="J2230" s="26"/>
      <c r="K2230" s="26">
        <f t="shared" si="395"/>
        <v>1300</v>
      </c>
      <c r="L2230" s="80"/>
      <c r="M2230" s="26"/>
      <c r="N2230" s="26"/>
      <c r="O2230" s="26">
        <f t="shared" si="396"/>
        <v>0</v>
      </c>
      <c r="P2230" s="80"/>
      <c r="Q2230" s="26">
        <f t="shared" si="391"/>
        <v>1300</v>
      </c>
      <c r="R2230" s="26">
        <f t="shared" si="392"/>
        <v>0</v>
      </c>
      <c r="S2230" s="26">
        <f t="shared" si="393"/>
        <v>1300</v>
      </c>
    </row>
    <row r="2231" spans="2:19" x14ac:dyDescent="0.2">
      <c r="B2231" s="79">
        <f t="shared" si="394"/>
        <v>88</v>
      </c>
      <c r="C2231" s="4"/>
      <c r="D2231" s="4"/>
      <c r="E2231" s="4"/>
      <c r="F2231" s="56" t="s">
        <v>78</v>
      </c>
      <c r="G2231" s="4">
        <v>637</v>
      </c>
      <c r="H2231" s="4" t="s">
        <v>129</v>
      </c>
      <c r="I2231" s="26">
        <v>100</v>
      </c>
      <c r="J2231" s="26"/>
      <c r="K2231" s="26">
        <f t="shared" si="395"/>
        <v>100</v>
      </c>
      <c r="L2231" s="80"/>
      <c r="M2231" s="26"/>
      <c r="N2231" s="26"/>
      <c r="O2231" s="26">
        <f t="shared" si="396"/>
        <v>0</v>
      </c>
      <c r="P2231" s="80"/>
      <c r="Q2231" s="26">
        <f t="shared" si="391"/>
        <v>100</v>
      </c>
      <c r="R2231" s="26">
        <f t="shared" si="392"/>
        <v>0</v>
      </c>
      <c r="S2231" s="26">
        <f t="shared" si="393"/>
        <v>100</v>
      </c>
    </row>
    <row r="2232" spans="2:19" ht="15" x14ac:dyDescent="0.2">
      <c r="B2232" s="79">
        <f t="shared" si="394"/>
        <v>89</v>
      </c>
      <c r="C2232" s="191">
        <v>6</v>
      </c>
      <c r="D2232" s="245" t="s">
        <v>430</v>
      </c>
      <c r="E2232" s="246"/>
      <c r="F2232" s="246"/>
      <c r="G2232" s="246"/>
      <c r="H2232" s="247"/>
      <c r="I2232" s="48">
        <f>I2233+I2234+I2237+I2239</f>
        <v>1022525</v>
      </c>
      <c r="J2232" s="48">
        <f>J2233+J2234+J2237+J2239</f>
        <v>0</v>
      </c>
      <c r="K2232" s="48">
        <f t="shared" si="395"/>
        <v>1022525</v>
      </c>
      <c r="L2232" s="201"/>
      <c r="M2232" s="48">
        <f>M2233+M2234+M2237+M2239</f>
        <v>25000</v>
      </c>
      <c r="N2232" s="48">
        <f>N2233+N2234+N2237+N2239</f>
        <v>0</v>
      </c>
      <c r="O2232" s="48">
        <f t="shared" si="396"/>
        <v>25000</v>
      </c>
      <c r="P2232" s="201"/>
      <c r="Q2232" s="48">
        <f t="shared" si="391"/>
        <v>1047525</v>
      </c>
      <c r="R2232" s="48">
        <f t="shared" si="392"/>
        <v>0</v>
      </c>
      <c r="S2232" s="48">
        <f t="shared" si="393"/>
        <v>1047525</v>
      </c>
    </row>
    <row r="2233" spans="2:19" x14ac:dyDescent="0.2">
      <c r="B2233" s="79">
        <f t="shared" si="394"/>
        <v>90</v>
      </c>
      <c r="C2233" s="15"/>
      <c r="D2233" s="15"/>
      <c r="E2233" s="15"/>
      <c r="F2233" s="55" t="s">
        <v>78</v>
      </c>
      <c r="G2233" s="15">
        <v>620</v>
      </c>
      <c r="H2233" s="15" t="s">
        <v>131</v>
      </c>
      <c r="I2233" s="52">
        <v>760</v>
      </c>
      <c r="J2233" s="52"/>
      <c r="K2233" s="52">
        <f t="shared" si="395"/>
        <v>760</v>
      </c>
      <c r="L2233" s="126"/>
      <c r="M2233" s="52"/>
      <c r="N2233" s="52"/>
      <c r="O2233" s="52">
        <f t="shared" si="396"/>
        <v>0</v>
      </c>
      <c r="P2233" s="126"/>
      <c r="Q2233" s="52">
        <f t="shared" si="391"/>
        <v>760</v>
      </c>
      <c r="R2233" s="52">
        <f t="shared" si="392"/>
        <v>0</v>
      </c>
      <c r="S2233" s="52">
        <f t="shared" si="393"/>
        <v>760</v>
      </c>
    </row>
    <row r="2234" spans="2:19" x14ac:dyDescent="0.2">
      <c r="B2234" s="79">
        <f t="shared" si="394"/>
        <v>91</v>
      </c>
      <c r="C2234" s="15"/>
      <c r="D2234" s="15"/>
      <c r="E2234" s="15"/>
      <c r="F2234" s="55" t="s">
        <v>78</v>
      </c>
      <c r="G2234" s="15">
        <v>630</v>
      </c>
      <c r="H2234" s="15" t="s">
        <v>128</v>
      </c>
      <c r="I2234" s="52">
        <f>I2235+I2236</f>
        <v>3001</v>
      </c>
      <c r="J2234" s="52">
        <f>J2235+J2236</f>
        <v>0</v>
      </c>
      <c r="K2234" s="52">
        <f t="shared" si="395"/>
        <v>3001</v>
      </c>
      <c r="L2234" s="126"/>
      <c r="M2234" s="52">
        <f>M2235</f>
        <v>0</v>
      </c>
      <c r="N2234" s="52">
        <f>N2235</f>
        <v>0</v>
      </c>
      <c r="O2234" s="52">
        <f t="shared" si="396"/>
        <v>0</v>
      </c>
      <c r="P2234" s="126"/>
      <c r="Q2234" s="52">
        <f t="shared" si="391"/>
        <v>3001</v>
      </c>
      <c r="R2234" s="52">
        <f t="shared" si="392"/>
        <v>0</v>
      </c>
      <c r="S2234" s="52">
        <f t="shared" si="393"/>
        <v>3001</v>
      </c>
    </row>
    <row r="2235" spans="2:19" x14ac:dyDescent="0.2">
      <c r="B2235" s="79">
        <f t="shared" si="394"/>
        <v>92</v>
      </c>
      <c r="C2235" s="4"/>
      <c r="D2235" s="4"/>
      <c r="E2235" s="4"/>
      <c r="F2235" s="56" t="s">
        <v>78</v>
      </c>
      <c r="G2235" s="4">
        <v>637</v>
      </c>
      <c r="H2235" s="4" t="s">
        <v>129</v>
      </c>
      <c r="I2235" s="26">
        <v>3000</v>
      </c>
      <c r="J2235" s="26"/>
      <c r="K2235" s="26">
        <f t="shared" si="395"/>
        <v>3000</v>
      </c>
      <c r="L2235" s="80"/>
      <c r="M2235" s="26"/>
      <c r="N2235" s="26"/>
      <c r="O2235" s="26">
        <f t="shared" si="396"/>
        <v>0</v>
      </c>
      <c r="P2235" s="80"/>
      <c r="Q2235" s="26">
        <f t="shared" si="391"/>
        <v>3000</v>
      </c>
      <c r="R2235" s="26">
        <f t="shared" si="392"/>
        <v>0</v>
      </c>
      <c r="S2235" s="26">
        <f t="shared" si="393"/>
        <v>3000</v>
      </c>
    </row>
    <row r="2236" spans="2:19" x14ac:dyDescent="0.2">
      <c r="B2236" s="79">
        <f t="shared" si="394"/>
        <v>93</v>
      </c>
      <c r="C2236" s="4"/>
      <c r="D2236" s="4"/>
      <c r="E2236" s="4"/>
      <c r="F2236" s="56" t="s">
        <v>78</v>
      </c>
      <c r="G2236" s="4">
        <v>630</v>
      </c>
      <c r="H2236" s="4" t="s">
        <v>598</v>
      </c>
      <c r="I2236" s="26">
        <v>1</v>
      </c>
      <c r="J2236" s="26"/>
      <c r="K2236" s="26">
        <f t="shared" si="395"/>
        <v>1</v>
      </c>
      <c r="L2236" s="80"/>
      <c r="M2236" s="26"/>
      <c r="N2236" s="26"/>
      <c r="O2236" s="26">
        <f t="shared" si="396"/>
        <v>0</v>
      </c>
      <c r="P2236" s="80"/>
      <c r="Q2236" s="26">
        <f t="shared" si="391"/>
        <v>1</v>
      </c>
      <c r="R2236" s="26">
        <f t="shared" si="392"/>
        <v>0</v>
      </c>
      <c r="S2236" s="26">
        <f t="shared" si="393"/>
        <v>1</v>
      </c>
    </row>
    <row r="2237" spans="2:19" x14ac:dyDescent="0.2">
      <c r="B2237" s="79">
        <f t="shared" si="394"/>
        <v>94</v>
      </c>
      <c r="C2237" s="15"/>
      <c r="D2237" s="15"/>
      <c r="E2237" s="15"/>
      <c r="F2237" s="55" t="s">
        <v>78</v>
      </c>
      <c r="G2237" s="15">
        <v>640</v>
      </c>
      <c r="H2237" s="15" t="s">
        <v>135</v>
      </c>
      <c r="I2237" s="52">
        <f>SUM(I2238:I2238)</f>
        <v>7400</v>
      </c>
      <c r="J2237" s="52">
        <f>SUM(J2238:J2238)</f>
        <v>0</v>
      </c>
      <c r="K2237" s="52">
        <f t="shared" si="395"/>
        <v>7400</v>
      </c>
      <c r="L2237" s="126"/>
      <c r="M2237" s="52"/>
      <c r="N2237" s="52"/>
      <c r="O2237" s="52">
        <f t="shared" si="396"/>
        <v>0</v>
      </c>
      <c r="P2237" s="126"/>
      <c r="Q2237" s="52">
        <f t="shared" si="391"/>
        <v>7400</v>
      </c>
      <c r="R2237" s="52">
        <f t="shared" si="392"/>
        <v>0</v>
      </c>
      <c r="S2237" s="52">
        <f t="shared" si="393"/>
        <v>7400</v>
      </c>
    </row>
    <row r="2238" spans="2:19" x14ac:dyDescent="0.2">
      <c r="B2238" s="79">
        <f t="shared" si="394"/>
        <v>95</v>
      </c>
      <c r="C2238" s="72"/>
      <c r="D2238" s="72"/>
      <c r="E2238" s="72"/>
      <c r="F2238" s="76"/>
      <c r="G2238" s="72"/>
      <c r="H2238" s="93" t="s">
        <v>316</v>
      </c>
      <c r="I2238" s="69">
        <f>7000+400</f>
        <v>7400</v>
      </c>
      <c r="J2238" s="69"/>
      <c r="K2238" s="69">
        <f t="shared" si="395"/>
        <v>7400</v>
      </c>
      <c r="L2238" s="166"/>
      <c r="M2238" s="74"/>
      <c r="N2238" s="74"/>
      <c r="O2238" s="74">
        <f t="shared" si="396"/>
        <v>0</v>
      </c>
      <c r="P2238" s="206"/>
      <c r="Q2238" s="69">
        <f t="shared" si="391"/>
        <v>7400</v>
      </c>
      <c r="R2238" s="69">
        <f t="shared" si="392"/>
        <v>0</v>
      </c>
      <c r="S2238" s="69">
        <f t="shared" si="393"/>
        <v>7400</v>
      </c>
    </row>
    <row r="2239" spans="2:19" ht="15" x14ac:dyDescent="0.25">
      <c r="B2239" s="79">
        <f t="shared" si="394"/>
        <v>96</v>
      </c>
      <c r="C2239" s="18"/>
      <c r="D2239" s="18"/>
      <c r="E2239" s="18">
        <v>5</v>
      </c>
      <c r="F2239" s="53"/>
      <c r="G2239" s="18"/>
      <c r="H2239" s="18" t="s">
        <v>266</v>
      </c>
      <c r="I2239" s="50">
        <f>I2240+I2241+I2242+I2249+I2250</f>
        <v>1011364</v>
      </c>
      <c r="J2239" s="50">
        <f>J2240+J2241+J2242+J2249+J2250</f>
        <v>0</v>
      </c>
      <c r="K2239" s="50">
        <f t="shared" si="395"/>
        <v>1011364</v>
      </c>
      <c r="L2239" s="203"/>
      <c r="M2239" s="50">
        <f>M2240+M2241+M2242+M2249+M2250</f>
        <v>25000</v>
      </c>
      <c r="N2239" s="50">
        <f>N2240+N2241+N2242+N2249+N2250</f>
        <v>0</v>
      </c>
      <c r="O2239" s="50">
        <f t="shared" si="396"/>
        <v>25000</v>
      </c>
      <c r="P2239" s="203"/>
      <c r="Q2239" s="50">
        <f t="shared" si="391"/>
        <v>1036364</v>
      </c>
      <c r="R2239" s="50">
        <f t="shared" si="392"/>
        <v>0</v>
      </c>
      <c r="S2239" s="50">
        <f t="shared" si="393"/>
        <v>1036364</v>
      </c>
    </row>
    <row r="2240" spans="2:19" x14ac:dyDescent="0.2">
      <c r="B2240" s="79">
        <f t="shared" si="394"/>
        <v>97</v>
      </c>
      <c r="C2240" s="15"/>
      <c r="D2240" s="15"/>
      <c r="E2240" s="15"/>
      <c r="F2240" s="55" t="s">
        <v>77</v>
      </c>
      <c r="G2240" s="15">
        <v>610</v>
      </c>
      <c r="H2240" s="15" t="s">
        <v>136</v>
      </c>
      <c r="I2240" s="52">
        <f>444453+2+6200+10300</f>
        <v>460955</v>
      </c>
      <c r="J2240" s="52"/>
      <c r="K2240" s="52">
        <f t="shared" si="395"/>
        <v>460955</v>
      </c>
      <c r="L2240" s="126"/>
      <c r="M2240" s="52"/>
      <c r="N2240" s="52"/>
      <c r="O2240" s="52">
        <f t="shared" si="396"/>
        <v>0</v>
      </c>
      <c r="P2240" s="126"/>
      <c r="Q2240" s="52">
        <f t="shared" si="391"/>
        <v>460955</v>
      </c>
      <c r="R2240" s="52">
        <f t="shared" si="392"/>
        <v>0</v>
      </c>
      <c r="S2240" s="52">
        <f t="shared" si="393"/>
        <v>460955</v>
      </c>
    </row>
    <row r="2241" spans="1:19" x14ac:dyDescent="0.2">
      <c r="B2241" s="79">
        <f t="shared" si="394"/>
        <v>98</v>
      </c>
      <c r="C2241" s="15"/>
      <c r="D2241" s="15"/>
      <c r="E2241" s="15"/>
      <c r="F2241" s="55" t="s">
        <v>77</v>
      </c>
      <c r="G2241" s="15">
        <v>620</v>
      </c>
      <c r="H2241" s="15" t="s">
        <v>131</v>
      </c>
      <c r="I2241" s="52">
        <f>155559+1+2170+3610</f>
        <v>161340</v>
      </c>
      <c r="J2241" s="52"/>
      <c r="K2241" s="52">
        <f t="shared" si="395"/>
        <v>161340</v>
      </c>
      <c r="L2241" s="126"/>
      <c r="M2241" s="52"/>
      <c r="N2241" s="52"/>
      <c r="O2241" s="52">
        <f t="shared" si="396"/>
        <v>0</v>
      </c>
      <c r="P2241" s="126"/>
      <c r="Q2241" s="52">
        <f t="shared" si="391"/>
        <v>161340</v>
      </c>
      <c r="R2241" s="52">
        <f t="shared" si="392"/>
        <v>0</v>
      </c>
      <c r="S2241" s="52">
        <f t="shared" si="393"/>
        <v>161340</v>
      </c>
    </row>
    <row r="2242" spans="1:19" x14ac:dyDescent="0.2">
      <c r="B2242" s="79">
        <f t="shared" si="394"/>
        <v>99</v>
      </c>
      <c r="C2242" s="15"/>
      <c r="D2242" s="15"/>
      <c r="E2242" s="15"/>
      <c r="F2242" s="55" t="s">
        <v>77</v>
      </c>
      <c r="G2242" s="15">
        <v>630</v>
      </c>
      <c r="H2242" s="15" t="s">
        <v>128</v>
      </c>
      <c r="I2242" s="52">
        <f>I2248+I2247+I2246+I2245+I2244+I2243</f>
        <v>381840</v>
      </c>
      <c r="J2242" s="52">
        <f>J2248+J2247+J2246+J2245+J2244+J2243</f>
        <v>0</v>
      </c>
      <c r="K2242" s="52">
        <f t="shared" si="395"/>
        <v>381840</v>
      </c>
      <c r="L2242" s="126"/>
      <c r="M2242" s="52">
        <f>M2248+M2247+M2246+M2245+M2244+M2243</f>
        <v>0</v>
      </c>
      <c r="N2242" s="52">
        <f>N2248+N2247+N2246+N2245+N2244+N2243</f>
        <v>0</v>
      </c>
      <c r="O2242" s="52">
        <f t="shared" si="396"/>
        <v>0</v>
      </c>
      <c r="P2242" s="126"/>
      <c r="Q2242" s="52">
        <f t="shared" si="391"/>
        <v>381840</v>
      </c>
      <c r="R2242" s="52">
        <f t="shared" si="392"/>
        <v>0</v>
      </c>
      <c r="S2242" s="52">
        <f t="shared" si="393"/>
        <v>381840</v>
      </c>
    </row>
    <row r="2243" spans="1:19" x14ac:dyDescent="0.2">
      <c r="B2243" s="79">
        <f t="shared" si="394"/>
        <v>100</v>
      </c>
      <c r="C2243" s="4"/>
      <c r="D2243" s="4"/>
      <c r="E2243" s="4"/>
      <c r="F2243" s="56" t="s">
        <v>77</v>
      </c>
      <c r="G2243" s="4">
        <v>631</v>
      </c>
      <c r="H2243" s="4" t="s">
        <v>134</v>
      </c>
      <c r="I2243" s="26">
        <v>200</v>
      </c>
      <c r="J2243" s="26"/>
      <c r="K2243" s="26">
        <f t="shared" si="395"/>
        <v>200</v>
      </c>
      <c r="L2243" s="80"/>
      <c r="M2243" s="26"/>
      <c r="N2243" s="26"/>
      <c r="O2243" s="26">
        <f t="shared" si="396"/>
        <v>0</v>
      </c>
      <c r="P2243" s="80"/>
      <c r="Q2243" s="26">
        <f t="shared" si="391"/>
        <v>200</v>
      </c>
      <c r="R2243" s="26">
        <f t="shared" si="392"/>
        <v>0</v>
      </c>
      <c r="S2243" s="26">
        <f t="shared" si="393"/>
        <v>200</v>
      </c>
    </row>
    <row r="2244" spans="1:19" x14ac:dyDescent="0.2">
      <c r="B2244" s="79">
        <f t="shared" si="394"/>
        <v>101</v>
      </c>
      <c r="C2244" s="4"/>
      <c r="D2244" s="4"/>
      <c r="E2244" s="4"/>
      <c r="F2244" s="56" t="s">
        <v>77</v>
      </c>
      <c r="G2244" s="4">
        <v>632</v>
      </c>
      <c r="H2244" s="4" t="s">
        <v>139</v>
      </c>
      <c r="I2244" s="26">
        <v>93750</v>
      </c>
      <c r="J2244" s="26"/>
      <c r="K2244" s="26">
        <f t="shared" si="395"/>
        <v>93750</v>
      </c>
      <c r="L2244" s="80"/>
      <c r="M2244" s="26"/>
      <c r="N2244" s="26"/>
      <c r="O2244" s="26">
        <f t="shared" si="396"/>
        <v>0</v>
      </c>
      <c r="P2244" s="80"/>
      <c r="Q2244" s="26">
        <f t="shared" si="391"/>
        <v>93750</v>
      </c>
      <c r="R2244" s="26">
        <f t="shared" si="392"/>
        <v>0</v>
      </c>
      <c r="S2244" s="26">
        <f t="shared" si="393"/>
        <v>93750</v>
      </c>
    </row>
    <row r="2245" spans="1:19" x14ac:dyDescent="0.2">
      <c r="B2245" s="79">
        <f t="shared" si="394"/>
        <v>102</v>
      </c>
      <c r="C2245" s="4"/>
      <c r="D2245" s="4"/>
      <c r="E2245" s="4"/>
      <c r="F2245" s="56" t="s">
        <v>77</v>
      </c>
      <c r="G2245" s="4">
        <v>633</v>
      </c>
      <c r="H2245" s="4" t="s">
        <v>132</v>
      </c>
      <c r="I2245" s="26">
        <v>18870</v>
      </c>
      <c r="J2245" s="26"/>
      <c r="K2245" s="26">
        <f t="shared" si="395"/>
        <v>18870</v>
      </c>
      <c r="L2245" s="80"/>
      <c r="M2245" s="26"/>
      <c r="N2245" s="26"/>
      <c r="O2245" s="26">
        <f t="shared" si="396"/>
        <v>0</v>
      </c>
      <c r="P2245" s="80"/>
      <c r="Q2245" s="26">
        <f t="shared" si="391"/>
        <v>18870</v>
      </c>
      <c r="R2245" s="26">
        <f t="shared" si="392"/>
        <v>0</v>
      </c>
      <c r="S2245" s="26">
        <f t="shared" si="393"/>
        <v>18870</v>
      </c>
    </row>
    <row r="2246" spans="1:19" x14ac:dyDescent="0.2">
      <c r="B2246" s="79">
        <f t="shared" si="394"/>
        <v>103</v>
      </c>
      <c r="C2246" s="4"/>
      <c r="D2246" s="4"/>
      <c r="E2246" s="4"/>
      <c r="F2246" s="56" t="s">
        <v>77</v>
      </c>
      <c r="G2246" s="4">
        <v>634</v>
      </c>
      <c r="H2246" s="4" t="s">
        <v>137</v>
      </c>
      <c r="I2246" s="26">
        <v>1900</v>
      </c>
      <c r="J2246" s="26"/>
      <c r="K2246" s="26">
        <f t="shared" si="395"/>
        <v>1900</v>
      </c>
      <c r="L2246" s="80"/>
      <c r="M2246" s="26"/>
      <c r="N2246" s="26"/>
      <c r="O2246" s="26">
        <f t="shared" si="396"/>
        <v>0</v>
      </c>
      <c r="P2246" s="80"/>
      <c r="Q2246" s="26">
        <f t="shared" si="391"/>
        <v>1900</v>
      </c>
      <c r="R2246" s="26">
        <f t="shared" si="392"/>
        <v>0</v>
      </c>
      <c r="S2246" s="26">
        <f t="shared" si="393"/>
        <v>1900</v>
      </c>
    </row>
    <row r="2247" spans="1:19" s="75" customFormat="1" ht="13.5" customHeight="1" x14ac:dyDescent="0.2">
      <c r="A2247" s="71"/>
      <c r="B2247" s="79">
        <f t="shared" si="394"/>
        <v>104</v>
      </c>
      <c r="C2247" s="4"/>
      <c r="D2247" s="4"/>
      <c r="E2247" s="4"/>
      <c r="F2247" s="56" t="s">
        <v>77</v>
      </c>
      <c r="G2247" s="4">
        <v>635</v>
      </c>
      <c r="H2247" s="4" t="s">
        <v>138</v>
      </c>
      <c r="I2247" s="26">
        <v>24250</v>
      </c>
      <c r="J2247" s="26"/>
      <c r="K2247" s="26">
        <f t="shared" si="395"/>
        <v>24250</v>
      </c>
      <c r="L2247" s="80"/>
      <c r="M2247" s="26"/>
      <c r="N2247" s="26"/>
      <c r="O2247" s="26">
        <f t="shared" si="396"/>
        <v>0</v>
      </c>
      <c r="P2247" s="80"/>
      <c r="Q2247" s="26">
        <f t="shared" si="391"/>
        <v>24250</v>
      </c>
      <c r="R2247" s="26">
        <f t="shared" si="392"/>
        <v>0</v>
      </c>
      <c r="S2247" s="26">
        <f t="shared" si="393"/>
        <v>24250</v>
      </c>
    </row>
    <row r="2248" spans="1:19" x14ac:dyDescent="0.2">
      <c r="B2248" s="79">
        <f t="shared" si="394"/>
        <v>105</v>
      </c>
      <c r="C2248" s="4"/>
      <c r="D2248" s="4"/>
      <c r="E2248" s="4"/>
      <c r="F2248" s="56" t="s">
        <v>77</v>
      </c>
      <c r="G2248" s="4">
        <v>637</v>
      </c>
      <c r="H2248" s="4" t="s">
        <v>129</v>
      </c>
      <c r="I2248" s="26">
        <f>242937+275+3-945+600</f>
        <v>242870</v>
      </c>
      <c r="J2248" s="26"/>
      <c r="K2248" s="26">
        <f t="shared" si="395"/>
        <v>242870</v>
      </c>
      <c r="L2248" s="80"/>
      <c r="M2248" s="26"/>
      <c r="N2248" s="26"/>
      <c r="O2248" s="26">
        <f t="shared" si="396"/>
        <v>0</v>
      </c>
      <c r="P2248" s="80"/>
      <c r="Q2248" s="26">
        <f t="shared" si="391"/>
        <v>242870</v>
      </c>
      <c r="R2248" s="26">
        <f t="shared" si="392"/>
        <v>0</v>
      </c>
      <c r="S2248" s="26">
        <f t="shared" si="393"/>
        <v>242870</v>
      </c>
    </row>
    <row r="2249" spans="1:19" x14ac:dyDescent="0.2">
      <c r="B2249" s="79">
        <f t="shared" si="394"/>
        <v>106</v>
      </c>
      <c r="C2249" s="15"/>
      <c r="D2249" s="15"/>
      <c r="E2249" s="15"/>
      <c r="F2249" s="55" t="s">
        <v>77</v>
      </c>
      <c r="G2249" s="15">
        <v>640</v>
      </c>
      <c r="H2249" s="15" t="s">
        <v>135</v>
      </c>
      <c r="I2249" s="52">
        <f>3100+400+3459+270</f>
        <v>7229</v>
      </c>
      <c r="J2249" s="52"/>
      <c r="K2249" s="52">
        <f t="shared" si="395"/>
        <v>7229</v>
      </c>
      <c r="L2249" s="126"/>
      <c r="M2249" s="52"/>
      <c r="N2249" s="52"/>
      <c r="O2249" s="52">
        <f t="shared" si="396"/>
        <v>0</v>
      </c>
      <c r="P2249" s="126"/>
      <c r="Q2249" s="52">
        <f t="shared" si="391"/>
        <v>7229</v>
      </c>
      <c r="R2249" s="52">
        <f t="shared" si="392"/>
        <v>0</v>
      </c>
      <c r="S2249" s="52">
        <f t="shared" si="393"/>
        <v>7229</v>
      </c>
    </row>
    <row r="2250" spans="1:19" x14ac:dyDescent="0.2">
      <c r="B2250" s="79">
        <f t="shared" si="394"/>
        <v>107</v>
      </c>
      <c r="C2250" s="15"/>
      <c r="D2250" s="15"/>
      <c r="E2250" s="15"/>
      <c r="F2250" s="55" t="s">
        <v>77</v>
      </c>
      <c r="G2250" s="15">
        <v>710</v>
      </c>
      <c r="H2250" s="15" t="s">
        <v>184</v>
      </c>
      <c r="I2250" s="52">
        <f>I2251</f>
        <v>0</v>
      </c>
      <c r="J2250" s="52">
        <f>J2251</f>
        <v>0</v>
      </c>
      <c r="K2250" s="52">
        <f t="shared" si="395"/>
        <v>0</v>
      </c>
      <c r="L2250" s="126"/>
      <c r="M2250" s="52">
        <f>M2251+M2253</f>
        <v>25000</v>
      </c>
      <c r="N2250" s="52">
        <f>N2251+N2253</f>
        <v>0</v>
      </c>
      <c r="O2250" s="52">
        <f t="shared" si="396"/>
        <v>25000</v>
      </c>
      <c r="P2250" s="126"/>
      <c r="Q2250" s="52">
        <f t="shared" si="391"/>
        <v>25000</v>
      </c>
      <c r="R2250" s="52">
        <f t="shared" si="392"/>
        <v>0</v>
      </c>
      <c r="S2250" s="52">
        <f t="shared" si="393"/>
        <v>25000</v>
      </c>
    </row>
    <row r="2251" spans="1:19" x14ac:dyDescent="0.2">
      <c r="B2251" s="79">
        <f t="shared" si="394"/>
        <v>108</v>
      </c>
      <c r="C2251" s="4"/>
      <c r="D2251" s="4"/>
      <c r="E2251" s="4"/>
      <c r="F2251" s="89" t="s">
        <v>77</v>
      </c>
      <c r="G2251" s="90">
        <v>717</v>
      </c>
      <c r="H2251" s="90" t="s">
        <v>194</v>
      </c>
      <c r="I2251" s="91">
        <f>SUM(I2252:I2252)</f>
        <v>0</v>
      </c>
      <c r="J2251" s="91">
        <f>SUM(J2252:J2252)</f>
        <v>0</v>
      </c>
      <c r="K2251" s="91">
        <f t="shared" si="395"/>
        <v>0</v>
      </c>
      <c r="L2251" s="80"/>
      <c r="M2251" s="91">
        <f>SUM(M2252:M2252)</f>
        <v>0</v>
      </c>
      <c r="N2251" s="91">
        <f>SUM(N2252:N2252)</f>
        <v>0</v>
      </c>
      <c r="O2251" s="91">
        <f t="shared" si="396"/>
        <v>0</v>
      </c>
      <c r="P2251" s="80"/>
      <c r="Q2251" s="91">
        <f t="shared" si="391"/>
        <v>0</v>
      </c>
      <c r="R2251" s="91">
        <f t="shared" si="392"/>
        <v>0</v>
      </c>
      <c r="S2251" s="91">
        <f t="shared" si="393"/>
        <v>0</v>
      </c>
    </row>
    <row r="2252" spans="1:19" x14ac:dyDescent="0.2">
      <c r="B2252" s="79">
        <f t="shared" si="394"/>
        <v>109</v>
      </c>
      <c r="C2252" s="4"/>
      <c r="D2252" s="4"/>
      <c r="E2252" s="4"/>
      <c r="F2252" s="56"/>
      <c r="G2252" s="4"/>
      <c r="H2252" s="4" t="s">
        <v>415</v>
      </c>
      <c r="I2252" s="26"/>
      <c r="J2252" s="26"/>
      <c r="K2252" s="26">
        <f t="shared" si="395"/>
        <v>0</v>
      </c>
      <c r="L2252" s="80"/>
      <c r="M2252" s="26">
        <f>4000-4000</f>
        <v>0</v>
      </c>
      <c r="N2252" s="26">
        <f>4000-4000</f>
        <v>0</v>
      </c>
      <c r="O2252" s="26">
        <f t="shared" si="396"/>
        <v>0</v>
      </c>
      <c r="P2252" s="80"/>
      <c r="Q2252" s="26">
        <f t="shared" si="391"/>
        <v>0</v>
      </c>
      <c r="R2252" s="26">
        <f t="shared" si="392"/>
        <v>0</v>
      </c>
      <c r="S2252" s="26">
        <f t="shared" si="393"/>
        <v>0</v>
      </c>
    </row>
    <row r="2253" spans="1:19" x14ac:dyDescent="0.2">
      <c r="B2253" s="79">
        <f t="shared" si="394"/>
        <v>110</v>
      </c>
      <c r="C2253" s="4"/>
      <c r="D2253" s="4"/>
      <c r="E2253" s="4"/>
      <c r="F2253" s="56"/>
      <c r="G2253" s="4"/>
      <c r="H2253" s="4" t="s">
        <v>668</v>
      </c>
      <c r="I2253" s="26"/>
      <c r="J2253" s="26"/>
      <c r="K2253" s="26">
        <f t="shared" si="395"/>
        <v>0</v>
      </c>
      <c r="L2253" s="80"/>
      <c r="M2253" s="26">
        <v>25000</v>
      </c>
      <c r="N2253" s="26"/>
      <c r="O2253" s="26">
        <f t="shared" si="396"/>
        <v>25000</v>
      </c>
      <c r="P2253" s="80"/>
      <c r="Q2253" s="26">
        <f t="shared" si="391"/>
        <v>25000</v>
      </c>
      <c r="R2253" s="26">
        <f t="shared" si="392"/>
        <v>0</v>
      </c>
      <c r="S2253" s="26">
        <f t="shared" si="393"/>
        <v>25000</v>
      </c>
    </row>
    <row r="2254" spans="1:19" ht="15" x14ac:dyDescent="0.2">
      <c r="B2254" s="79">
        <f t="shared" si="394"/>
        <v>111</v>
      </c>
      <c r="C2254" s="191">
        <v>7</v>
      </c>
      <c r="D2254" s="245" t="s">
        <v>235</v>
      </c>
      <c r="E2254" s="246"/>
      <c r="F2254" s="246"/>
      <c r="G2254" s="246"/>
      <c r="H2254" s="247"/>
      <c r="I2254" s="48">
        <f>I2255</f>
        <v>520242</v>
      </c>
      <c r="J2254" s="48">
        <f>J2255</f>
        <v>0</v>
      </c>
      <c r="K2254" s="48">
        <f t="shared" si="395"/>
        <v>520242</v>
      </c>
      <c r="L2254" s="201"/>
      <c r="M2254" s="48">
        <f>M2255</f>
        <v>0</v>
      </c>
      <c r="N2254" s="48">
        <f>N2255</f>
        <v>0</v>
      </c>
      <c r="O2254" s="48">
        <f t="shared" si="396"/>
        <v>0</v>
      </c>
      <c r="P2254" s="201"/>
      <c r="Q2254" s="48">
        <f t="shared" si="391"/>
        <v>520242</v>
      </c>
      <c r="R2254" s="48">
        <f t="shared" si="392"/>
        <v>0</v>
      </c>
      <c r="S2254" s="48">
        <f t="shared" si="393"/>
        <v>520242</v>
      </c>
    </row>
    <row r="2255" spans="1:19" ht="15" x14ac:dyDescent="0.25">
      <c r="B2255" s="79">
        <f t="shared" si="394"/>
        <v>112</v>
      </c>
      <c r="C2255" s="18"/>
      <c r="D2255" s="18"/>
      <c r="E2255" s="18">
        <v>5</v>
      </c>
      <c r="F2255" s="53"/>
      <c r="G2255" s="18"/>
      <c r="H2255" s="18" t="s">
        <v>266</v>
      </c>
      <c r="I2255" s="50">
        <f>I2256+I2257+I2258+I2263</f>
        <v>520242</v>
      </c>
      <c r="J2255" s="50">
        <f>J2256+J2257+J2258+J2263</f>
        <v>0</v>
      </c>
      <c r="K2255" s="50">
        <f t="shared" si="395"/>
        <v>520242</v>
      </c>
      <c r="L2255" s="203"/>
      <c r="M2255" s="50">
        <f>M2256+M2257+M2258+M2263</f>
        <v>0</v>
      </c>
      <c r="N2255" s="50">
        <f>N2256+N2257+N2258+N2263</f>
        <v>0</v>
      </c>
      <c r="O2255" s="50">
        <f t="shared" si="396"/>
        <v>0</v>
      </c>
      <c r="P2255" s="203"/>
      <c r="Q2255" s="50">
        <f t="shared" si="391"/>
        <v>520242</v>
      </c>
      <c r="R2255" s="50">
        <f t="shared" si="392"/>
        <v>0</v>
      </c>
      <c r="S2255" s="50">
        <f t="shared" si="393"/>
        <v>520242</v>
      </c>
    </row>
    <row r="2256" spans="1:19" x14ac:dyDescent="0.2">
      <c r="B2256" s="79">
        <f t="shared" si="394"/>
        <v>113</v>
      </c>
      <c r="C2256" s="15"/>
      <c r="D2256" s="15"/>
      <c r="E2256" s="15"/>
      <c r="F2256" s="55" t="s">
        <v>77</v>
      </c>
      <c r="G2256" s="15">
        <v>610</v>
      </c>
      <c r="H2256" s="15" t="s">
        <v>136</v>
      </c>
      <c r="I2256" s="52">
        <f>221000+129510-5951</f>
        <v>344559</v>
      </c>
      <c r="J2256" s="52"/>
      <c r="K2256" s="52">
        <f t="shared" si="395"/>
        <v>344559</v>
      </c>
      <c r="L2256" s="126"/>
      <c r="M2256" s="52"/>
      <c r="N2256" s="52"/>
      <c r="O2256" s="52">
        <f t="shared" si="396"/>
        <v>0</v>
      </c>
      <c r="P2256" s="126"/>
      <c r="Q2256" s="52">
        <f t="shared" si="391"/>
        <v>344559</v>
      </c>
      <c r="R2256" s="52">
        <f t="shared" si="392"/>
        <v>0</v>
      </c>
      <c r="S2256" s="52">
        <f t="shared" si="393"/>
        <v>344559</v>
      </c>
    </row>
    <row r="2257" spans="2:19" x14ac:dyDescent="0.2">
      <c r="B2257" s="79">
        <f t="shared" si="394"/>
        <v>114</v>
      </c>
      <c r="C2257" s="15"/>
      <c r="D2257" s="15"/>
      <c r="E2257" s="15"/>
      <c r="F2257" s="55" t="s">
        <v>77</v>
      </c>
      <c r="G2257" s="15">
        <v>620</v>
      </c>
      <c r="H2257" s="15" t="s">
        <v>131</v>
      </c>
      <c r="I2257" s="52">
        <f>77350+45330-2100</f>
        <v>120580</v>
      </c>
      <c r="J2257" s="52"/>
      <c r="K2257" s="52">
        <f t="shared" si="395"/>
        <v>120580</v>
      </c>
      <c r="L2257" s="126"/>
      <c r="M2257" s="52"/>
      <c r="N2257" s="52"/>
      <c r="O2257" s="52">
        <f t="shared" si="396"/>
        <v>0</v>
      </c>
      <c r="P2257" s="126"/>
      <c r="Q2257" s="52">
        <f t="shared" ref="Q2257:Q2293" si="397">I2257+M2257</f>
        <v>120580</v>
      </c>
      <c r="R2257" s="52">
        <f t="shared" ref="R2257:R2293" si="398">J2257+N2257</f>
        <v>0</v>
      </c>
      <c r="S2257" s="52">
        <f t="shared" ref="S2257:S2293" si="399">K2257+O2257</f>
        <v>120580</v>
      </c>
    </row>
    <row r="2258" spans="2:19" x14ac:dyDescent="0.2">
      <c r="B2258" s="79">
        <f t="shared" si="394"/>
        <v>115</v>
      </c>
      <c r="C2258" s="15"/>
      <c r="D2258" s="15"/>
      <c r="E2258" s="15"/>
      <c r="F2258" s="55" t="s">
        <v>77</v>
      </c>
      <c r="G2258" s="15">
        <v>630</v>
      </c>
      <c r="H2258" s="15" t="s">
        <v>128</v>
      </c>
      <c r="I2258" s="52">
        <f>SUM(I2259:I2262)</f>
        <v>51263</v>
      </c>
      <c r="J2258" s="52">
        <f>SUM(J2259:J2262)</f>
        <v>0</v>
      </c>
      <c r="K2258" s="52">
        <f t="shared" si="395"/>
        <v>51263</v>
      </c>
      <c r="L2258" s="126"/>
      <c r="M2258" s="52">
        <f>SUM(M2259:M2262)</f>
        <v>0</v>
      </c>
      <c r="N2258" s="52">
        <f>SUM(N2259:N2262)</f>
        <v>0</v>
      </c>
      <c r="O2258" s="52">
        <f t="shared" si="396"/>
        <v>0</v>
      </c>
      <c r="P2258" s="126"/>
      <c r="Q2258" s="52">
        <f t="shared" si="397"/>
        <v>51263</v>
      </c>
      <c r="R2258" s="52">
        <f t="shared" si="398"/>
        <v>0</v>
      </c>
      <c r="S2258" s="52">
        <f t="shared" si="399"/>
        <v>51263</v>
      </c>
    </row>
    <row r="2259" spans="2:19" x14ac:dyDescent="0.2">
      <c r="B2259" s="79">
        <f t="shared" si="394"/>
        <v>116</v>
      </c>
      <c r="C2259" s="4"/>
      <c r="D2259" s="4"/>
      <c r="E2259" s="4"/>
      <c r="F2259" s="56" t="s">
        <v>77</v>
      </c>
      <c r="G2259" s="4">
        <v>632</v>
      </c>
      <c r="H2259" s="4" t="s">
        <v>139</v>
      </c>
      <c r="I2259" s="26">
        <v>700</v>
      </c>
      <c r="J2259" s="26"/>
      <c r="K2259" s="26">
        <f t="shared" si="395"/>
        <v>700</v>
      </c>
      <c r="L2259" s="80"/>
      <c r="M2259" s="26"/>
      <c r="N2259" s="26"/>
      <c r="O2259" s="26">
        <f t="shared" si="396"/>
        <v>0</v>
      </c>
      <c r="P2259" s="80"/>
      <c r="Q2259" s="26">
        <f t="shared" si="397"/>
        <v>700</v>
      </c>
      <c r="R2259" s="26">
        <f t="shared" si="398"/>
        <v>0</v>
      </c>
      <c r="S2259" s="26">
        <f t="shared" si="399"/>
        <v>700</v>
      </c>
    </row>
    <row r="2260" spans="2:19" x14ac:dyDescent="0.2">
      <c r="B2260" s="79">
        <f t="shared" si="394"/>
        <v>117</v>
      </c>
      <c r="C2260" s="4"/>
      <c r="D2260" s="4"/>
      <c r="E2260" s="4"/>
      <c r="F2260" s="56" t="s">
        <v>77</v>
      </c>
      <c r="G2260" s="4">
        <v>633</v>
      </c>
      <c r="H2260" s="4" t="s">
        <v>132</v>
      </c>
      <c r="I2260" s="26">
        <f>2700+500</f>
        <v>3200</v>
      </c>
      <c r="J2260" s="26"/>
      <c r="K2260" s="26">
        <f t="shared" si="395"/>
        <v>3200</v>
      </c>
      <c r="L2260" s="80"/>
      <c r="M2260" s="26"/>
      <c r="N2260" s="26"/>
      <c r="O2260" s="26">
        <f t="shared" si="396"/>
        <v>0</v>
      </c>
      <c r="P2260" s="80"/>
      <c r="Q2260" s="26">
        <f t="shared" si="397"/>
        <v>3200</v>
      </c>
      <c r="R2260" s="26">
        <f t="shared" si="398"/>
        <v>0</v>
      </c>
      <c r="S2260" s="26">
        <f t="shared" si="399"/>
        <v>3200</v>
      </c>
    </row>
    <row r="2261" spans="2:19" x14ac:dyDescent="0.2">
      <c r="B2261" s="79">
        <f t="shared" si="394"/>
        <v>118</v>
      </c>
      <c r="C2261" s="4"/>
      <c r="D2261" s="4"/>
      <c r="E2261" s="4"/>
      <c r="F2261" s="56" t="s">
        <v>77</v>
      </c>
      <c r="G2261" s="4">
        <v>634</v>
      </c>
      <c r="H2261" s="4" t="s">
        <v>137</v>
      </c>
      <c r="I2261" s="26">
        <v>4900</v>
      </c>
      <c r="J2261" s="26"/>
      <c r="K2261" s="26">
        <f t="shared" si="395"/>
        <v>4900</v>
      </c>
      <c r="L2261" s="80"/>
      <c r="M2261" s="26"/>
      <c r="N2261" s="26"/>
      <c r="O2261" s="26">
        <f t="shared" si="396"/>
        <v>0</v>
      </c>
      <c r="P2261" s="80"/>
      <c r="Q2261" s="26">
        <f t="shared" si="397"/>
        <v>4900</v>
      </c>
      <c r="R2261" s="26">
        <f t="shared" si="398"/>
        <v>0</v>
      </c>
      <c r="S2261" s="26">
        <f t="shared" si="399"/>
        <v>4900</v>
      </c>
    </row>
    <row r="2262" spans="2:19" x14ac:dyDescent="0.2">
      <c r="B2262" s="79">
        <f t="shared" si="394"/>
        <v>119</v>
      </c>
      <c r="C2262" s="4"/>
      <c r="D2262" s="4"/>
      <c r="E2262" s="4"/>
      <c r="F2262" s="56" t="s">
        <v>77</v>
      </c>
      <c r="G2262" s="4">
        <v>637</v>
      </c>
      <c r="H2262" s="4" t="s">
        <v>129</v>
      </c>
      <c r="I2262" s="26">
        <f>25020+17443</f>
        <v>42463</v>
      </c>
      <c r="J2262" s="26"/>
      <c r="K2262" s="26">
        <f t="shared" si="395"/>
        <v>42463</v>
      </c>
      <c r="L2262" s="80"/>
      <c r="M2262" s="26"/>
      <c r="N2262" s="26"/>
      <c r="O2262" s="26">
        <f t="shared" si="396"/>
        <v>0</v>
      </c>
      <c r="P2262" s="80"/>
      <c r="Q2262" s="26">
        <f t="shared" si="397"/>
        <v>42463</v>
      </c>
      <c r="R2262" s="26">
        <f t="shared" si="398"/>
        <v>0</v>
      </c>
      <c r="S2262" s="26">
        <f t="shared" si="399"/>
        <v>42463</v>
      </c>
    </row>
    <row r="2263" spans="2:19" x14ac:dyDescent="0.2">
      <c r="B2263" s="79">
        <f t="shared" si="394"/>
        <v>120</v>
      </c>
      <c r="C2263" s="15"/>
      <c r="D2263" s="15"/>
      <c r="E2263" s="15"/>
      <c r="F2263" s="55" t="s">
        <v>77</v>
      </c>
      <c r="G2263" s="15">
        <v>640</v>
      </c>
      <c r="H2263" s="15" t="s">
        <v>135</v>
      </c>
      <c r="I2263" s="52">
        <f>2200+300+500+840</f>
        <v>3840</v>
      </c>
      <c r="J2263" s="52"/>
      <c r="K2263" s="52">
        <f t="shared" si="395"/>
        <v>3840</v>
      </c>
      <c r="L2263" s="126"/>
      <c r="M2263" s="52"/>
      <c r="N2263" s="52"/>
      <c r="O2263" s="52">
        <f t="shared" si="396"/>
        <v>0</v>
      </c>
      <c r="P2263" s="126"/>
      <c r="Q2263" s="52">
        <f t="shared" si="397"/>
        <v>3840</v>
      </c>
      <c r="R2263" s="52">
        <f t="shared" si="398"/>
        <v>0</v>
      </c>
      <c r="S2263" s="52">
        <f t="shared" si="399"/>
        <v>3840</v>
      </c>
    </row>
    <row r="2264" spans="2:19" ht="15" x14ac:dyDescent="0.2">
      <c r="B2264" s="79">
        <f t="shared" si="394"/>
        <v>121</v>
      </c>
      <c r="C2264" s="191">
        <v>8</v>
      </c>
      <c r="D2264" s="245" t="s">
        <v>207</v>
      </c>
      <c r="E2264" s="246"/>
      <c r="F2264" s="246"/>
      <c r="G2264" s="246"/>
      <c r="H2264" s="247"/>
      <c r="I2264" s="48">
        <f>I2265</f>
        <v>5000</v>
      </c>
      <c r="J2264" s="48">
        <f>J2265</f>
        <v>0</v>
      </c>
      <c r="K2264" s="48">
        <f t="shared" si="395"/>
        <v>5000</v>
      </c>
      <c r="L2264" s="201"/>
      <c r="M2264" s="48">
        <f>M2265</f>
        <v>0</v>
      </c>
      <c r="N2264" s="48">
        <f>N2265</f>
        <v>0</v>
      </c>
      <c r="O2264" s="48">
        <f t="shared" si="396"/>
        <v>0</v>
      </c>
      <c r="P2264" s="201"/>
      <c r="Q2264" s="48">
        <f t="shared" si="397"/>
        <v>5000</v>
      </c>
      <c r="R2264" s="48">
        <f t="shared" si="398"/>
        <v>0</v>
      </c>
      <c r="S2264" s="48">
        <f t="shared" si="399"/>
        <v>5000</v>
      </c>
    </row>
    <row r="2265" spans="2:19" x14ac:dyDescent="0.2">
      <c r="B2265" s="79">
        <f t="shared" si="394"/>
        <v>122</v>
      </c>
      <c r="C2265" s="15"/>
      <c r="D2265" s="15"/>
      <c r="E2265" s="15"/>
      <c r="F2265" s="55" t="s">
        <v>150</v>
      </c>
      <c r="G2265" s="15">
        <v>630</v>
      </c>
      <c r="H2265" s="15" t="s">
        <v>128</v>
      </c>
      <c r="I2265" s="52">
        <f>I2266</f>
        <v>5000</v>
      </c>
      <c r="J2265" s="52">
        <f>J2266</f>
        <v>0</v>
      </c>
      <c r="K2265" s="52">
        <f t="shared" si="395"/>
        <v>5000</v>
      </c>
      <c r="L2265" s="126"/>
      <c r="M2265" s="52">
        <f>M2266</f>
        <v>0</v>
      </c>
      <c r="N2265" s="52">
        <f>N2266</f>
        <v>0</v>
      </c>
      <c r="O2265" s="52">
        <f t="shared" si="396"/>
        <v>0</v>
      </c>
      <c r="P2265" s="126"/>
      <c r="Q2265" s="52">
        <f t="shared" si="397"/>
        <v>5000</v>
      </c>
      <c r="R2265" s="52">
        <f t="shared" si="398"/>
        <v>0</v>
      </c>
      <c r="S2265" s="52">
        <f t="shared" si="399"/>
        <v>5000</v>
      </c>
    </row>
    <row r="2266" spans="2:19" x14ac:dyDescent="0.2">
      <c r="B2266" s="79">
        <f t="shared" si="394"/>
        <v>123</v>
      </c>
      <c r="C2266" s="4"/>
      <c r="D2266" s="4"/>
      <c r="E2266" s="4"/>
      <c r="F2266" s="56" t="s">
        <v>150</v>
      </c>
      <c r="G2266" s="4">
        <v>637</v>
      </c>
      <c r="H2266" s="4" t="s">
        <v>129</v>
      </c>
      <c r="I2266" s="26">
        <f>2000+1000+2000</f>
        <v>5000</v>
      </c>
      <c r="J2266" s="26"/>
      <c r="K2266" s="26">
        <f t="shared" si="395"/>
        <v>5000</v>
      </c>
      <c r="L2266" s="80"/>
      <c r="M2266" s="26"/>
      <c r="N2266" s="26"/>
      <c r="O2266" s="26">
        <f t="shared" si="396"/>
        <v>0</v>
      </c>
      <c r="P2266" s="80"/>
      <c r="Q2266" s="26">
        <f t="shared" si="397"/>
        <v>5000</v>
      </c>
      <c r="R2266" s="26">
        <f t="shared" si="398"/>
        <v>0</v>
      </c>
      <c r="S2266" s="26">
        <f t="shared" si="399"/>
        <v>5000</v>
      </c>
    </row>
    <row r="2267" spans="2:19" ht="15" x14ac:dyDescent="0.2">
      <c r="B2267" s="79">
        <f t="shared" si="394"/>
        <v>124</v>
      </c>
      <c r="C2267" s="191">
        <v>9</v>
      </c>
      <c r="D2267" s="245" t="s">
        <v>182</v>
      </c>
      <c r="E2267" s="246"/>
      <c r="F2267" s="246"/>
      <c r="G2267" s="246"/>
      <c r="H2267" s="247"/>
      <c r="I2267" s="48">
        <f>I2268+I2271</f>
        <v>19165</v>
      </c>
      <c r="J2267" s="48">
        <f>J2268+J2271</f>
        <v>0</v>
      </c>
      <c r="K2267" s="48">
        <f t="shared" si="395"/>
        <v>19165</v>
      </c>
      <c r="L2267" s="201"/>
      <c r="M2267" s="48">
        <f>M2268+M2271</f>
        <v>0</v>
      </c>
      <c r="N2267" s="48">
        <f>N2268+N2271</f>
        <v>0</v>
      </c>
      <c r="O2267" s="48">
        <f t="shared" si="396"/>
        <v>0</v>
      </c>
      <c r="P2267" s="201"/>
      <c r="Q2267" s="48">
        <f t="shared" si="397"/>
        <v>19165</v>
      </c>
      <c r="R2267" s="48">
        <f t="shared" si="398"/>
        <v>0</v>
      </c>
      <c r="S2267" s="48">
        <f t="shared" si="399"/>
        <v>19165</v>
      </c>
    </row>
    <row r="2268" spans="2:19" x14ac:dyDescent="0.2">
      <c r="B2268" s="79">
        <f t="shared" si="394"/>
        <v>125</v>
      </c>
      <c r="C2268" s="15"/>
      <c r="D2268" s="15"/>
      <c r="E2268" s="15"/>
      <c r="F2268" s="55" t="s">
        <v>76</v>
      </c>
      <c r="G2268" s="15">
        <v>630</v>
      </c>
      <c r="H2268" s="15" t="s">
        <v>128</v>
      </c>
      <c r="I2268" s="52">
        <f>I2269+I2270</f>
        <v>14165</v>
      </c>
      <c r="J2268" s="52">
        <f>J2269+J2270</f>
        <v>0</v>
      </c>
      <c r="K2268" s="52">
        <f t="shared" si="395"/>
        <v>14165</v>
      </c>
      <c r="L2268" s="126"/>
      <c r="M2268" s="52">
        <f>M2269</f>
        <v>0</v>
      </c>
      <c r="N2268" s="52">
        <f>N2269</f>
        <v>0</v>
      </c>
      <c r="O2268" s="52">
        <f t="shared" si="396"/>
        <v>0</v>
      </c>
      <c r="P2268" s="126"/>
      <c r="Q2268" s="52">
        <f t="shared" si="397"/>
        <v>14165</v>
      </c>
      <c r="R2268" s="52">
        <f t="shared" si="398"/>
        <v>0</v>
      </c>
      <c r="S2268" s="52">
        <f t="shared" si="399"/>
        <v>14165</v>
      </c>
    </row>
    <row r="2269" spans="2:19" x14ac:dyDescent="0.2">
      <c r="B2269" s="79">
        <f t="shared" si="394"/>
        <v>126</v>
      </c>
      <c r="C2269" s="4"/>
      <c r="D2269" s="4"/>
      <c r="E2269" s="4"/>
      <c r="F2269" s="56" t="s">
        <v>76</v>
      </c>
      <c r="G2269" s="4">
        <v>637</v>
      </c>
      <c r="H2269" s="4" t="s">
        <v>129</v>
      </c>
      <c r="I2269" s="26">
        <f>12000-1000+3000</f>
        <v>14000</v>
      </c>
      <c r="J2269" s="26"/>
      <c r="K2269" s="26">
        <f t="shared" si="395"/>
        <v>14000</v>
      </c>
      <c r="L2269" s="80"/>
      <c r="M2269" s="26"/>
      <c r="N2269" s="26"/>
      <c r="O2269" s="26">
        <f t="shared" si="396"/>
        <v>0</v>
      </c>
      <c r="P2269" s="80"/>
      <c r="Q2269" s="26">
        <f t="shared" si="397"/>
        <v>14000</v>
      </c>
      <c r="R2269" s="26">
        <f t="shared" si="398"/>
        <v>0</v>
      </c>
      <c r="S2269" s="26">
        <f t="shared" si="399"/>
        <v>14000</v>
      </c>
    </row>
    <row r="2270" spans="2:19" x14ac:dyDescent="0.2">
      <c r="B2270" s="79">
        <f t="shared" si="394"/>
        <v>127</v>
      </c>
      <c r="C2270" s="4"/>
      <c r="D2270" s="4"/>
      <c r="E2270" s="4"/>
      <c r="F2270" s="56" t="s">
        <v>76</v>
      </c>
      <c r="G2270" s="4">
        <v>630</v>
      </c>
      <c r="H2270" s="4" t="s">
        <v>619</v>
      </c>
      <c r="I2270" s="26">
        <v>165</v>
      </c>
      <c r="J2270" s="26"/>
      <c r="K2270" s="26">
        <f t="shared" si="395"/>
        <v>165</v>
      </c>
      <c r="L2270" s="80"/>
      <c r="M2270" s="26"/>
      <c r="N2270" s="26"/>
      <c r="O2270" s="26">
        <f t="shared" si="396"/>
        <v>0</v>
      </c>
      <c r="P2270" s="80"/>
      <c r="Q2270" s="26">
        <f t="shared" si="397"/>
        <v>165</v>
      </c>
      <c r="R2270" s="26">
        <f t="shared" si="398"/>
        <v>0</v>
      </c>
      <c r="S2270" s="26">
        <f t="shared" si="399"/>
        <v>165</v>
      </c>
    </row>
    <row r="2271" spans="2:19" x14ac:dyDescent="0.2">
      <c r="B2271" s="79">
        <f t="shared" si="394"/>
        <v>128</v>
      </c>
      <c r="C2271" s="15"/>
      <c r="D2271" s="15"/>
      <c r="E2271" s="15"/>
      <c r="F2271" s="55" t="s">
        <v>76</v>
      </c>
      <c r="G2271" s="15">
        <v>640</v>
      </c>
      <c r="H2271" s="15" t="s">
        <v>135</v>
      </c>
      <c r="I2271" s="52">
        <f>I2272</f>
        <v>5000</v>
      </c>
      <c r="J2271" s="52">
        <f>J2272</f>
        <v>0</v>
      </c>
      <c r="K2271" s="52">
        <f t="shared" si="395"/>
        <v>5000</v>
      </c>
      <c r="L2271" s="126"/>
      <c r="M2271" s="52">
        <f>M2272</f>
        <v>0</v>
      </c>
      <c r="N2271" s="52">
        <f>N2272</f>
        <v>0</v>
      </c>
      <c r="O2271" s="52">
        <f t="shared" si="396"/>
        <v>0</v>
      </c>
      <c r="P2271" s="126"/>
      <c r="Q2271" s="52">
        <f t="shared" si="397"/>
        <v>5000</v>
      </c>
      <c r="R2271" s="52">
        <f t="shared" si="398"/>
        <v>0</v>
      </c>
      <c r="S2271" s="52">
        <f t="shared" si="399"/>
        <v>5000</v>
      </c>
    </row>
    <row r="2272" spans="2:19" ht="24" x14ac:dyDescent="0.2">
      <c r="B2272" s="79">
        <f t="shared" ref="B2272:B2293" si="400">B2271+1</f>
        <v>129</v>
      </c>
      <c r="C2272" s="88"/>
      <c r="D2272" s="104"/>
      <c r="E2272" s="88"/>
      <c r="F2272" s="87"/>
      <c r="G2272" s="88"/>
      <c r="H2272" s="86" t="s">
        <v>424</v>
      </c>
      <c r="I2272" s="69">
        <f>7000-2000</f>
        <v>5000</v>
      </c>
      <c r="J2272" s="69"/>
      <c r="K2272" s="69">
        <f t="shared" si="395"/>
        <v>5000</v>
      </c>
      <c r="L2272" s="166"/>
      <c r="M2272" s="69"/>
      <c r="N2272" s="69"/>
      <c r="O2272" s="69">
        <f t="shared" si="396"/>
        <v>0</v>
      </c>
      <c r="P2272" s="166"/>
      <c r="Q2272" s="69">
        <f t="shared" si="397"/>
        <v>5000</v>
      </c>
      <c r="R2272" s="69">
        <f t="shared" si="398"/>
        <v>0</v>
      </c>
      <c r="S2272" s="69">
        <f t="shared" si="399"/>
        <v>5000</v>
      </c>
    </row>
    <row r="2273" spans="1:19" ht="15" x14ac:dyDescent="0.2">
      <c r="B2273" s="79">
        <f t="shared" si="400"/>
        <v>130</v>
      </c>
      <c r="C2273" s="191">
        <v>10</v>
      </c>
      <c r="D2273" s="245" t="s">
        <v>183</v>
      </c>
      <c r="E2273" s="246"/>
      <c r="F2273" s="246"/>
      <c r="G2273" s="246"/>
      <c r="H2273" s="247"/>
      <c r="I2273" s="48">
        <f>I2274</f>
        <v>11925</v>
      </c>
      <c r="J2273" s="48">
        <f>J2274</f>
        <v>0</v>
      </c>
      <c r="K2273" s="48">
        <f t="shared" ref="K2273:K2293" si="401">I2273+J2273</f>
        <v>11925</v>
      </c>
      <c r="L2273" s="201"/>
      <c r="M2273" s="48">
        <f>M2274</f>
        <v>0</v>
      </c>
      <c r="N2273" s="48">
        <f>N2274</f>
        <v>0</v>
      </c>
      <c r="O2273" s="48">
        <f t="shared" ref="O2273:O2293" si="402">M2273+N2273</f>
        <v>0</v>
      </c>
      <c r="P2273" s="201"/>
      <c r="Q2273" s="48">
        <f t="shared" si="397"/>
        <v>11925</v>
      </c>
      <c r="R2273" s="48">
        <f t="shared" si="398"/>
        <v>0</v>
      </c>
      <c r="S2273" s="48">
        <f t="shared" si="399"/>
        <v>11925</v>
      </c>
    </row>
    <row r="2274" spans="1:19" ht="15" x14ac:dyDescent="0.25">
      <c r="B2274" s="79">
        <f t="shared" si="400"/>
        <v>131</v>
      </c>
      <c r="C2274" s="18"/>
      <c r="D2274" s="18"/>
      <c r="E2274" s="18">
        <v>5</v>
      </c>
      <c r="F2274" s="53"/>
      <c r="G2274" s="18"/>
      <c r="H2274" s="18" t="s">
        <v>266</v>
      </c>
      <c r="I2274" s="50">
        <f>I2275+I2276+I2277+I2281</f>
        <v>11925</v>
      </c>
      <c r="J2274" s="50">
        <f>J2275+J2276+J2277+J2281</f>
        <v>0</v>
      </c>
      <c r="K2274" s="50">
        <f t="shared" si="401"/>
        <v>11925</v>
      </c>
      <c r="L2274" s="203"/>
      <c r="M2274" s="50">
        <f>M2275+M2276+M2277+M2281</f>
        <v>0</v>
      </c>
      <c r="N2274" s="50">
        <f>N2275+N2276+N2277+N2281</f>
        <v>0</v>
      </c>
      <c r="O2274" s="50">
        <f t="shared" si="402"/>
        <v>0</v>
      </c>
      <c r="P2274" s="203"/>
      <c r="Q2274" s="50">
        <f t="shared" si="397"/>
        <v>11925</v>
      </c>
      <c r="R2274" s="50">
        <f t="shared" si="398"/>
        <v>0</v>
      </c>
      <c r="S2274" s="50">
        <f t="shared" si="399"/>
        <v>11925</v>
      </c>
    </row>
    <row r="2275" spans="1:19" x14ac:dyDescent="0.2">
      <c r="B2275" s="79">
        <f t="shared" si="400"/>
        <v>132</v>
      </c>
      <c r="C2275" s="15"/>
      <c r="D2275" s="15"/>
      <c r="E2275" s="15"/>
      <c r="F2275" s="55" t="s">
        <v>77</v>
      </c>
      <c r="G2275" s="15">
        <v>610</v>
      </c>
      <c r="H2275" s="15" t="s">
        <v>136</v>
      </c>
      <c r="I2275" s="52">
        <v>6705</v>
      </c>
      <c r="J2275" s="52"/>
      <c r="K2275" s="52">
        <f t="shared" si="401"/>
        <v>6705</v>
      </c>
      <c r="L2275" s="126"/>
      <c r="M2275" s="52"/>
      <c r="N2275" s="52"/>
      <c r="O2275" s="52">
        <f t="shared" si="402"/>
        <v>0</v>
      </c>
      <c r="P2275" s="126"/>
      <c r="Q2275" s="52">
        <f t="shared" si="397"/>
        <v>6705</v>
      </c>
      <c r="R2275" s="52">
        <f t="shared" si="398"/>
        <v>0</v>
      </c>
      <c r="S2275" s="52">
        <f t="shared" si="399"/>
        <v>6705</v>
      </c>
    </row>
    <row r="2276" spans="1:19" x14ac:dyDescent="0.2">
      <c r="B2276" s="79">
        <f t="shared" si="400"/>
        <v>133</v>
      </c>
      <c r="C2276" s="15"/>
      <c r="D2276" s="15"/>
      <c r="E2276" s="15"/>
      <c r="F2276" s="55" t="s">
        <v>77</v>
      </c>
      <c r="G2276" s="15">
        <v>620</v>
      </c>
      <c r="H2276" s="15" t="s">
        <v>131</v>
      </c>
      <c r="I2276" s="52">
        <f>2350-300</f>
        <v>2050</v>
      </c>
      <c r="J2276" s="52"/>
      <c r="K2276" s="52">
        <f t="shared" si="401"/>
        <v>2050</v>
      </c>
      <c r="L2276" s="126"/>
      <c r="M2276" s="52"/>
      <c r="N2276" s="52"/>
      <c r="O2276" s="52">
        <f t="shared" si="402"/>
        <v>0</v>
      </c>
      <c r="P2276" s="126"/>
      <c r="Q2276" s="52">
        <f t="shared" si="397"/>
        <v>2050</v>
      </c>
      <c r="R2276" s="52">
        <f t="shared" si="398"/>
        <v>0</v>
      </c>
      <c r="S2276" s="52">
        <f t="shared" si="399"/>
        <v>2050</v>
      </c>
    </row>
    <row r="2277" spans="1:19" x14ac:dyDescent="0.2">
      <c r="B2277" s="79">
        <f t="shared" si="400"/>
        <v>134</v>
      </c>
      <c r="C2277" s="15"/>
      <c r="D2277" s="15"/>
      <c r="E2277" s="15"/>
      <c r="F2277" s="55" t="s">
        <v>77</v>
      </c>
      <c r="G2277" s="15">
        <v>630</v>
      </c>
      <c r="H2277" s="15" t="s">
        <v>128</v>
      </c>
      <c r="I2277" s="52">
        <f>I2280+I2279+I2278</f>
        <v>3140</v>
      </c>
      <c r="J2277" s="52">
        <f>J2280+J2279+J2278</f>
        <v>0</v>
      </c>
      <c r="K2277" s="52">
        <f t="shared" si="401"/>
        <v>3140</v>
      </c>
      <c r="L2277" s="126"/>
      <c r="M2277" s="52">
        <v>0</v>
      </c>
      <c r="N2277" s="52"/>
      <c r="O2277" s="52">
        <f t="shared" si="402"/>
        <v>0</v>
      </c>
      <c r="P2277" s="126"/>
      <c r="Q2277" s="52">
        <f t="shared" si="397"/>
        <v>3140</v>
      </c>
      <c r="R2277" s="52">
        <f t="shared" si="398"/>
        <v>0</v>
      </c>
      <c r="S2277" s="52">
        <f t="shared" si="399"/>
        <v>3140</v>
      </c>
    </row>
    <row r="2278" spans="1:19" x14ac:dyDescent="0.2">
      <c r="B2278" s="79">
        <f t="shared" si="400"/>
        <v>135</v>
      </c>
      <c r="C2278" s="4"/>
      <c r="D2278" s="4"/>
      <c r="E2278" s="4"/>
      <c r="F2278" s="56" t="s">
        <v>77</v>
      </c>
      <c r="G2278" s="4">
        <v>632</v>
      </c>
      <c r="H2278" s="4" t="s">
        <v>139</v>
      </c>
      <c r="I2278" s="26">
        <v>70</v>
      </c>
      <c r="J2278" s="26"/>
      <c r="K2278" s="26">
        <f t="shared" si="401"/>
        <v>70</v>
      </c>
      <c r="L2278" s="80"/>
      <c r="M2278" s="26"/>
      <c r="N2278" s="26"/>
      <c r="O2278" s="26">
        <f t="shared" si="402"/>
        <v>0</v>
      </c>
      <c r="P2278" s="80"/>
      <c r="Q2278" s="26">
        <f t="shared" si="397"/>
        <v>70</v>
      </c>
      <c r="R2278" s="26">
        <f t="shared" si="398"/>
        <v>0</v>
      </c>
      <c r="S2278" s="26">
        <f t="shared" si="399"/>
        <v>70</v>
      </c>
    </row>
    <row r="2279" spans="1:19" s="105" customFormat="1" x14ac:dyDescent="0.2">
      <c r="A2279" s="103"/>
      <c r="B2279" s="79">
        <f t="shared" si="400"/>
        <v>136</v>
      </c>
      <c r="C2279" s="4"/>
      <c r="D2279" s="4"/>
      <c r="E2279" s="4"/>
      <c r="F2279" s="56" t="s">
        <v>77</v>
      </c>
      <c r="G2279" s="4">
        <v>634</v>
      </c>
      <c r="H2279" s="4" t="s">
        <v>137</v>
      </c>
      <c r="I2279" s="26">
        <v>2400</v>
      </c>
      <c r="J2279" s="26"/>
      <c r="K2279" s="26">
        <f t="shared" si="401"/>
        <v>2400</v>
      </c>
      <c r="L2279" s="80"/>
      <c r="M2279" s="26"/>
      <c r="N2279" s="26"/>
      <c r="O2279" s="26">
        <f t="shared" si="402"/>
        <v>0</v>
      </c>
      <c r="P2279" s="80"/>
      <c r="Q2279" s="26">
        <f t="shared" si="397"/>
        <v>2400</v>
      </c>
      <c r="R2279" s="26">
        <f t="shared" si="398"/>
        <v>0</v>
      </c>
      <c r="S2279" s="26">
        <f t="shared" si="399"/>
        <v>2400</v>
      </c>
    </row>
    <row r="2280" spans="1:19" x14ac:dyDescent="0.2">
      <c r="B2280" s="79">
        <f t="shared" si="400"/>
        <v>137</v>
      </c>
      <c r="C2280" s="4"/>
      <c r="D2280" s="4"/>
      <c r="E2280" s="4"/>
      <c r="F2280" s="56" t="s">
        <v>77</v>
      </c>
      <c r="G2280" s="4">
        <v>637</v>
      </c>
      <c r="H2280" s="4" t="s">
        <v>129</v>
      </c>
      <c r="I2280" s="26">
        <v>670</v>
      </c>
      <c r="J2280" s="26"/>
      <c r="K2280" s="26">
        <f t="shared" si="401"/>
        <v>670</v>
      </c>
      <c r="L2280" s="80"/>
      <c r="M2280" s="26"/>
      <c r="N2280" s="26"/>
      <c r="O2280" s="26">
        <f t="shared" si="402"/>
        <v>0</v>
      </c>
      <c r="P2280" s="80"/>
      <c r="Q2280" s="26">
        <f t="shared" si="397"/>
        <v>670</v>
      </c>
      <c r="R2280" s="26">
        <f t="shared" si="398"/>
        <v>0</v>
      </c>
      <c r="S2280" s="26">
        <f t="shared" si="399"/>
        <v>670</v>
      </c>
    </row>
    <row r="2281" spans="1:19" x14ac:dyDescent="0.2">
      <c r="B2281" s="79">
        <f t="shared" si="400"/>
        <v>138</v>
      </c>
      <c r="C2281" s="15"/>
      <c r="D2281" s="15"/>
      <c r="E2281" s="15"/>
      <c r="F2281" s="55" t="s">
        <v>77</v>
      </c>
      <c r="G2281" s="15">
        <v>640</v>
      </c>
      <c r="H2281" s="15" t="s">
        <v>135</v>
      </c>
      <c r="I2281" s="52">
        <v>30</v>
      </c>
      <c r="J2281" s="52"/>
      <c r="K2281" s="52">
        <f t="shared" si="401"/>
        <v>30</v>
      </c>
      <c r="L2281" s="126"/>
      <c r="M2281" s="52"/>
      <c r="N2281" s="52"/>
      <c r="O2281" s="52">
        <f t="shared" si="402"/>
        <v>0</v>
      </c>
      <c r="P2281" s="126"/>
      <c r="Q2281" s="52">
        <f t="shared" si="397"/>
        <v>30</v>
      </c>
      <c r="R2281" s="52">
        <f t="shared" si="398"/>
        <v>0</v>
      </c>
      <c r="S2281" s="52">
        <f t="shared" si="399"/>
        <v>30</v>
      </c>
    </row>
    <row r="2282" spans="1:19" ht="15" x14ac:dyDescent="0.2">
      <c r="B2282" s="79">
        <f t="shared" si="400"/>
        <v>139</v>
      </c>
      <c r="C2282" s="191">
        <v>11</v>
      </c>
      <c r="D2282" s="245" t="s">
        <v>71</v>
      </c>
      <c r="E2282" s="246"/>
      <c r="F2282" s="246"/>
      <c r="G2282" s="246"/>
      <c r="H2282" s="247"/>
      <c r="I2282" s="48">
        <f>I2283</f>
        <v>145836</v>
      </c>
      <c r="J2282" s="48">
        <f>J2283</f>
        <v>0</v>
      </c>
      <c r="K2282" s="48">
        <f t="shared" si="401"/>
        <v>145836</v>
      </c>
      <c r="L2282" s="201"/>
      <c r="M2282" s="48">
        <f>M2283</f>
        <v>0</v>
      </c>
      <c r="N2282" s="48">
        <f>N2283</f>
        <v>0</v>
      </c>
      <c r="O2282" s="48">
        <f t="shared" si="402"/>
        <v>0</v>
      </c>
      <c r="P2282" s="201"/>
      <c r="Q2282" s="48">
        <f t="shared" si="397"/>
        <v>145836</v>
      </c>
      <c r="R2282" s="48">
        <f t="shared" si="398"/>
        <v>0</v>
      </c>
      <c r="S2282" s="48">
        <f t="shared" si="399"/>
        <v>145836</v>
      </c>
    </row>
    <row r="2283" spans="1:19" ht="15" x14ac:dyDescent="0.25">
      <c r="B2283" s="79">
        <f t="shared" si="400"/>
        <v>140</v>
      </c>
      <c r="C2283" s="18"/>
      <c r="D2283" s="18"/>
      <c r="E2283" s="18">
        <v>5</v>
      </c>
      <c r="F2283" s="53"/>
      <c r="G2283" s="18"/>
      <c r="H2283" s="18" t="s">
        <v>266</v>
      </c>
      <c r="I2283" s="50">
        <f>I2284+I2285+I2286</f>
        <v>145836</v>
      </c>
      <c r="J2283" s="50">
        <f>J2284+J2285+J2286</f>
        <v>0</v>
      </c>
      <c r="K2283" s="50">
        <f t="shared" si="401"/>
        <v>145836</v>
      </c>
      <c r="L2283" s="203"/>
      <c r="M2283" s="50">
        <v>0</v>
      </c>
      <c r="N2283" s="50"/>
      <c r="O2283" s="50">
        <f t="shared" si="402"/>
        <v>0</v>
      </c>
      <c r="P2283" s="203"/>
      <c r="Q2283" s="50">
        <f t="shared" si="397"/>
        <v>145836</v>
      </c>
      <c r="R2283" s="50">
        <f t="shared" si="398"/>
        <v>0</v>
      </c>
      <c r="S2283" s="50">
        <f t="shared" si="399"/>
        <v>145836</v>
      </c>
    </row>
    <row r="2284" spans="1:19" x14ac:dyDescent="0.2">
      <c r="B2284" s="79">
        <f t="shared" si="400"/>
        <v>141</v>
      </c>
      <c r="C2284" s="15"/>
      <c r="D2284" s="15"/>
      <c r="E2284" s="15"/>
      <c r="F2284" s="55" t="s">
        <v>252</v>
      </c>
      <c r="G2284" s="15">
        <v>610</v>
      </c>
      <c r="H2284" s="15" t="s">
        <v>136</v>
      </c>
      <c r="I2284" s="52">
        <f>79485+4500+1900</f>
        <v>85885</v>
      </c>
      <c r="J2284" s="52"/>
      <c r="K2284" s="52">
        <f t="shared" si="401"/>
        <v>85885</v>
      </c>
      <c r="L2284" s="126"/>
      <c r="M2284" s="52"/>
      <c r="N2284" s="52"/>
      <c r="O2284" s="52">
        <f t="shared" si="402"/>
        <v>0</v>
      </c>
      <c r="P2284" s="126"/>
      <c r="Q2284" s="52">
        <f t="shared" si="397"/>
        <v>85885</v>
      </c>
      <c r="R2284" s="52">
        <f t="shared" si="398"/>
        <v>0</v>
      </c>
      <c r="S2284" s="52">
        <f t="shared" si="399"/>
        <v>85885</v>
      </c>
    </row>
    <row r="2285" spans="1:19" x14ac:dyDescent="0.2">
      <c r="B2285" s="79">
        <f t="shared" si="400"/>
        <v>142</v>
      </c>
      <c r="C2285" s="15"/>
      <c r="D2285" s="15"/>
      <c r="E2285" s="15"/>
      <c r="F2285" s="55" t="s">
        <v>252</v>
      </c>
      <c r="G2285" s="15">
        <v>620</v>
      </c>
      <c r="H2285" s="15" t="s">
        <v>131</v>
      </c>
      <c r="I2285" s="52">
        <f>27820+3090</f>
        <v>30910</v>
      </c>
      <c r="J2285" s="52"/>
      <c r="K2285" s="52">
        <f t="shared" si="401"/>
        <v>30910</v>
      </c>
      <c r="L2285" s="126"/>
      <c r="M2285" s="52"/>
      <c r="N2285" s="52"/>
      <c r="O2285" s="52">
        <f t="shared" si="402"/>
        <v>0</v>
      </c>
      <c r="P2285" s="126"/>
      <c r="Q2285" s="52">
        <f t="shared" si="397"/>
        <v>30910</v>
      </c>
      <c r="R2285" s="52">
        <f t="shared" si="398"/>
        <v>0</v>
      </c>
      <c r="S2285" s="52">
        <f t="shared" si="399"/>
        <v>30910</v>
      </c>
    </row>
    <row r="2286" spans="1:19" x14ac:dyDescent="0.2">
      <c r="B2286" s="79">
        <f t="shared" si="400"/>
        <v>143</v>
      </c>
      <c r="C2286" s="15"/>
      <c r="D2286" s="15"/>
      <c r="E2286" s="15"/>
      <c r="F2286" s="55" t="s">
        <v>252</v>
      </c>
      <c r="G2286" s="15">
        <v>630</v>
      </c>
      <c r="H2286" s="15" t="s">
        <v>128</v>
      </c>
      <c r="I2286" s="52">
        <f>I2292+I2291+I2290+I2289+I2288+I2287+I2293</f>
        <v>29041</v>
      </c>
      <c r="J2286" s="52">
        <f>J2292+J2291+J2290+J2289+J2288+J2287+J2293</f>
        <v>0</v>
      </c>
      <c r="K2286" s="52">
        <f t="shared" si="401"/>
        <v>29041</v>
      </c>
      <c r="L2286" s="126"/>
      <c r="M2286" s="52">
        <f>M2292+M2291+M2290+M2289+M2288+M2287</f>
        <v>0</v>
      </c>
      <c r="N2286" s="52">
        <f>N2292+N2291+N2290+N2289+N2288+N2287</f>
        <v>0</v>
      </c>
      <c r="O2286" s="52">
        <f t="shared" si="402"/>
        <v>0</v>
      </c>
      <c r="P2286" s="126"/>
      <c r="Q2286" s="52">
        <f t="shared" si="397"/>
        <v>29041</v>
      </c>
      <c r="R2286" s="52">
        <f t="shared" si="398"/>
        <v>0</v>
      </c>
      <c r="S2286" s="52">
        <f t="shared" si="399"/>
        <v>29041</v>
      </c>
    </row>
    <row r="2287" spans="1:19" x14ac:dyDescent="0.2">
      <c r="B2287" s="79">
        <f t="shared" si="400"/>
        <v>144</v>
      </c>
      <c r="C2287" s="4"/>
      <c r="D2287" s="4"/>
      <c r="E2287" s="4"/>
      <c r="F2287" s="56" t="s">
        <v>252</v>
      </c>
      <c r="G2287" s="4">
        <v>631</v>
      </c>
      <c r="H2287" s="4" t="s">
        <v>134</v>
      </c>
      <c r="I2287" s="26">
        <v>300</v>
      </c>
      <c r="J2287" s="26"/>
      <c r="K2287" s="26">
        <f t="shared" si="401"/>
        <v>300</v>
      </c>
      <c r="L2287" s="80"/>
      <c r="M2287" s="26"/>
      <c r="N2287" s="26"/>
      <c r="O2287" s="26">
        <f t="shared" si="402"/>
        <v>0</v>
      </c>
      <c r="P2287" s="80"/>
      <c r="Q2287" s="26">
        <f t="shared" si="397"/>
        <v>300</v>
      </c>
      <c r="R2287" s="26">
        <f t="shared" si="398"/>
        <v>0</v>
      </c>
      <c r="S2287" s="26">
        <f t="shared" si="399"/>
        <v>300</v>
      </c>
    </row>
    <row r="2288" spans="1:19" x14ac:dyDescent="0.2">
      <c r="B2288" s="79">
        <f t="shared" si="400"/>
        <v>145</v>
      </c>
      <c r="C2288" s="4"/>
      <c r="D2288" s="4"/>
      <c r="E2288" s="4"/>
      <c r="F2288" s="56" t="s">
        <v>252</v>
      </c>
      <c r="G2288" s="4">
        <v>632</v>
      </c>
      <c r="H2288" s="4" t="s">
        <v>139</v>
      </c>
      <c r="I2288" s="26">
        <v>2300</v>
      </c>
      <c r="J2288" s="26"/>
      <c r="K2288" s="26">
        <f t="shared" si="401"/>
        <v>2300</v>
      </c>
      <c r="L2288" s="80"/>
      <c r="M2288" s="26"/>
      <c r="N2288" s="26"/>
      <c r="O2288" s="26">
        <f t="shared" si="402"/>
        <v>0</v>
      </c>
      <c r="P2288" s="80"/>
      <c r="Q2288" s="26">
        <f t="shared" si="397"/>
        <v>2300</v>
      </c>
      <c r="R2288" s="26">
        <f t="shared" si="398"/>
        <v>0</v>
      </c>
      <c r="S2288" s="26">
        <f t="shared" si="399"/>
        <v>2300</v>
      </c>
    </row>
    <row r="2289" spans="2:19" x14ac:dyDescent="0.2">
      <c r="B2289" s="79">
        <f t="shared" si="400"/>
        <v>146</v>
      </c>
      <c r="C2289" s="4"/>
      <c r="D2289" s="4"/>
      <c r="E2289" s="4"/>
      <c r="F2289" s="56" t="s">
        <v>252</v>
      </c>
      <c r="G2289" s="4">
        <v>633</v>
      </c>
      <c r="H2289" s="4" t="s">
        <v>132</v>
      </c>
      <c r="I2289" s="26">
        <v>3160</v>
      </c>
      <c r="J2289" s="26"/>
      <c r="K2289" s="26">
        <f t="shared" si="401"/>
        <v>3160</v>
      </c>
      <c r="L2289" s="80"/>
      <c r="M2289" s="26"/>
      <c r="N2289" s="26"/>
      <c r="O2289" s="26">
        <f t="shared" si="402"/>
        <v>0</v>
      </c>
      <c r="P2289" s="80"/>
      <c r="Q2289" s="26">
        <f t="shared" si="397"/>
        <v>3160</v>
      </c>
      <c r="R2289" s="26">
        <f t="shared" si="398"/>
        <v>0</v>
      </c>
      <c r="S2289" s="26">
        <f t="shared" si="399"/>
        <v>3160</v>
      </c>
    </row>
    <row r="2290" spans="2:19" x14ac:dyDescent="0.2">
      <c r="B2290" s="79">
        <f t="shared" si="400"/>
        <v>147</v>
      </c>
      <c r="C2290" s="4"/>
      <c r="D2290" s="4"/>
      <c r="E2290" s="4"/>
      <c r="F2290" s="56" t="s">
        <v>252</v>
      </c>
      <c r="G2290" s="4">
        <v>634</v>
      </c>
      <c r="H2290" s="4" t="s">
        <v>137</v>
      </c>
      <c r="I2290" s="26">
        <f>543+145+300</f>
        <v>988</v>
      </c>
      <c r="J2290" s="26"/>
      <c r="K2290" s="26">
        <f t="shared" si="401"/>
        <v>988</v>
      </c>
      <c r="L2290" s="80"/>
      <c r="M2290" s="26"/>
      <c r="N2290" s="26"/>
      <c r="O2290" s="26">
        <f t="shared" si="402"/>
        <v>0</v>
      </c>
      <c r="P2290" s="80"/>
      <c r="Q2290" s="26">
        <f t="shared" si="397"/>
        <v>988</v>
      </c>
      <c r="R2290" s="26">
        <f t="shared" si="398"/>
        <v>0</v>
      </c>
      <c r="S2290" s="26">
        <f t="shared" si="399"/>
        <v>988</v>
      </c>
    </row>
    <row r="2291" spans="2:19" x14ac:dyDescent="0.2">
      <c r="B2291" s="79">
        <f t="shared" si="400"/>
        <v>148</v>
      </c>
      <c r="C2291" s="4"/>
      <c r="D2291" s="4"/>
      <c r="E2291" s="4"/>
      <c r="F2291" s="56" t="s">
        <v>252</v>
      </c>
      <c r="G2291" s="4">
        <v>635</v>
      </c>
      <c r="H2291" s="4" t="s">
        <v>138</v>
      </c>
      <c r="I2291" s="26">
        <v>1600</v>
      </c>
      <c r="J2291" s="26"/>
      <c r="K2291" s="26">
        <f t="shared" si="401"/>
        <v>1600</v>
      </c>
      <c r="L2291" s="80"/>
      <c r="M2291" s="26"/>
      <c r="N2291" s="26"/>
      <c r="O2291" s="26">
        <f t="shared" si="402"/>
        <v>0</v>
      </c>
      <c r="P2291" s="80"/>
      <c r="Q2291" s="26">
        <f t="shared" si="397"/>
        <v>1600</v>
      </c>
      <c r="R2291" s="26">
        <f t="shared" si="398"/>
        <v>0</v>
      </c>
      <c r="S2291" s="26">
        <f t="shared" si="399"/>
        <v>1600</v>
      </c>
    </row>
    <row r="2292" spans="2:19" x14ac:dyDescent="0.2">
      <c r="B2292" s="79">
        <f t="shared" si="400"/>
        <v>149</v>
      </c>
      <c r="C2292" s="4"/>
      <c r="D2292" s="4"/>
      <c r="E2292" s="4"/>
      <c r="F2292" s="56" t="s">
        <v>252</v>
      </c>
      <c r="G2292" s="4">
        <v>637</v>
      </c>
      <c r="H2292" s="4" t="s">
        <v>129</v>
      </c>
      <c r="I2292" s="26">
        <f>20172+521</f>
        <v>20693</v>
      </c>
      <c r="J2292" s="26"/>
      <c r="K2292" s="26">
        <f t="shared" si="401"/>
        <v>20693</v>
      </c>
      <c r="L2292" s="80"/>
      <c r="M2292" s="26"/>
      <c r="N2292" s="26"/>
      <c r="O2292" s="26">
        <f t="shared" si="402"/>
        <v>0</v>
      </c>
      <c r="P2292" s="80"/>
      <c r="Q2292" s="26">
        <f t="shared" si="397"/>
        <v>20693</v>
      </c>
      <c r="R2292" s="26">
        <f t="shared" si="398"/>
        <v>0</v>
      </c>
      <c r="S2292" s="26">
        <f t="shared" si="399"/>
        <v>20693</v>
      </c>
    </row>
    <row r="2293" spans="2:19" x14ac:dyDescent="0.2">
      <c r="B2293" s="79">
        <f t="shared" si="400"/>
        <v>150</v>
      </c>
      <c r="C2293" s="4"/>
      <c r="D2293" s="4"/>
      <c r="E2293" s="4"/>
      <c r="F2293" s="56" t="s">
        <v>252</v>
      </c>
      <c r="G2293" s="4">
        <v>630</v>
      </c>
      <c r="H2293" s="4" t="s">
        <v>556</v>
      </c>
      <c r="I2293" s="26">
        <f>44697-21000-10159-6890-6648</f>
        <v>0</v>
      </c>
      <c r="J2293" s="26">
        <f>44697-21000-10159-6890-6648</f>
        <v>0</v>
      </c>
      <c r="K2293" s="26">
        <f t="shared" si="401"/>
        <v>0</v>
      </c>
      <c r="L2293" s="80"/>
      <c r="M2293" s="26"/>
      <c r="N2293" s="26"/>
      <c r="O2293" s="26">
        <f t="shared" si="402"/>
        <v>0</v>
      </c>
      <c r="P2293" s="80"/>
      <c r="Q2293" s="26">
        <f t="shared" si="397"/>
        <v>0</v>
      </c>
      <c r="R2293" s="26">
        <f t="shared" si="398"/>
        <v>0</v>
      </c>
      <c r="S2293" s="26">
        <f t="shared" si="399"/>
        <v>0</v>
      </c>
    </row>
    <row r="2298" spans="2:19" ht="27" x14ac:dyDescent="0.35">
      <c r="B2298" s="248" t="s">
        <v>311</v>
      </c>
      <c r="C2298" s="249"/>
      <c r="D2298" s="249"/>
      <c r="E2298" s="249"/>
      <c r="F2298" s="249"/>
      <c r="G2298" s="249"/>
      <c r="H2298" s="249"/>
      <c r="I2298" s="249"/>
      <c r="J2298" s="249"/>
      <c r="K2298" s="249"/>
      <c r="L2298" s="249"/>
      <c r="M2298" s="249"/>
      <c r="N2298" s="249"/>
      <c r="O2298" s="249"/>
      <c r="P2298" s="249"/>
      <c r="Q2298" s="249"/>
    </row>
    <row r="2299" spans="2:19" ht="12.75" customHeight="1" x14ac:dyDescent="0.2">
      <c r="B2299" s="260" t="s">
        <v>281</v>
      </c>
      <c r="C2299" s="261"/>
      <c r="D2299" s="261"/>
      <c r="E2299" s="261"/>
      <c r="F2299" s="261"/>
      <c r="G2299" s="261"/>
      <c r="H2299" s="261"/>
      <c r="I2299" s="261"/>
      <c r="J2299" s="261"/>
      <c r="K2299" s="261"/>
      <c r="L2299" s="261"/>
      <c r="M2299" s="261"/>
      <c r="N2299" s="261"/>
      <c r="O2299" s="262"/>
      <c r="P2299" s="208"/>
      <c r="Q2299" s="250" t="s">
        <v>779</v>
      </c>
      <c r="R2299" s="250" t="s">
        <v>773</v>
      </c>
      <c r="S2299" s="250" t="s">
        <v>774</v>
      </c>
    </row>
    <row r="2300" spans="2:19" ht="12.75" customHeight="1" x14ac:dyDescent="0.2">
      <c r="B2300" s="253" t="s">
        <v>112</v>
      </c>
      <c r="C2300" s="255" t="s">
        <v>120</v>
      </c>
      <c r="D2300" s="255" t="s">
        <v>121</v>
      </c>
      <c r="E2300" s="257" t="s">
        <v>125</v>
      </c>
      <c r="F2300" s="255" t="s">
        <v>122</v>
      </c>
      <c r="G2300" s="255" t="s">
        <v>123</v>
      </c>
      <c r="H2300" s="263" t="s">
        <v>124</v>
      </c>
      <c r="I2300" s="250" t="s">
        <v>777</v>
      </c>
      <c r="J2300" s="251" t="s">
        <v>773</v>
      </c>
      <c r="K2300" s="251" t="s">
        <v>775</v>
      </c>
      <c r="L2300" s="197"/>
      <c r="M2300" s="250" t="s">
        <v>778</v>
      </c>
      <c r="N2300" s="251" t="s">
        <v>773</v>
      </c>
      <c r="O2300" s="251" t="s">
        <v>776</v>
      </c>
      <c r="P2300" s="198"/>
      <c r="Q2300" s="251"/>
      <c r="R2300" s="251"/>
      <c r="S2300" s="251"/>
    </row>
    <row r="2301" spans="2:19" x14ac:dyDescent="0.2">
      <c r="B2301" s="253"/>
      <c r="C2301" s="255"/>
      <c r="D2301" s="255"/>
      <c r="E2301" s="258"/>
      <c r="F2301" s="255"/>
      <c r="G2301" s="255"/>
      <c r="H2301" s="263"/>
      <c r="I2301" s="251"/>
      <c r="J2301" s="251"/>
      <c r="K2301" s="251"/>
      <c r="L2301" s="198"/>
      <c r="M2301" s="251"/>
      <c r="N2301" s="251"/>
      <c r="O2301" s="251"/>
      <c r="P2301" s="198"/>
      <c r="Q2301" s="251"/>
      <c r="R2301" s="251"/>
      <c r="S2301" s="251"/>
    </row>
    <row r="2302" spans="2:19" x14ac:dyDescent="0.2">
      <c r="B2302" s="253"/>
      <c r="C2302" s="255"/>
      <c r="D2302" s="255"/>
      <c r="E2302" s="258"/>
      <c r="F2302" s="255"/>
      <c r="G2302" s="255"/>
      <c r="H2302" s="263"/>
      <c r="I2302" s="251"/>
      <c r="J2302" s="251"/>
      <c r="K2302" s="251"/>
      <c r="L2302" s="198"/>
      <c r="M2302" s="251"/>
      <c r="N2302" s="251"/>
      <c r="O2302" s="251"/>
      <c r="P2302" s="198"/>
      <c r="Q2302" s="251"/>
      <c r="R2302" s="251"/>
      <c r="S2302" s="251"/>
    </row>
    <row r="2303" spans="2:19" ht="13.5" thickBot="1" x14ac:dyDescent="0.25">
      <c r="B2303" s="254"/>
      <c r="C2303" s="256"/>
      <c r="D2303" s="256"/>
      <c r="E2303" s="259"/>
      <c r="F2303" s="256"/>
      <c r="G2303" s="256"/>
      <c r="H2303" s="264"/>
      <c r="I2303" s="252"/>
      <c r="J2303" s="252"/>
      <c r="K2303" s="252"/>
      <c r="L2303" s="199"/>
      <c r="M2303" s="252"/>
      <c r="N2303" s="252"/>
      <c r="O2303" s="252"/>
      <c r="P2303" s="199"/>
      <c r="Q2303" s="252"/>
      <c r="R2303" s="252"/>
      <c r="S2303" s="252"/>
    </row>
    <row r="2304" spans="2:19" ht="16.5" thickTop="1" x14ac:dyDescent="0.2">
      <c r="B2304" s="79">
        <f t="shared" ref="B2304:B2319" si="403">B2303+1</f>
        <v>1</v>
      </c>
      <c r="C2304" s="265" t="s">
        <v>311</v>
      </c>
      <c r="D2304" s="266"/>
      <c r="E2304" s="266"/>
      <c r="F2304" s="266"/>
      <c r="G2304" s="266"/>
      <c r="H2304" s="267"/>
      <c r="I2304" s="47">
        <f>I2305</f>
        <v>162700</v>
      </c>
      <c r="J2304" s="47">
        <f>J2305</f>
        <v>0</v>
      </c>
      <c r="K2304" s="47">
        <f>I2304+J2304</f>
        <v>162700</v>
      </c>
      <c r="L2304" s="200"/>
      <c r="M2304" s="47">
        <f>M2305</f>
        <v>0</v>
      </c>
      <c r="N2304" s="47">
        <f>N2305</f>
        <v>0</v>
      </c>
      <c r="O2304" s="47">
        <f>M2304+N2304</f>
        <v>0</v>
      </c>
      <c r="P2304" s="200"/>
      <c r="Q2304" s="47">
        <f>I2304+M2304</f>
        <v>162700</v>
      </c>
      <c r="R2304" s="47">
        <f t="shared" ref="R2304:S2304" si="404">J2304+N2304</f>
        <v>0</v>
      </c>
      <c r="S2304" s="47">
        <f t="shared" si="404"/>
        <v>162700</v>
      </c>
    </row>
    <row r="2305" spans="2:19" ht="15" x14ac:dyDescent="0.2">
      <c r="B2305" s="79">
        <f t="shared" si="403"/>
        <v>2</v>
      </c>
      <c r="C2305" s="191">
        <v>1</v>
      </c>
      <c r="D2305" s="245" t="s">
        <v>161</v>
      </c>
      <c r="E2305" s="246"/>
      <c r="F2305" s="246"/>
      <c r="G2305" s="246"/>
      <c r="H2305" s="247"/>
      <c r="I2305" s="48">
        <f>I2311+I2306</f>
        <v>162700</v>
      </c>
      <c r="J2305" s="48">
        <f>J2311+J2306</f>
        <v>0</v>
      </c>
      <c r="K2305" s="48">
        <f t="shared" ref="K2305:K2318" si="405">I2305+J2305</f>
        <v>162700</v>
      </c>
      <c r="L2305" s="201"/>
      <c r="M2305" s="48">
        <f>M2311+M2306</f>
        <v>0</v>
      </c>
      <c r="N2305" s="48">
        <f>N2311+N2306</f>
        <v>0</v>
      </c>
      <c r="O2305" s="48">
        <f t="shared" ref="O2305:O2318" si="406">M2305+N2305</f>
        <v>0</v>
      </c>
      <c r="P2305" s="201"/>
      <c r="Q2305" s="48">
        <f>Q2311+Q2306</f>
        <v>162700</v>
      </c>
      <c r="R2305" s="48">
        <f t="shared" ref="R2305:S2305" si="407">R2311+R2306</f>
        <v>0</v>
      </c>
      <c r="S2305" s="48">
        <f t="shared" si="407"/>
        <v>162700</v>
      </c>
    </row>
    <row r="2306" spans="2:19" ht="15" x14ac:dyDescent="0.25">
      <c r="B2306" s="79">
        <f t="shared" si="403"/>
        <v>3</v>
      </c>
      <c r="C2306" s="190"/>
      <c r="D2306" s="190">
        <v>1</v>
      </c>
      <c r="E2306" s="268" t="s">
        <v>160</v>
      </c>
      <c r="F2306" s="246"/>
      <c r="G2306" s="246"/>
      <c r="H2306" s="247"/>
      <c r="I2306" s="49">
        <f>I2307+I2309</f>
        <v>129000</v>
      </c>
      <c r="J2306" s="49">
        <f>J2307+J2309</f>
        <v>0</v>
      </c>
      <c r="K2306" s="49">
        <f t="shared" si="405"/>
        <v>129000</v>
      </c>
      <c r="L2306" s="202"/>
      <c r="M2306" s="49">
        <f>M2307+M2309</f>
        <v>0</v>
      </c>
      <c r="N2306" s="49">
        <f>N2307+N2309</f>
        <v>0</v>
      </c>
      <c r="O2306" s="49">
        <f t="shared" si="406"/>
        <v>0</v>
      </c>
      <c r="P2306" s="202"/>
      <c r="Q2306" s="49">
        <f t="shared" ref="Q2306:Q2318" si="408">I2306+M2306</f>
        <v>129000</v>
      </c>
      <c r="R2306" s="49">
        <f t="shared" ref="R2306:R2318" si="409">J2306+N2306</f>
        <v>0</v>
      </c>
      <c r="S2306" s="49">
        <f t="shared" ref="S2306:S2318" si="410">K2306+O2306</f>
        <v>129000</v>
      </c>
    </row>
    <row r="2307" spans="2:19" x14ac:dyDescent="0.2">
      <c r="B2307" s="79">
        <f t="shared" si="403"/>
        <v>4</v>
      </c>
      <c r="C2307" s="15"/>
      <c r="D2307" s="15"/>
      <c r="E2307" s="15"/>
      <c r="F2307" s="55" t="s">
        <v>159</v>
      </c>
      <c r="G2307" s="15">
        <v>630</v>
      </c>
      <c r="H2307" s="15" t="s">
        <v>128</v>
      </c>
      <c r="I2307" s="52">
        <f>I2308</f>
        <v>99000</v>
      </c>
      <c r="J2307" s="52">
        <f>J2308</f>
        <v>0</v>
      </c>
      <c r="K2307" s="52">
        <f t="shared" si="405"/>
        <v>99000</v>
      </c>
      <c r="L2307" s="126"/>
      <c r="M2307" s="52">
        <f>M2308</f>
        <v>0</v>
      </c>
      <c r="N2307" s="52">
        <f>N2308</f>
        <v>0</v>
      </c>
      <c r="O2307" s="52">
        <f t="shared" si="406"/>
        <v>0</v>
      </c>
      <c r="P2307" s="126"/>
      <c r="Q2307" s="52">
        <f t="shared" si="408"/>
        <v>99000</v>
      </c>
      <c r="R2307" s="52">
        <f t="shared" si="409"/>
        <v>0</v>
      </c>
      <c r="S2307" s="52">
        <f t="shared" si="410"/>
        <v>99000</v>
      </c>
    </row>
    <row r="2308" spans="2:19" x14ac:dyDescent="0.2">
      <c r="B2308" s="79">
        <f t="shared" si="403"/>
        <v>5</v>
      </c>
      <c r="C2308" s="4"/>
      <c r="D2308" s="4"/>
      <c r="E2308" s="4"/>
      <c r="F2308" s="56" t="s">
        <v>159</v>
      </c>
      <c r="G2308" s="4">
        <v>637</v>
      </c>
      <c r="H2308" s="4" t="s">
        <v>129</v>
      </c>
      <c r="I2308" s="26">
        <f>95000+4000</f>
        <v>99000</v>
      </c>
      <c r="J2308" s="26"/>
      <c r="K2308" s="26">
        <f t="shared" si="405"/>
        <v>99000</v>
      </c>
      <c r="L2308" s="80"/>
      <c r="M2308" s="26"/>
      <c r="N2308" s="26"/>
      <c r="O2308" s="26">
        <f t="shared" si="406"/>
        <v>0</v>
      </c>
      <c r="P2308" s="80"/>
      <c r="Q2308" s="26">
        <f t="shared" si="408"/>
        <v>99000</v>
      </c>
      <c r="R2308" s="26">
        <f t="shared" si="409"/>
        <v>0</v>
      </c>
      <c r="S2308" s="26">
        <f t="shared" si="410"/>
        <v>99000</v>
      </c>
    </row>
    <row r="2309" spans="2:19" x14ac:dyDescent="0.2">
      <c r="B2309" s="79">
        <f t="shared" si="403"/>
        <v>6</v>
      </c>
      <c r="C2309" s="15"/>
      <c r="D2309" s="15"/>
      <c r="E2309" s="15"/>
      <c r="F2309" s="55" t="s">
        <v>159</v>
      </c>
      <c r="G2309" s="15">
        <v>640</v>
      </c>
      <c r="H2309" s="15" t="s">
        <v>135</v>
      </c>
      <c r="I2309" s="52">
        <v>30000</v>
      </c>
      <c r="J2309" s="52"/>
      <c r="K2309" s="52">
        <f t="shared" si="405"/>
        <v>30000</v>
      </c>
      <c r="L2309" s="126"/>
      <c r="M2309" s="52"/>
      <c r="N2309" s="52"/>
      <c r="O2309" s="52">
        <f t="shared" si="406"/>
        <v>0</v>
      </c>
      <c r="P2309" s="126"/>
      <c r="Q2309" s="52">
        <f t="shared" si="408"/>
        <v>30000</v>
      </c>
      <c r="R2309" s="52">
        <f t="shared" si="409"/>
        <v>0</v>
      </c>
      <c r="S2309" s="52">
        <f t="shared" si="410"/>
        <v>30000</v>
      </c>
    </row>
    <row r="2310" spans="2:19" ht="15" x14ac:dyDescent="0.25">
      <c r="B2310" s="79">
        <f t="shared" si="403"/>
        <v>7</v>
      </c>
      <c r="C2310" s="190"/>
      <c r="D2310" s="190">
        <v>2</v>
      </c>
      <c r="E2310" s="268" t="s">
        <v>434</v>
      </c>
      <c r="F2310" s="246"/>
      <c r="G2310" s="246"/>
      <c r="H2310" s="247"/>
      <c r="I2310" s="49">
        <v>0</v>
      </c>
      <c r="J2310" s="49">
        <v>0</v>
      </c>
      <c r="K2310" s="49">
        <f t="shared" si="405"/>
        <v>0</v>
      </c>
      <c r="L2310" s="202"/>
      <c r="M2310" s="49">
        <f>M2311+M2312+M2313+M2318</f>
        <v>0</v>
      </c>
      <c r="N2310" s="49">
        <f>N2311+N2312+N2313+N2318</f>
        <v>0</v>
      </c>
      <c r="O2310" s="49">
        <f t="shared" si="406"/>
        <v>0</v>
      </c>
      <c r="P2310" s="202"/>
      <c r="Q2310" s="49">
        <f t="shared" si="408"/>
        <v>0</v>
      </c>
      <c r="R2310" s="49">
        <f t="shared" si="409"/>
        <v>0</v>
      </c>
      <c r="S2310" s="49">
        <f t="shared" si="410"/>
        <v>0</v>
      </c>
    </row>
    <row r="2311" spans="2:19" ht="15" x14ac:dyDescent="0.25">
      <c r="B2311" s="79">
        <f t="shared" si="403"/>
        <v>8</v>
      </c>
      <c r="C2311" s="190"/>
      <c r="D2311" s="190">
        <v>3</v>
      </c>
      <c r="E2311" s="268" t="s">
        <v>198</v>
      </c>
      <c r="F2311" s="246"/>
      <c r="G2311" s="246"/>
      <c r="H2311" s="247"/>
      <c r="I2311" s="49">
        <f>I2312+I2313+I2314</f>
        <v>33700</v>
      </c>
      <c r="J2311" s="49">
        <f>J2312+J2313+J2314+J2319</f>
        <v>0</v>
      </c>
      <c r="K2311" s="49">
        <f t="shared" si="405"/>
        <v>33700</v>
      </c>
      <c r="L2311" s="202"/>
      <c r="M2311" s="49">
        <f>M2312+M2313+M2314</f>
        <v>0</v>
      </c>
      <c r="N2311" s="49">
        <f>N2312+N2313+N2314</f>
        <v>0</v>
      </c>
      <c r="O2311" s="49">
        <f t="shared" si="406"/>
        <v>0</v>
      </c>
      <c r="P2311" s="202"/>
      <c r="Q2311" s="49">
        <f t="shared" si="408"/>
        <v>33700</v>
      </c>
      <c r="R2311" s="49">
        <f t="shared" si="409"/>
        <v>0</v>
      </c>
      <c r="S2311" s="49">
        <f t="shared" si="410"/>
        <v>33700</v>
      </c>
    </row>
    <row r="2312" spans="2:19" x14ac:dyDescent="0.2">
      <c r="B2312" s="79">
        <f t="shared" si="403"/>
        <v>9</v>
      </c>
      <c r="C2312" s="15"/>
      <c r="D2312" s="15"/>
      <c r="E2312" s="15"/>
      <c r="F2312" s="55" t="s">
        <v>197</v>
      </c>
      <c r="G2312" s="15">
        <v>610</v>
      </c>
      <c r="H2312" s="15" t="s">
        <v>136</v>
      </c>
      <c r="I2312" s="52">
        <v>23000</v>
      </c>
      <c r="J2312" s="52"/>
      <c r="K2312" s="52">
        <f t="shared" si="405"/>
        <v>23000</v>
      </c>
      <c r="L2312" s="126"/>
      <c r="M2312" s="52"/>
      <c r="N2312" s="52"/>
      <c r="O2312" s="52">
        <f t="shared" si="406"/>
        <v>0</v>
      </c>
      <c r="P2312" s="126"/>
      <c r="Q2312" s="52">
        <f t="shared" si="408"/>
        <v>23000</v>
      </c>
      <c r="R2312" s="52">
        <f t="shared" si="409"/>
        <v>0</v>
      </c>
      <c r="S2312" s="52">
        <f t="shared" si="410"/>
        <v>23000</v>
      </c>
    </row>
    <row r="2313" spans="2:19" x14ac:dyDescent="0.2">
      <c r="B2313" s="79">
        <f t="shared" si="403"/>
        <v>10</v>
      </c>
      <c r="C2313" s="15"/>
      <c r="D2313" s="15"/>
      <c r="E2313" s="15"/>
      <c r="F2313" s="55" t="s">
        <v>197</v>
      </c>
      <c r="G2313" s="15">
        <v>620</v>
      </c>
      <c r="H2313" s="15" t="s">
        <v>131</v>
      </c>
      <c r="I2313" s="52">
        <v>8750</v>
      </c>
      <c r="J2313" s="52">
        <v>-215</v>
      </c>
      <c r="K2313" s="52">
        <f t="shared" si="405"/>
        <v>8535</v>
      </c>
      <c r="L2313" s="126"/>
      <c r="M2313" s="52"/>
      <c r="N2313" s="52"/>
      <c r="O2313" s="52">
        <f t="shared" si="406"/>
        <v>0</v>
      </c>
      <c r="P2313" s="126"/>
      <c r="Q2313" s="52">
        <f t="shared" si="408"/>
        <v>8750</v>
      </c>
      <c r="R2313" s="52">
        <f t="shared" si="409"/>
        <v>-215</v>
      </c>
      <c r="S2313" s="52">
        <f t="shared" si="410"/>
        <v>8535</v>
      </c>
    </row>
    <row r="2314" spans="2:19" x14ac:dyDescent="0.2">
      <c r="B2314" s="79">
        <f t="shared" si="403"/>
        <v>11</v>
      </c>
      <c r="C2314" s="15"/>
      <c r="D2314" s="15"/>
      <c r="E2314" s="15"/>
      <c r="F2314" s="55" t="s">
        <v>197</v>
      </c>
      <c r="G2314" s="15">
        <v>630</v>
      </c>
      <c r="H2314" s="15" t="s">
        <v>128</v>
      </c>
      <c r="I2314" s="52">
        <f>I2318+I2317+I2316+I2315</f>
        <v>1950</v>
      </c>
      <c r="J2314" s="52">
        <f>J2318+J2317+J2316+J2315</f>
        <v>0</v>
      </c>
      <c r="K2314" s="52">
        <f t="shared" si="405"/>
        <v>1950</v>
      </c>
      <c r="L2314" s="126"/>
      <c r="M2314" s="52">
        <v>0</v>
      </c>
      <c r="N2314" s="52"/>
      <c r="O2314" s="52">
        <f t="shared" si="406"/>
        <v>0</v>
      </c>
      <c r="P2314" s="126"/>
      <c r="Q2314" s="52">
        <f t="shared" si="408"/>
        <v>1950</v>
      </c>
      <c r="R2314" s="52">
        <f t="shared" si="409"/>
        <v>0</v>
      </c>
      <c r="S2314" s="52">
        <f t="shared" si="410"/>
        <v>1950</v>
      </c>
    </row>
    <row r="2315" spans="2:19" x14ac:dyDescent="0.2">
      <c r="B2315" s="79">
        <f t="shared" si="403"/>
        <v>12</v>
      </c>
      <c r="C2315" s="4"/>
      <c r="D2315" s="4"/>
      <c r="E2315" s="4"/>
      <c r="F2315" s="56" t="s">
        <v>197</v>
      </c>
      <c r="G2315" s="4">
        <v>632</v>
      </c>
      <c r="H2315" s="4" t="s">
        <v>139</v>
      </c>
      <c r="I2315" s="62">
        <v>150</v>
      </c>
      <c r="J2315" s="62">
        <v>60</v>
      </c>
      <c r="K2315" s="62">
        <f t="shared" si="405"/>
        <v>210</v>
      </c>
      <c r="L2315" s="80"/>
      <c r="M2315" s="26"/>
      <c r="N2315" s="26"/>
      <c r="O2315" s="26">
        <f t="shared" si="406"/>
        <v>0</v>
      </c>
      <c r="P2315" s="80"/>
      <c r="Q2315" s="26">
        <f t="shared" si="408"/>
        <v>150</v>
      </c>
      <c r="R2315" s="26">
        <f t="shared" si="409"/>
        <v>60</v>
      </c>
      <c r="S2315" s="26">
        <f t="shared" si="410"/>
        <v>210</v>
      </c>
    </row>
    <row r="2316" spans="2:19" x14ac:dyDescent="0.2">
      <c r="B2316" s="79">
        <f t="shared" si="403"/>
        <v>13</v>
      </c>
      <c r="C2316" s="4"/>
      <c r="D2316" s="4"/>
      <c r="E2316" s="4"/>
      <c r="F2316" s="56" t="s">
        <v>197</v>
      </c>
      <c r="G2316" s="4">
        <v>633</v>
      </c>
      <c r="H2316" s="4" t="s">
        <v>132</v>
      </c>
      <c r="I2316" s="62">
        <v>500</v>
      </c>
      <c r="J2316" s="62">
        <v>-60</v>
      </c>
      <c r="K2316" s="62">
        <f t="shared" si="405"/>
        <v>440</v>
      </c>
      <c r="L2316" s="80"/>
      <c r="M2316" s="26"/>
      <c r="N2316" s="26"/>
      <c r="O2316" s="26">
        <f t="shared" si="406"/>
        <v>0</v>
      </c>
      <c r="P2316" s="80"/>
      <c r="Q2316" s="26">
        <f t="shared" si="408"/>
        <v>500</v>
      </c>
      <c r="R2316" s="26">
        <f t="shared" si="409"/>
        <v>-60</v>
      </c>
      <c r="S2316" s="26">
        <f t="shared" si="410"/>
        <v>440</v>
      </c>
    </row>
    <row r="2317" spans="2:19" x14ac:dyDescent="0.2">
      <c r="B2317" s="79">
        <f t="shared" si="403"/>
        <v>14</v>
      </c>
      <c r="C2317" s="4"/>
      <c r="D2317" s="4"/>
      <c r="E2317" s="4"/>
      <c r="F2317" s="56" t="s">
        <v>197</v>
      </c>
      <c r="G2317" s="4">
        <v>635</v>
      </c>
      <c r="H2317" s="4" t="s">
        <v>138</v>
      </c>
      <c r="I2317" s="62">
        <v>200</v>
      </c>
      <c r="J2317" s="62"/>
      <c r="K2317" s="62">
        <f t="shared" si="405"/>
        <v>200</v>
      </c>
      <c r="L2317" s="80"/>
      <c r="M2317" s="26"/>
      <c r="N2317" s="26"/>
      <c r="O2317" s="26">
        <f t="shared" si="406"/>
        <v>0</v>
      </c>
      <c r="P2317" s="80"/>
      <c r="Q2317" s="26">
        <f t="shared" si="408"/>
        <v>200</v>
      </c>
      <c r="R2317" s="26">
        <f t="shared" si="409"/>
        <v>0</v>
      </c>
      <c r="S2317" s="26">
        <f t="shared" si="410"/>
        <v>200</v>
      </c>
    </row>
    <row r="2318" spans="2:19" x14ac:dyDescent="0.2">
      <c r="B2318" s="79">
        <f t="shared" si="403"/>
        <v>15</v>
      </c>
      <c r="C2318" s="4"/>
      <c r="D2318" s="4"/>
      <c r="E2318" s="4"/>
      <c r="F2318" s="56" t="s">
        <v>197</v>
      </c>
      <c r="G2318" s="4">
        <v>637</v>
      </c>
      <c r="H2318" s="4" t="s">
        <v>129</v>
      </c>
      <c r="I2318" s="62">
        <v>1100</v>
      </c>
      <c r="J2318" s="62"/>
      <c r="K2318" s="62">
        <f t="shared" si="405"/>
        <v>1100</v>
      </c>
      <c r="L2318" s="80"/>
      <c r="M2318" s="26"/>
      <c r="N2318" s="26"/>
      <c r="O2318" s="26">
        <f t="shared" si="406"/>
        <v>0</v>
      </c>
      <c r="P2318" s="80"/>
      <c r="Q2318" s="26">
        <f t="shared" si="408"/>
        <v>1100</v>
      </c>
      <c r="R2318" s="26">
        <f t="shared" si="409"/>
        <v>0</v>
      </c>
      <c r="S2318" s="26">
        <f t="shared" si="410"/>
        <v>1100</v>
      </c>
    </row>
    <row r="2319" spans="2:19" x14ac:dyDescent="0.2">
      <c r="B2319" s="79">
        <f t="shared" si="403"/>
        <v>16</v>
      </c>
      <c r="C2319" s="15"/>
      <c r="D2319" s="15"/>
      <c r="E2319" s="15"/>
      <c r="F2319" s="55" t="s">
        <v>197</v>
      </c>
      <c r="G2319" s="15">
        <v>640</v>
      </c>
      <c r="H2319" s="15" t="s">
        <v>135</v>
      </c>
      <c r="I2319" s="52">
        <v>0</v>
      </c>
      <c r="J2319" s="52">
        <v>215</v>
      </c>
      <c r="K2319" s="52">
        <f t="shared" ref="K2319" si="411">I2319+J2319</f>
        <v>215</v>
      </c>
      <c r="L2319" s="126"/>
      <c r="M2319" s="52"/>
      <c r="N2319" s="52"/>
      <c r="O2319" s="52">
        <f t="shared" ref="O2319" si="412">M2319+N2319</f>
        <v>0</v>
      </c>
      <c r="P2319" s="126"/>
      <c r="Q2319" s="52">
        <f t="shared" ref="Q2319" si="413">I2319+M2319</f>
        <v>0</v>
      </c>
      <c r="R2319" s="52">
        <f t="shared" ref="R2319" si="414">J2319+N2319</f>
        <v>215</v>
      </c>
      <c r="S2319" s="52">
        <f t="shared" ref="S2319" si="415">K2319+O2319</f>
        <v>215</v>
      </c>
    </row>
    <row r="2334" ht="12.75" customHeight="1" x14ac:dyDescent="0.2"/>
    <row r="2335" ht="17.25" customHeight="1" x14ac:dyDescent="0.2"/>
    <row r="2337" ht="18" customHeight="1" x14ac:dyDescent="0.2"/>
    <row r="2338" ht="19.5" customHeight="1" x14ac:dyDescent="0.2"/>
  </sheetData>
  <mergeCells count="316">
    <mergeCell ref="R2299:R2303"/>
    <mergeCell ref="S2299:S2303"/>
    <mergeCell ref="R138:R142"/>
    <mergeCell ref="S138:S142"/>
    <mergeCell ref="R1666:R1670"/>
    <mergeCell ref="S1666:S1670"/>
    <mergeCell ref="R1866:R1870"/>
    <mergeCell ref="S1866:S1870"/>
    <mergeCell ref="R2004:R2008"/>
    <mergeCell ref="S2004:S2008"/>
    <mergeCell ref="R411:R415"/>
    <mergeCell ref="S411:S415"/>
    <mergeCell ref="R552:R556"/>
    <mergeCell ref="S552:S556"/>
    <mergeCell ref="R743:R747"/>
    <mergeCell ref="S743:S747"/>
    <mergeCell ref="C2144:H2144"/>
    <mergeCell ref="D2145:H2145"/>
    <mergeCell ref="D2159:H2159"/>
    <mergeCell ref="D2161:H2161"/>
    <mergeCell ref="D2176:H2176"/>
    <mergeCell ref="R2:R6"/>
    <mergeCell ref="S2:S6"/>
    <mergeCell ref="R81:R85"/>
    <mergeCell ref="S81:S85"/>
    <mergeCell ref="R275:R279"/>
    <mergeCell ref="S275:S279"/>
    <mergeCell ref="N276:N279"/>
    <mergeCell ref="O276:O279"/>
    <mergeCell ref="N139:N142"/>
    <mergeCell ref="O139:O142"/>
    <mergeCell ref="N82:N85"/>
    <mergeCell ref="O82:O85"/>
    <mergeCell ref="B2:O2"/>
    <mergeCell ref="R2139:R2143"/>
    <mergeCell ref="S2139:S2143"/>
    <mergeCell ref="Q2139:Q2143"/>
    <mergeCell ref="B2140:B2143"/>
    <mergeCell ref="C2140:C2143"/>
    <mergeCell ref="D2140:D2143"/>
    <mergeCell ref="D2254:H2254"/>
    <mergeCell ref="D2264:H2264"/>
    <mergeCell ref="D2267:H2267"/>
    <mergeCell ref="D2273:H2273"/>
    <mergeCell ref="D2282:H2282"/>
    <mergeCell ref="D2186:H2186"/>
    <mergeCell ref="E2187:H2187"/>
    <mergeCell ref="E2205:H2205"/>
    <mergeCell ref="E2221:H2221"/>
    <mergeCell ref="D2232:H2232"/>
    <mergeCell ref="E2311:H2311"/>
    <mergeCell ref="B2298:Q2298"/>
    <mergeCell ref="Q2299:Q2303"/>
    <mergeCell ref="B2300:B2303"/>
    <mergeCell ref="C2300:C2303"/>
    <mergeCell ref="D2300:D2303"/>
    <mergeCell ref="E2300:E2303"/>
    <mergeCell ref="F2300:F2303"/>
    <mergeCell ref="G2300:G2303"/>
    <mergeCell ref="H2300:H2303"/>
    <mergeCell ref="I2300:I2303"/>
    <mergeCell ref="M2300:M2303"/>
    <mergeCell ref="J2300:J2303"/>
    <mergeCell ref="K2300:K2303"/>
    <mergeCell ref="N2300:N2303"/>
    <mergeCell ref="O2300:O2303"/>
    <mergeCell ref="B2299:O2299"/>
    <mergeCell ref="C2304:H2304"/>
    <mergeCell ref="D2305:H2305"/>
    <mergeCell ref="E2306:H2306"/>
    <mergeCell ref="E2310:H2310"/>
    <mergeCell ref="O2140:O2143"/>
    <mergeCell ref="B2139:O2139"/>
    <mergeCell ref="D2069:H2069"/>
    <mergeCell ref="D2082:H2082"/>
    <mergeCell ref="D2085:H2085"/>
    <mergeCell ref="D2096:H2096"/>
    <mergeCell ref="B2138:Q2138"/>
    <mergeCell ref="C2009:H2009"/>
    <mergeCell ref="D2010:H2010"/>
    <mergeCell ref="D2058:H2058"/>
    <mergeCell ref="E2059:H2059"/>
    <mergeCell ref="E2063:H2063"/>
    <mergeCell ref="E2140:E2143"/>
    <mergeCell ref="F2140:F2143"/>
    <mergeCell ref="G2140:G2143"/>
    <mergeCell ref="H2140:H2143"/>
    <mergeCell ref="I2140:I2143"/>
    <mergeCell ref="M2140:M2143"/>
    <mergeCell ref="J2140:J2143"/>
    <mergeCell ref="K2140:K2143"/>
    <mergeCell ref="N2140:N2143"/>
    <mergeCell ref="B2003:Q2003"/>
    <mergeCell ref="Q2004:Q2008"/>
    <mergeCell ref="B2005:B2008"/>
    <mergeCell ref="C2005:C2008"/>
    <mergeCell ref="D2005:D2008"/>
    <mergeCell ref="E2005:E2008"/>
    <mergeCell ref="F2005:F2008"/>
    <mergeCell ref="G2005:G2008"/>
    <mergeCell ref="H2005:H2008"/>
    <mergeCell ref="I2005:I2008"/>
    <mergeCell ref="M2005:M2008"/>
    <mergeCell ref="J2005:J2008"/>
    <mergeCell ref="K2005:K2008"/>
    <mergeCell ref="N2005:N2008"/>
    <mergeCell ref="O2005:O2008"/>
    <mergeCell ref="B2004:O2004"/>
    <mergeCell ref="C1871:H1871"/>
    <mergeCell ref="D1872:H1872"/>
    <mergeCell ref="D1884:H1884"/>
    <mergeCell ref="D1905:H1905"/>
    <mergeCell ref="D1927:H1927"/>
    <mergeCell ref="B1865:Q1865"/>
    <mergeCell ref="Q1866:Q1870"/>
    <mergeCell ref="B1867:B1870"/>
    <mergeCell ref="C1867:C1870"/>
    <mergeCell ref="D1867:D1870"/>
    <mergeCell ref="E1867:E1870"/>
    <mergeCell ref="F1867:F1870"/>
    <mergeCell ref="G1867:G1870"/>
    <mergeCell ref="H1867:H1870"/>
    <mergeCell ref="I1867:I1870"/>
    <mergeCell ref="M1867:M1870"/>
    <mergeCell ref="J1867:J1870"/>
    <mergeCell ref="K1867:K1870"/>
    <mergeCell ref="N1867:N1870"/>
    <mergeCell ref="O1867:O1870"/>
    <mergeCell ref="B1866:O1866"/>
    <mergeCell ref="E1695:H1695"/>
    <mergeCell ref="E1708:H1708"/>
    <mergeCell ref="E1731:H1731"/>
    <mergeCell ref="E1752:H1752"/>
    <mergeCell ref="D1762:H1762"/>
    <mergeCell ref="C1671:H1671"/>
    <mergeCell ref="D1672:H1672"/>
    <mergeCell ref="D1675:H1675"/>
    <mergeCell ref="D1690:H1690"/>
    <mergeCell ref="E1691:H1691"/>
    <mergeCell ref="D1575:H1575"/>
    <mergeCell ref="B1665:Q1665"/>
    <mergeCell ref="Q1666:Q1670"/>
    <mergeCell ref="B1667:B1670"/>
    <mergeCell ref="C1667:C1670"/>
    <mergeCell ref="D1667:D1670"/>
    <mergeCell ref="E1667:E1670"/>
    <mergeCell ref="F1667:F1670"/>
    <mergeCell ref="G1667:G1670"/>
    <mergeCell ref="H1667:H1670"/>
    <mergeCell ref="I1667:I1670"/>
    <mergeCell ref="M1667:M1670"/>
    <mergeCell ref="J1667:J1670"/>
    <mergeCell ref="K1667:K1670"/>
    <mergeCell ref="N1667:N1670"/>
    <mergeCell ref="B1666:O1666"/>
    <mergeCell ref="O1667:O1670"/>
    <mergeCell ref="C748:H748"/>
    <mergeCell ref="D749:H749"/>
    <mergeCell ref="D965:H965"/>
    <mergeCell ref="D1220:H1220"/>
    <mergeCell ref="D1325:H1325"/>
    <mergeCell ref="Q743:Q747"/>
    <mergeCell ref="B744:B747"/>
    <mergeCell ref="C744:C747"/>
    <mergeCell ref="D744:D747"/>
    <mergeCell ref="E744:E747"/>
    <mergeCell ref="F744:F747"/>
    <mergeCell ref="G744:G747"/>
    <mergeCell ref="H744:H747"/>
    <mergeCell ref="I744:I747"/>
    <mergeCell ref="M744:M747"/>
    <mergeCell ref="J744:J747"/>
    <mergeCell ref="K744:K747"/>
    <mergeCell ref="B743:O743"/>
    <mergeCell ref="N744:N747"/>
    <mergeCell ref="O744:O747"/>
    <mergeCell ref="C557:H557"/>
    <mergeCell ref="D558:H558"/>
    <mergeCell ref="D561:H561"/>
    <mergeCell ref="D595:H595"/>
    <mergeCell ref="B742:Q742"/>
    <mergeCell ref="D472:H472"/>
    <mergeCell ref="B551:Q551"/>
    <mergeCell ref="Q552:Q556"/>
    <mergeCell ref="B553:B556"/>
    <mergeCell ref="C553:C556"/>
    <mergeCell ref="D553:D556"/>
    <mergeCell ref="E553:E556"/>
    <mergeCell ref="F553:F556"/>
    <mergeCell ref="G553:G556"/>
    <mergeCell ref="H553:H556"/>
    <mergeCell ref="I553:I556"/>
    <mergeCell ref="M553:M556"/>
    <mergeCell ref="J553:J556"/>
    <mergeCell ref="K553:K556"/>
    <mergeCell ref="B552:O552"/>
    <mergeCell ref="N553:N556"/>
    <mergeCell ref="O553:O556"/>
    <mergeCell ref="C416:H416"/>
    <mergeCell ref="D417:H417"/>
    <mergeCell ref="D436:H436"/>
    <mergeCell ref="D461:H461"/>
    <mergeCell ref="D469:H469"/>
    <mergeCell ref="Q411:Q415"/>
    <mergeCell ref="B412:B415"/>
    <mergeCell ref="C412:C415"/>
    <mergeCell ref="D412:D415"/>
    <mergeCell ref="E412:E415"/>
    <mergeCell ref="F412:F415"/>
    <mergeCell ref="G412:G415"/>
    <mergeCell ref="H412:H415"/>
    <mergeCell ref="I412:I415"/>
    <mergeCell ref="M412:M415"/>
    <mergeCell ref="J412:J415"/>
    <mergeCell ref="K412:K415"/>
    <mergeCell ref="N412:N415"/>
    <mergeCell ref="O412:O415"/>
    <mergeCell ref="B411:O411"/>
    <mergeCell ref="D317:H317"/>
    <mergeCell ref="D329:H329"/>
    <mergeCell ref="D345:H345"/>
    <mergeCell ref="D354:H354"/>
    <mergeCell ref="B410:Q410"/>
    <mergeCell ref="C280:H280"/>
    <mergeCell ref="D281:H281"/>
    <mergeCell ref="D286:H286"/>
    <mergeCell ref="D297:H297"/>
    <mergeCell ref="D307:H307"/>
    <mergeCell ref="D214:H214"/>
    <mergeCell ref="D224:H224"/>
    <mergeCell ref="B274:Q274"/>
    <mergeCell ref="Q275:Q279"/>
    <mergeCell ref="B276:B279"/>
    <mergeCell ref="C276:C279"/>
    <mergeCell ref="D276:D279"/>
    <mergeCell ref="E276:E279"/>
    <mergeCell ref="F276:F279"/>
    <mergeCell ref="G276:G279"/>
    <mergeCell ref="H276:H279"/>
    <mergeCell ref="I276:I279"/>
    <mergeCell ref="M276:M279"/>
    <mergeCell ref="J276:J279"/>
    <mergeCell ref="K276:K279"/>
    <mergeCell ref="B275:O275"/>
    <mergeCell ref="E158:H158"/>
    <mergeCell ref="D164:H164"/>
    <mergeCell ref="D168:H168"/>
    <mergeCell ref="D195:H195"/>
    <mergeCell ref="D210:H210"/>
    <mergeCell ref="C143:H143"/>
    <mergeCell ref="D144:H144"/>
    <mergeCell ref="D147:H147"/>
    <mergeCell ref="E148:H148"/>
    <mergeCell ref="E151:H151"/>
    <mergeCell ref="D92:H92"/>
    <mergeCell ref="B137:Q137"/>
    <mergeCell ref="Q138:Q142"/>
    <mergeCell ref="B139:B142"/>
    <mergeCell ref="C139:C142"/>
    <mergeCell ref="D139:D142"/>
    <mergeCell ref="E139:E142"/>
    <mergeCell ref="F139:F142"/>
    <mergeCell ref="G139:G142"/>
    <mergeCell ref="H139:H142"/>
    <mergeCell ref="I139:I142"/>
    <mergeCell ref="M139:M142"/>
    <mergeCell ref="J139:J142"/>
    <mergeCell ref="K139:K142"/>
    <mergeCell ref="B138:O138"/>
    <mergeCell ref="E19:H19"/>
    <mergeCell ref="E22:H22"/>
    <mergeCell ref="E27:H27"/>
    <mergeCell ref="D32:H32"/>
    <mergeCell ref="M3:M6"/>
    <mergeCell ref="I3:I6"/>
    <mergeCell ref="D3:D6"/>
    <mergeCell ref="E16:H16"/>
    <mergeCell ref="E9:H9"/>
    <mergeCell ref="F3:F6"/>
    <mergeCell ref="D8:H8"/>
    <mergeCell ref="B1:Q1"/>
    <mergeCell ref="B3:B6"/>
    <mergeCell ref="C3:C6"/>
    <mergeCell ref="C7:H7"/>
    <mergeCell ref="Q2:Q6"/>
    <mergeCell ref="G3:G6"/>
    <mergeCell ref="H3:H6"/>
    <mergeCell ref="J3:J6"/>
    <mergeCell ref="K3:K6"/>
    <mergeCell ref="N3:N6"/>
    <mergeCell ref="O3:O6"/>
    <mergeCell ref="E3:E6"/>
    <mergeCell ref="A194:A196"/>
    <mergeCell ref="D47:H47"/>
    <mergeCell ref="D68:H68"/>
    <mergeCell ref="D74:H74"/>
    <mergeCell ref="D76:H76"/>
    <mergeCell ref="D65:H65"/>
    <mergeCell ref="D66:H66"/>
    <mergeCell ref="D67:H67"/>
    <mergeCell ref="B80:Q80"/>
    <mergeCell ref="Q81:Q85"/>
    <mergeCell ref="B82:B85"/>
    <mergeCell ref="C82:C85"/>
    <mergeCell ref="D82:D85"/>
    <mergeCell ref="E82:E85"/>
    <mergeCell ref="F82:F85"/>
    <mergeCell ref="B81:O81"/>
    <mergeCell ref="G82:G85"/>
    <mergeCell ref="H82:H85"/>
    <mergeCell ref="I82:I85"/>
    <mergeCell ref="M82:M85"/>
    <mergeCell ref="C86:H86"/>
    <mergeCell ref="J82:J85"/>
    <mergeCell ref="K82:K85"/>
    <mergeCell ref="D87:H87"/>
  </mergeCells>
  <phoneticPr fontId="1" type="noConversion"/>
  <pageMargins left="0.39370078740157483" right="0.19685039370078741" top="0.19685039370078741" bottom="0.19685039370078741" header="0.19685039370078741" footer="0.19685039370078741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</sheetPr>
  <dimension ref="B1:N59"/>
  <sheetViews>
    <sheetView zoomScale="90" zoomScaleNormal="90" workbookViewId="0"/>
  </sheetViews>
  <sheetFormatPr defaultRowHeight="12.75" x14ac:dyDescent="0.2"/>
  <cols>
    <col min="1" max="1" width="2.140625" customWidth="1"/>
    <col min="2" max="2" width="3.7109375" customWidth="1"/>
    <col min="3" max="3" width="45.28515625" customWidth="1"/>
    <col min="4" max="4" width="11.28515625" style="21" customWidth="1"/>
    <col min="5" max="5" width="9.140625" style="21" customWidth="1"/>
    <col min="6" max="6" width="11.7109375" style="21" customWidth="1"/>
    <col min="7" max="7" width="10.28515625" style="21" customWidth="1"/>
    <col min="8" max="8" width="9.7109375" style="21" customWidth="1"/>
    <col min="9" max="9" width="10.85546875" style="21" customWidth="1"/>
    <col min="10" max="10" width="11.28515625" style="21" customWidth="1"/>
    <col min="11" max="11" width="10" style="21" customWidth="1"/>
    <col min="12" max="12" width="12" customWidth="1"/>
    <col min="13" max="13" width="11.42578125" customWidth="1"/>
    <col min="14" max="14" width="10.85546875" bestFit="1" customWidth="1"/>
    <col min="16" max="16" width="11.7109375" customWidth="1"/>
  </cols>
  <sheetData>
    <row r="1" spans="2:12" ht="15" customHeight="1" x14ac:dyDescent="0.2"/>
    <row r="2" spans="2:12" ht="57" customHeight="1" x14ac:dyDescent="0.2">
      <c r="B2" s="276"/>
      <c r="C2" s="277"/>
      <c r="D2" s="42" t="s">
        <v>777</v>
      </c>
      <c r="E2" s="42" t="s">
        <v>782</v>
      </c>
      <c r="F2" s="209" t="s">
        <v>775</v>
      </c>
      <c r="G2" s="42" t="s">
        <v>778</v>
      </c>
      <c r="H2" s="42" t="s">
        <v>773</v>
      </c>
      <c r="I2" s="209" t="s">
        <v>774</v>
      </c>
      <c r="J2" s="42" t="s">
        <v>772</v>
      </c>
      <c r="K2" s="42" t="s">
        <v>773</v>
      </c>
      <c r="L2" s="42" t="s">
        <v>590</v>
      </c>
    </row>
    <row r="3" spans="2:12" ht="15.75" x14ac:dyDescent="0.25">
      <c r="B3" s="6">
        <v>1</v>
      </c>
      <c r="C3" s="41" t="s">
        <v>110</v>
      </c>
      <c r="D3" s="43">
        <f>Príjmy!H450</f>
        <v>34783503</v>
      </c>
      <c r="E3" s="43">
        <f>Príjmy!I450</f>
        <v>198045</v>
      </c>
      <c r="F3" s="210">
        <f>E3+D3</f>
        <v>34981548</v>
      </c>
      <c r="G3" s="43">
        <f>Príjmy!H444</f>
        <v>1106042</v>
      </c>
      <c r="H3" s="43">
        <f>Príjmy!I451</f>
        <v>54955</v>
      </c>
      <c r="I3" s="43">
        <f>G3+H3</f>
        <v>1160997</v>
      </c>
      <c r="J3" s="43">
        <f>G3+D3</f>
        <v>35889545</v>
      </c>
      <c r="K3" s="43">
        <f t="shared" ref="K3:L3" si="0">H3+E3</f>
        <v>253000</v>
      </c>
      <c r="L3" s="43">
        <f t="shared" si="0"/>
        <v>36142545</v>
      </c>
    </row>
    <row r="4" spans="2:12" ht="15.75" x14ac:dyDescent="0.25">
      <c r="B4" s="6">
        <v>2</v>
      </c>
      <c r="C4" s="41" t="s">
        <v>113</v>
      </c>
      <c r="D4" s="43">
        <f>SUM(D5:D16)</f>
        <v>31791456</v>
      </c>
      <c r="E4" s="43">
        <f>SUM(E5:E16)</f>
        <v>239915</v>
      </c>
      <c r="F4" s="210">
        <f t="shared" ref="F4:F17" si="1">E4+D4</f>
        <v>32031371</v>
      </c>
      <c r="G4" s="43">
        <f>SUM(G5:G16)</f>
        <v>6854546</v>
      </c>
      <c r="H4" s="43">
        <f t="shared" ref="H4:I4" si="2">SUM(H5:H16)</f>
        <v>-527170</v>
      </c>
      <c r="I4" s="43">
        <f t="shared" si="2"/>
        <v>6327376</v>
      </c>
      <c r="J4" s="43">
        <f>D4+G4</f>
        <v>38646002</v>
      </c>
      <c r="K4" s="43">
        <f t="shared" ref="K4:L4" si="3">E4+H4</f>
        <v>-287255</v>
      </c>
      <c r="L4" s="43">
        <f t="shared" si="3"/>
        <v>38358747</v>
      </c>
    </row>
    <row r="5" spans="2:12" ht="14.25" x14ac:dyDescent="0.2">
      <c r="B5" s="8">
        <v>3</v>
      </c>
      <c r="C5" s="40" t="s">
        <v>294</v>
      </c>
      <c r="D5" s="57">
        <f>Výdavky!I7</f>
        <v>499833</v>
      </c>
      <c r="E5" s="57">
        <f>Výdavky!J7</f>
        <v>0</v>
      </c>
      <c r="F5" s="211">
        <f t="shared" si="1"/>
        <v>499833</v>
      </c>
      <c r="G5" s="57">
        <f>Výdavky!M7</f>
        <v>92470</v>
      </c>
      <c r="H5" s="57">
        <f>Výdavky!N7</f>
        <v>0</v>
      </c>
      <c r="I5" s="57">
        <f>G5+H5</f>
        <v>92470</v>
      </c>
      <c r="J5" s="57">
        <f t="shared" ref="J5:J16" si="4">G5+D5</f>
        <v>592303</v>
      </c>
      <c r="K5" s="57">
        <f t="shared" ref="K5:K16" si="5">H5+E5</f>
        <v>0</v>
      </c>
      <c r="L5" s="57">
        <f t="shared" ref="L5:L16" si="6">I5+F5</f>
        <v>592303</v>
      </c>
    </row>
    <row r="6" spans="2:12" ht="14.25" x14ac:dyDescent="0.2">
      <c r="B6" s="8">
        <v>4</v>
      </c>
      <c r="C6" s="40" t="s">
        <v>295</v>
      </c>
      <c r="D6" s="57">
        <f>Výdavky!I86</f>
        <v>86018</v>
      </c>
      <c r="E6" s="57">
        <f>Výdavky!J86</f>
        <v>0</v>
      </c>
      <c r="F6" s="211">
        <f t="shared" si="1"/>
        <v>86018</v>
      </c>
      <c r="G6" s="57">
        <f>Výdavky!M86</f>
        <v>0</v>
      </c>
      <c r="H6" s="57">
        <f>Výdavky!N86</f>
        <v>0</v>
      </c>
      <c r="I6" s="57">
        <f t="shared" ref="I6:I16" si="7">G6+H6</f>
        <v>0</v>
      </c>
      <c r="J6" s="57">
        <f t="shared" si="4"/>
        <v>86018</v>
      </c>
      <c r="K6" s="57">
        <f t="shared" si="5"/>
        <v>0</v>
      </c>
      <c r="L6" s="57">
        <f t="shared" si="6"/>
        <v>86018</v>
      </c>
    </row>
    <row r="7" spans="2:12" ht="14.25" x14ac:dyDescent="0.2">
      <c r="B7" s="8">
        <v>5</v>
      </c>
      <c r="C7" s="40" t="s">
        <v>296</v>
      </c>
      <c r="D7" s="57">
        <f>Výdavky!I143</f>
        <v>3706575</v>
      </c>
      <c r="E7" s="57">
        <f>Výdavky!J143</f>
        <v>0</v>
      </c>
      <c r="F7" s="211">
        <f t="shared" si="1"/>
        <v>3706575</v>
      </c>
      <c r="G7" s="57">
        <f>Výdavky!M143</f>
        <v>423830</v>
      </c>
      <c r="H7" s="57">
        <f>Výdavky!N143</f>
        <v>0</v>
      </c>
      <c r="I7" s="57">
        <f t="shared" si="7"/>
        <v>423830</v>
      </c>
      <c r="J7" s="57">
        <f t="shared" si="4"/>
        <v>4130405</v>
      </c>
      <c r="K7" s="57">
        <f t="shared" si="5"/>
        <v>0</v>
      </c>
      <c r="L7" s="57">
        <f t="shared" si="6"/>
        <v>4130405</v>
      </c>
    </row>
    <row r="8" spans="2:12" ht="14.25" x14ac:dyDescent="0.2">
      <c r="B8" s="8">
        <v>6</v>
      </c>
      <c r="C8" s="40" t="s">
        <v>298</v>
      </c>
      <c r="D8" s="57">
        <f>Výdavky!I280</f>
        <v>506040</v>
      </c>
      <c r="E8" s="57">
        <f>Výdavky!J280</f>
        <v>0</v>
      </c>
      <c r="F8" s="211">
        <f t="shared" si="1"/>
        <v>506040</v>
      </c>
      <c r="G8" s="57">
        <f>Výdavky!M280</f>
        <v>60712</v>
      </c>
      <c r="H8" s="57">
        <f>Výdavky!N280</f>
        <v>0</v>
      </c>
      <c r="I8" s="57">
        <f t="shared" si="7"/>
        <v>60712</v>
      </c>
      <c r="J8" s="57">
        <f t="shared" si="4"/>
        <v>566752</v>
      </c>
      <c r="K8" s="57">
        <f t="shared" si="5"/>
        <v>0</v>
      </c>
      <c r="L8" s="57">
        <f t="shared" si="6"/>
        <v>566752</v>
      </c>
    </row>
    <row r="9" spans="2:12" ht="14.25" x14ac:dyDescent="0.2">
      <c r="B9" s="8">
        <v>7</v>
      </c>
      <c r="C9" s="40" t="s">
        <v>300</v>
      </c>
      <c r="D9" s="57">
        <f>Výdavky!I416</f>
        <v>1549500</v>
      </c>
      <c r="E9" s="57">
        <f>Výdavky!J416</f>
        <v>3870</v>
      </c>
      <c r="F9" s="211">
        <f t="shared" si="1"/>
        <v>1553370</v>
      </c>
      <c r="G9" s="57">
        <f>Výdavky!M416</f>
        <v>147827</v>
      </c>
      <c r="H9" s="57">
        <f>Výdavky!N416</f>
        <v>13085</v>
      </c>
      <c r="I9" s="57">
        <f t="shared" si="7"/>
        <v>160912</v>
      </c>
      <c r="J9" s="57">
        <f t="shared" si="4"/>
        <v>1697327</v>
      </c>
      <c r="K9" s="57">
        <f t="shared" si="5"/>
        <v>16955</v>
      </c>
      <c r="L9" s="57">
        <f t="shared" si="6"/>
        <v>1714282</v>
      </c>
    </row>
    <row r="10" spans="2:12" ht="14.25" x14ac:dyDescent="0.2">
      <c r="B10" s="8">
        <v>8</v>
      </c>
      <c r="C10" s="40" t="s">
        <v>302</v>
      </c>
      <c r="D10" s="57">
        <f>Výdavky!I557</f>
        <v>3252631</v>
      </c>
      <c r="E10" s="57">
        <f>Výdavky!J557</f>
        <v>0</v>
      </c>
      <c r="F10" s="211">
        <f t="shared" si="1"/>
        <v>3252631</v>
      </c>
      <c r="G10" s="57">
        <f>Výdavky!M557</f>
        <v>3495606</v>
      </c>
      <c r="H10" s="57">
        <f>Výdavky!N557</f>
        <v>0</v>
      </c>
      <c r="I10" s="57">
        <f t="shared" si="7"/>
        <v>3495606</v>
      </c>
      <c r="J10" s="57">
        <f t="shared" si="4"/>
        <v>6748237</v>
      </c>
      <c r="K10" s="57">
        <f t="shared" si="5"/>
        <v>0</v>
      </c>
      <c r="L10" s="57">
        <f t="shared" si="6"/>
        <v>6748237</v>
      </c>
    </row>
    <row r="11" spans="2:12" ht="14.25" x14ac:dyDescent="0.2">
      <c r="B11" s="8">
        <v>9</v>
      </c>
      <c r="C11" s="40" t="s">
        <v>304</v>
      </c>
      <c r="D11" s="57">
        <f>Výdavky!I748</f>
        <v>13829052</v>
      </c>
      <c r="E11" s="57">
        <f>Výdavky!J748</f>
        <v>236045</v>
      </c>
      <c r="F11" s="211">
        <f t="shared" si="1"/>
        <v>14065097</v>
      </c>
      <c r="G11" s="57">
        <f>Výdavky!M748</f>
        <v>1343066</v>
      </c>
      <c r="H11" s="57">
        <f>Výdavky!N748</f>
        <v>0</v>
      </c>
      <c r="I11" s="57">
        <f t="shared" si="7"/>
        <v>1343066</v>
      </c>
      <c r="J11" s="57">
        <f t="shared" si="4"/>
        <v>15172118</v>
      </c>
      <c r="K11" s="57">
        <f t="shared" si="5"/>
        <v>236045</v>
      </c>
      <c r="L11" s="57">
        <f t="shared" si="6"/>
        <v>15408163</v>
      </c>
    </row>
    <row r="12" spans="2:12" ht="14.25" x14ac:dyDescent="0.2">
      <c r="B12" s="8">
        <v>10</v>
      </c>
      <c r="C12" s="40" t="s">
        <v>352</v>
      </c>
      <c r="D12" s="57">
        <f>Výdavky!I1671</f>
        <v>1688334</v>
      </c>
      <c r="E12" s="57">
        <f>Výdavky!J1671</f>
        <v>0</v>
      </c>
      <c r="F12" s="211">
        <f t="shared" si="1"/>
        <v>1688334</v>
      </c>
      <c r="G12" s="57">
        <f>Výdavky!M1671</f>
        <v>1070755</v>
      </c>
      <c r="H12" s="57">
        <f>Výdavky!N1671</f>
        <v>-540255</v>
      </c>
      <c r="I12" s="57">
        <f t="shared" si="7"/>
        <v>530500</v>
      </c>
      <c r="J12" s="57">
        <f t="shared" si="4"/>
        <v>2759089</v>
      </c>
      <c r="K12" s="57">
        <f t="shared" si="5"/>
        <v>-540255</v>
      </c>
      <c r="L12" s="57">
        <f t="shared" si="6"/>
        <v>2218834</v>
      </c>
    </row>
    <row r="13" spans="2:12" ht="14.25" x14ac:dyDescent="0.2">
      <c r="B13" s="8">
        <v>11</v>
      </c>
      <c r="C13" s="40" t="s">
        <v>306</v>
      </c>
      <c r="D13" s="57">
        <f>Výdavky!I1871</f>
        <v>385750</v>
      </c>
      <c r="E13" s="57">
        <f>Výdavky!J1871</f>
        <v>0</v>
      </c>
      <c r="F13" s="211">
        <f t="shared" si="1"/>
        <v>385750</v>
      </c>
      <c r="G13" s="57">
        <f>Výdavky!M1871</f>
        <v>28620</v>
      </c>
      <c r="H13" s="57">
        <f>Výdavky!N1871</f>
        <v>0</v>
      </c>
      <c r="I13" s="57">
        <f t="shared" si="7"/>
        <v>28620</v>
      </c>
      <c r="J13" s="57">
        <f t="shared" si="4"/>
        <v>414370</v>
      </c>
      <c r="K13" s="57">
        <f t="shared" si="5"/>
        <v>0</v>
      </c>
      <c r="L13" s="57">
        <f t="shared" si="6"/>
        <v>414370</v>
      </c>
    </row>
    <row r="14" spans="2:12" ht="14.25" x14ac:dyDescent="0.2">
      <c r="B14" s="8">
        <v>12</v>
      </c>
      <c r="C14" s="40" t="s">
        <v>308</v>
      </c>
      <c r="D14" s="57">
        <f>Výdavky!I2009</f>
        <v>3582573</v>
      </c>
      <c r="E14" s="57">
        <f>Výdavky!J2009</f>
        <v>0</v>
      </c>
      <c r="F14" s="211">
        <f t="shared" si="1"/>
        <v>3582573</v>
      </c>
      <c r="G14" s="57">
        <f>Výdavky!M2009</f>
        <v>144660</v>
      </c>
      <c r="H14" s="57">
        <f>Výdavky!N2009</f>
        <v>0</v>
      </c>
      <c r="I14" s="57">
        <f t="shared" si="7"/>
        <v>144660</v>
      </c>
      <c r="J14" s="57">
        <f t="shared" si="4"/>
        <v>3727233</v>
      </c>
      <c r="K14" s="57">
        <f t="shared" si="5"/>
        <v>0</v>
      </c>
      <c r="L14" s="57">
        <f t="shared" si="6"/>
        <v>3727233</v>
      </c>
    </row>
    <row r="15" spans="2:12" ht="14.25" x14ac:dyDescent="0.2">
      <c r="B15" s="8">
        <v>13</v>
      </c>
      <c r="C15" s="40" t="s">
        <v>310</v>
      </c>
      <c r="D15" s="57">
        <f>Výdavky!I2144</f>
        <v>2542450</v>
      </c>
      <c r="E15" s="57">
        <f>Výdavky!J2144</f>
        <v>0</v>
      </c>
      <c r="F15" s="211">
        <f t="shared" si="1"/>
        <v>2542450</v>
      </c>
      <c r="G15" s="57">
        <f>Výdavky!M2144</f>
        <v>47000</v>
      </c>
      <c r="H15" s="57">
        <f>Výdavky!N2144</f>
        <v>0</v>
      </c>
      <c r="I15" s="57">
        <f t="shared" si="7"/>
        <v>47000</v>
      </c>
      <c r="J15" s="57">
        <f t="shared" si="4"/>
        <v>2589450</v>
      </c>
      <c r="K15" s="57">
        <f t="shared" si="5"/>
        <v>0</v>
      </c>
      <c r="L15" s="57">
        <f t="shared" si="6"/>
        <v>2589450</v>
      </c>
    </row>
    <row r="16" spans="2:12" ht="14.25" x14ac:dyDescent="0.2">
      <c r="B16" s="8">
        <v>14</v>
      </c>
      <c r="C16" s="40" t="s">
        <v>312</v>
      </c>
      <c r="D16" s="57">
        <f>Výdavky!I2304</f>
        <v>162700</v>
      </c>
      <c r="E16" s="57">
        <f>Výdavky!J2304</f>
        <v>0</v>
      </c>
      <c r="F16" s="211">
        <f t="shared" si="1"/>
        <v>162700</v>
      </c>
      <c r="G16" s="57">
        <f>Výdavky!M2304</f>
        <v>0</v>
      </c>
      <c r="H16" s="57">
        <f>Výdavky!N2304</f>
        <v>0</v>
      </c>
      <c r="I16" s="57">
        <f t="shared" si="7"/>
        <v>0</v>
      </c>
      <c r="J16" s="57">
        <f t="shared" si="4"/>
        <v>162700</v>
      </c>
      <c r="K16" s="57">
        <f t="shared" si="5"/>
        <v>0</v>
      </c>
      <c r="L16" s="57">
        <f t="shared" si="6"/>
        <v>162700</v>
      </c>
    </row>
    <row r="17" spans="2:14" ht="15.75" x14ac:dyDescent="0.25">
      <c r="B17" s="6">
        <v>15</v>
      </c>
      <c r="C17" s="41" t="s">
        <v>318</v>
      </c>
      <c r="D17" s="43">
        <f>D3-D4</f>
        <v>2992047</v>
      </c>
      <c r="E17" s="43">
        <f>E3-E4</f>
        <v>-41870</v>
      </c>
      <c r="F17" s="210">
        <f t="shared" si="1"/>
        <v>2950177</v>
      </c>
      <c r="G17" s="43"/>
      <c r="H17" s="43"/>
      <c r="I17" s="43"/>
      <c r="J17" s="43"/>
      <c r="K17" s="43"/>
      <c r="L17" s="43"/>
      <c r="N17" s="21"/>
    </row>
    <row r="18" spans="2:14" ht="15.75" x14ac:dyDescent="0.25">
      <c r="B18" s="6">
        <v>16</v>
      </c>
      <c r="C18" s="41" t="s">
        <v>328</v>
      </c>
      <c r="D18" s="43"/>
      <c r="E18" s="43"/>
      <c r="F18" s="210"/>
      <c r="G18" s="43">
        <f>G3-G4</f>
        <v>-5748504</v>
      </c>
      <c r="H18" s="43">
        <f t="shared" ref="H18" si="8">H3-H4</f>
        <v>582125</v>
      </c>
      <c r="I18" s="43">
        <f>G18+H18</f>
        <v>-5166379</v>
      </c>
      <c r="J18" s="43"/>
      <c r="K18" s="43"/>
      <c r="L18" s="43"/>
    </row>
    <row r="19" spans="2:14" ht="15.75" x14ac:dyDescent="0.25">
      <c r="B19" s="6">
        <v>17</v>
      </c>
      <c r="C19" s="41" t="s">
        <v>329</v>
      </c>
      <c r="D19" s="43"/>
      <c r="E19" s="43"/>
      <c r="F19" s="210"/>
      <c r="G19" s="43"/>
      <c r="H19" s="43"/>
      <c r="I19" s="43"/>
      <c r="J19" s="44">
        <f>J3-J4</f>
        <v>-2756457</v>
      </c>
      <c r="K19" s="44">
        <f t="shared" ref="K19:L19" si="9">K3-K4</f>
        <v>540255</v>
      </c>
      <c r="L19" s="44">
        <f t="shared" si="9"/>
        <v>-2216202</v>
      </c>
    </row>
    <row r="21" spans="2:14" ht="15" x14ac:dyDescent="0.2">
      <c r="B21" s="278" t="s">
        <v>111</v>
      </c>
      <c r="C21" s="278"/>
      <c r="D21" s="278"/>
      <c r="E21" s="278"/>
      <c r="F21" s="278"/>
      <c r="G21" s="278"/>
      <c r="H21" s="278"/>
      <c r="I21" s="278"/>
      <c r="J21" s="279"/>
      <c r="K21" s="212"/>
      <c r="L21" s="213"/>
      <c r="N21" s="21"/>
    </row>
    <row r="22" spans="2:14" ht="15.75" x14ac:dyDescent="0.25">
      <c r="B22" s="100">
        <v>1</v>
      </c>
      <c r="C22" s="280" t="s">
        <v>319</v>
      </c>
      <c r="D22" s="281"/>
      <c r="E22" s="281"/>
      <c r="F22" s="281"/>
      <c r="G22" s="281"/>
      <c r="H22" s="193"/>
      <c r="I22" s="193"/>
      <c r="J22" s="45">
        <f>SUM(J23:J28)</f>
        <v>5764632</v>
      </c>
      <c r="K22" s="45">
        <f t="shared" ref="K22:L22" si="10">SUM(K23:K28)</f>
        <v>-540255</v>
      </c>
      <c r="L22" s="45">
        <f t="shared" si="10"/>
        <v>5224377</v>
      </c>
      <c r="N22" s="21"/>
    </row>
    <row r="23" spans="2:14" x14ac:dyDescent="0.2">
      <c r="B23" s="100">
        <f>B22+1</f>
        <v>2</v>
      </c>
      <c r="C23" s="274" t="s">
        <v>457</v>
      </c>
      <c r="D23" s="275"/>
      <c r="E23" s="275"/>
      <c r="F23" s="275"/>
      <c r="G23" s="275"/>
      <c r="H23" s="192"/>
      <c r="I23" s="192"/>
      <c r="J23" s="46">
        <f>900000+1343226</f>
        <v>2243226</v>
      </c>
      <c r="K23" s="46"/>
      <c r="L23" s="46">
        <f>J23+K23</f>
        <v>2243226</v>
      </c>
    </row>
    <row r="24" spans="2:14" x14ac:dyDescent="0.2">
      <c r="B24" s="100">
        <f>B23+1</f>
        <v>3</v>
      </c>
      <c r="C24" s="274" t="s">
        <v>458</v>
      </c>
      <c r="D24" s="275"/>
      <c r="E24" s="275"/>
      <c r="F24" s="275"/>
      <c r="G24" s="275"/>
      <c r="H24" s="192"/>
      <c r="I24" s="192"/>
      <c r="J24" s="46">
        <f>540255+500000</f>
        <v>1040255</v>
      </c>
      <c r="K24" s="46">
        <v>-540255</v>
      </c>
      <c r="L24" s="46">
        <f t="shared" ref="L24:L28" si="11">J24+K24</f>
        <v>500000</v>
      </c>
    </row>
    <row r="25" spans="2:14" x14ac:dyDescent="0.2">
      <c r="B25" s="100">
        <f t="shared" ref="B25:B32" si="12">B24+1</f>
        <v>4</v>
      </c>
      <c r="C25" s="163" t="s">
        <v>620</v>
      </c>
      <c r="D25" s="164"/>
      <c r="E25" s="192"/>
      <c r="F25" s="192"/>
      <c r="G25" s="164"/>
      <c r="H25" s="192"/>
      <c r="I25" s="192"/>
      <c r="J25" s="46">
        <v>237217</v>
      </c>
      <c r="K25" s="46"/>
      <c r="L25" s="46">
        <f t="shared" si="11"/>
        <v>237217</v>
      </c>
    </row>
    <row r="26" spans="2:14" x14ac:dyDescent="0.2">
      <c r="B26" s="100">
        <f t="shared" si="12"/>
        <v>5</v>
      </c>
      <c r="C26" s="97" t="s">
        <v>459</v>
      </c>
      <c r="D26" s="98"/>
      <c r="E26" s="192"/>
      <c r="F26" s="192"/>
      <c r="G26" s="98"/>
      <c r="H26" s="192"/>
      <c r="I26" s="192"/>
      <c r="J26" s="46">
        <f>971500+7000</f>
        <v>978500</v>
      </c>
      <c r="K26" s="46"/>
      <c r="L26" s="46">
        <f t="shared" si="11"/>
        <v>978500</v>
      </c>
    </row>
    <row r="27" spans="2:14" x14ac:dyDescent="0.2">
      <c r="B27" s="100">
        <f t="shared" si="12"/>
        <v>6</v>
      </c>
      <c r="C27" s="274" t="s">
        <v>460</v>
      </c>
      <c r="D27" s="275"/>
      <c r="E27" s="275"/>
      <c r="F27" s="275"/>
      <c r="G27" s="275"/>
      <c r="H27" s="192"/>
      <c r="I27" s="192"/>
      <c r="J27" s="46">
        <f>1500000-500000</f>
        <v>1000000</v>
      </c>
      <c r="K27" s="46"/>
      <c r="L27" s="46">
        <f t="shared" si="11"/>
        <v>1000000</v>
      </c>
    </row>
    <row r="28" spans="2:14" x14ac:dyDescent="0.2">
      <c r="B28" s="100">
        <f t="shared" si="12"/>
        <v>7</v>
      </c>
      <c r="C28" s="163" t="s">
        <v>621</v>
      </c>
      <c r="D28" s="164"/>
      <c r="E28" s="192"/>
      <c r="F28" s="192"/>
      <c r="G28" s="164"/>
      <c r="H28" s="192"/>
      <c r="I28" s="192"/>
      <c r="J28" s="46">
        <f>215428+50006</f>
        <v>265434</v>
      </c>
      <c r="K28" s="46"/>
      <c r="L28" s="46">
        <f t="shared" si="11"/>
        <v>265434</v>
      </c>
    </row>
    <row r="29" spans="2:14" ht="15.75" x14ac:dyDescent="0.25">
      <c r="B29" s="100">
        <f t="shared" si="12"/>
        <v>8</v>
      </c>
      <c r="C29" s="280" t="s">
        <v>320</v>
      </c>
      <c r="D29" s="281"/>
      <c r="E29" s="281"/>
      <c r="F29" s="281"/>
      <c r="G29" s="281"/>
      <c r="H29" s="193"/>
      <c r="I29" s="193"/>
      <c r="J29" s="45">
        <f>SUM(J30:J34)</f>
        <v>3008175</v>
      </c>
      <c r="K29" s="45">
        <f t="shared" ref="K29:L29" si="13">SUM(K30:K34)</f>
        <v>0</v>
      </c>
      <c r="L29" s="45">
        <f t="shared" si="13"/>
        <v>3008175</v>
      </c>
    </row>
    <row r="30" spans="2:14" x14ac:dyDescent="0.2">
      <c r="B30" s="100">
        <f t="shared" si="12"/>
        <v>9</v>
      </c>
      <c r="C30" s="274" t="s">
        <v>461</v>
      </c>
      <c r="D30" s="275"/>
      <c r="E30" s="275"/>
      <c r="F30" s="275"/>
      <c r="G30" s="275"/>
      <c r="H30" s="192"/>
      <c r="I30" s="192"/>
      <c r="J30" s="46">
        <f>1456675+180000</f>
        <v>1636675</v>
      </c>
      <c r="K30" s="46"/>
      <c r="L30" s="46">
        <f>J30+K30</f>
        <v>1636675</v>
      </c>
    </row>
    <row r="31" spans="2:14" x14ac:dyDescent="0.2">
      <c r="B31" s="100">
        <f t="shared" si="12"/>
        <v>10</v>
      </c>
      <c r="C31" s="274" t="s">
        <v>462</v>
      </c>
      <c r="D31" s="275"/>
      <c r="E31" s="275"/>
      <c r="F31" s="275"/>
      <c r="G31" s="275"/>
      <c r="H31" s="192"/>
      <c r="I31" s="192"/>
      <c r="J31" s="46">
        <v>1162800</v>
      </c>
      <c r="K31" s="46"/>
      <c r="L31" s="46">
        <f t="shared" ref="L31:L34" si="14">J31+K31</f>
        <v>1162800</v>
      </c>
    </row>
    <row r="32" spans="2:14" x14ac:dyDescent="0.2">
      <c r="B32" s="100">
        <f t="shared" si="12"/>
        <v>11</v>
      </c>
      <c r="C32" s="274" t="s">
        <v>463</v>
      </c>
      <c r="D32" s="275"/>
      <c r="E32" s="275"/>
      <c r="F32" s="275"/>
      <c r="G32" s="275"/>
      <c r="H32" s="192"/>
      <c r="I32" s="192"/>
      <c r="J32" s="46">
        <v>58700</v>
      </c>
      <c r="K32" s="46"/>
      <c r="L32" s="46">
        <f t="shared" si="14"/>
        <v>58700</v>
      </c>
    </row>
    <row r="33" spans="2:12" x14ac:dyDescent="0.2">
      <c r="B33" s="100">
        <f t="shared" ref="B33:B35" si="15">B32+1</f>
        <v>12</v>
      </c>
      <c r="C33" s="274" t="s">
        <v>463</v>
      </c>
      <c r="D33" s="275"/>
      <c r="E33" s="275"/>
      <c r="F33" s="275"/>
      <c r="G33" s="275"/>
      <c r="H33" s="192"/>
      <c r="I33" s="192"/>
      <c r="J33" s="46">
        <v>126000</v>
      </c>
      <c r="K33" s="46"/>
      <c r="L33" s="46">
        <f t="shared" si="14"/>
        <v>126000</v>
      </c>
    </row>
    <row r="34" spans="2:12" ht="13.5" thickBot="1" x14ac:dyDescent="0.25">
      <c r="B34" s="100">
        <f t="shared" si="15"/>
        <v>13</v>
      </c>
      <c r="C34" s="274" t="s">
        <v>464</v>
      </c>
      <c r="D34" s="275"/>
      <c r="E34" s="275"/>
      <c r="F34" s="275"/>
      <c r="G34" s="275"/>
      <c r="H34" s="192"/>
      <c r="I34" s="192"/>
      <c r="J34" s="46">
        <v>24000</v>
      </c>
      <c r="K34" s="46"/>
      <c r="L34" s="46">
        <f t="shared" si="14"/>
        <v>24000</v>
      </c>
    </row>
    <row r="35" spans="2:12" ht="16.5" thickTop="1" x14ac:dyDescent="0.25">
      <c r="B35" s="100">
        <f t="shared" si="15"/>
        <v>14</v>
      </c>
      <c r="C35" s="282" t="s">
        <v>321</v>
      </c>
      <c r="D35" s="283"/>
      <c r="E35" s="283"/>
      <c r="F35" s="283"/>
      <c r="G35" s="283"/>
      <c r="H35" s="194"/>
      <c r="I35" s="194"/>
      <c r="J35" s="81">
        <f>J19+J22-J29</f>
        <v>0</v>
      </c>
      <c r="K35" s="81">
        <f t="shared" ref="K35:L35" si="16">K19+K22-K29</f>
        <v>0</v>
      </c>
      <c r="L35" s="81">
        <f t="shared" si="16"/>
        <v>0</v>
      </c>
    </row>
    <row r="36" spans="2:12" x14ac:dyDescent="0.2">
      <c r="B36" s="99"/>
    </row>
    <row r="38" spans="2:12" ht="24" customHeight="1" x14ac:dyDescent="0.2">
      <c r="B38" s="273" t="s">
        <v>330</v>
      </c>
      <c r="C38" s="273"/>
      <c r="D38" s="273"/>
      <c r="E38" s="273"/>
      <c r="F38" s="273"/>
      <c r="G38" s="273"/>
      <c r="H38" s="273"/>
      <c r="I38" s="273"/>
      <c r="J38" s="273"/>
      <c r="K38" s="273"/>
      <c r="L38" s="273"/>
    </row>
    <row r="39" spans="2:12" ht="12.75" customHeight="1" x14ac:dyDescent="0.2">
      <c r="B39" s="272" t="s">
        <v>331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</row>
    <row r="40" spans="2:12" ht="25.5" customHeight="1" x14ac:dyDescent="0.2"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</row>
    <row r="42" spans="2:12" x14ac:dyDescent="0.2">
      <c r="C42" s="7"/>
    </row>
    <row r="44" spans="2:12" x14ac:dyDescent="0.2">
      <c r="L44" s="21"/>
    </row>
    <row r="51" spans="3:10" ht="14.25" x14ac:dyDescent="0.2">
      <c r="C51" s="134"/>
    </row>
    <row r="52" spans="3:10" ht="14.25" x14ac:dyDescent="0.2">
      <c r="C52" s="134"/>
    </row>
    <row r="53" spans="3:10" ht="14.25" x14ac:dyDescent="0.2">
      <c r="C53" s="134"/>
    </row>
    <row r="54" spans="3:10" ht="14.25" x14ac:dyDescent="0.2">
      <c r="C54" s="134"/>
    </row>
    <row r="55" spans="3:10" ht="14.25" x14ac:dyDescent="0.2">
      <c r="C55" s="134"/>
    </row>
    <row r="56" spans="3:10" ht="14.25" x14ac:dyDescent="0.2">
      <c r="C56" s="134"/>
    </row>
    <row r="57" spans="3:10" ht="14.25" x14ac:dyDescent="0.2">
      <c r="C57" s="134"/>
    </row>
    <row r="58" spans="3:10" ht="14.25" x14ac:dyDescent="0.2">
      <c r="C58" s="134"/>
    </row>
    <row r="59" spans="3:10" x14ac:dyDescent="0.2">
      <c r="C59" s="7"/>
      <c r="D59" s="162"/>
      <c r="E59" s="162"/>
      <c r="F59" s="162"/>
      <c r="G59" s="162"/>
      <c r="H59" s="162"/>
      <c r="I59" s="162"/>
      <c r="J59" s="162"/>
    </row>
  </sheetData>
  <mergeCells count="15">
    <mergeCell ref="B39:L40"/>
    <mergeCell ref="B38:L38"/>
    <mergeCell ref="C30:G30"/>
    <mergeCell ref="B2:C2"/>
    <mergeCell ref="B21:J21"/>
    <mergeCell ref="C24:G24"/>
    <mergeCell ref="C32:G32"/>
    <mergeCell ref="C22:G22"/>
    <mergeCell ref="C29:G29"/>
    <mergeCell ref="C23:G23"/>
    <mergeCell ref="C27:G27"/>
    <mergeCell ref="C31:G31"/>
    <mergeCell ref="C35:G35"/>
    <mergeCell ref="C34:G34"/>
    <mergeCell ref="C33:G33"/>
  </mergeCells>
  <phoneticPr fontId="1" type="noConversion"/>
  <pageMargins left="0.55118110236220474" right="0.55118110236220474" top="0.59055118110236227" bottom="0.59055118110236227" header="0.51181102362204722" footer="0.5118110236220472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2016-12-05T09:22:21Z</cp:lastPrinted>
  <dcterms:created xsi:type="dcterms:W3CDTF">2014-05-27T11:25:41Z</dcterms:created>
  <dcterms:modified xsi:type="dcterms:W3CDTF">2016-12-05T09:22:29Z</dcterms:modified>
</cp:coreProperties>
</file>